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xml" ContentType="application/vnd.ms-excel.rdrichvalue+xml"/>
  <Override PartName="/xl/persons/person.xml" ContentType="application/vnd.ms-excel.person+xml"/>
  <Override PartName="/xl/richData/rdRichValueTypes.xml" ContentType="application/vnd.ms-excel.rdrichvaluetypes+xml"/>
  <Override PartName="/xl/richData/rdrichvaluestructure.xml" ContentType="application/vnd.ms-excel.rdrichvaluestructure+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hidePivotFieldList="1" defaultThemeVersion="124226"/>
  <mc:AlternateContent xmlns:mc="http://schemas.openxmlformats.org/markup-compatibility/2006">
    <mc:Choice Requires="x15">
      <x15ac:absPath xmlns:x15ac="http://schemas.microsoft.com/office/spreadsheetml/2010/11/ac" url="C:\Users\Usuario\Desktop\FUGA 2023\Enero 2-2023\Evidencia 1\Riesgos corrupción\Fichas 2023\"/>
    </mc:Choice>
  </mc:AlternateContent>
  <xr:revisionPtr revIDLastSave="0" documentId="13_ncr:1_{50809899-1E08-41B2-8967-9CAE081936A4}" xr6:coauthVersionLast="47" xr6:coauthVersionMax="47" xr10:uidLastSave="{00000000-0000-0000-0000-000000000000}"/>
  <bookViews>
    <workbookView xWindow="-21720" yWindow="-3705" windowWidth="21840" windowHeight="13140" tabRatio="752" activeTab="8" xr2:uid="{00000000-000D-0000-FFFF-FFFF00000000}"/>
  </bookViews>
  <sheets>
    <sheet name="Portada" sheetId="24" r:id="rId1"/>
    <sheet name="Datos del proceso" sheetId="21" r:id="rId2"/>
    <sheet name="Intructivo" sheetId="20" r:id="rId3"/>
    <sheet name="Riesg de corrupción" sheetId="30" state="hidden" r:id="rId4"/>
    <sheet name="Riesgos de gestión" sheetId="1" state="hidden" r:id="rId5"/>
    <sheet name="Hoja2" sheetId="33" state="hidden" r:id="rId6"/>
    <sheet name="Riesgo de gestión" sheetId="26" r:id="rId7"/>
    <sheet name="R.corrupción financiera" sheetId="32" r:id="rId8"/>
    <sheet name="Riesgos de segInf" sheetId="31" r:id="rId9"/>
    <sheet name="Riesgos Seguridad D información" sheetId="23" state="hidden" r:id="rId10"/>
    <sheet name="SARLAF" sheetId="25" r:id="rId11"/>
    <sheet name="Tabla probabilidad" sheetId="12" r:id="rId12"/>
    <sheet name="Tabla Impacto" sheetId="13" r:id="rId13"/>
    <sheet name="Tabla Valoración controles" sheetId="15" r:id="rId14"/>
    <sheet name="Matrices" sheetId="28" r:id="rId15"/>
    <sheet name="Matriz Calor Inherente" sheetId="18" r:id="rId16"/>
    <sheet name="Matriz Calor Residual" sheetId="19" r:id="rId17"/>
    <sheet name="Opciones Tratamiento" sheetId="16" state="hidden" r:id="rId18"/>
    <sheet name="Hoja1" sheetId="11" state="hidden" r:id="rId19"/>
  </sheets>
  <externalReferences>
    <externalReference r:id="rId20"/>
    <externalReference r:id="rId21"/>
    <externalReference r:id="rId22"/>
    <externalReference r:id="rId23"/>
  </externalReferences>
  <definedNames>
    <definedName name="_xlnm._FilterDatabase" localSheetId="1" hidden="1">'Datos del proceso'!$A$9:$I$9</definedName>
    <definedName name="Clase">[1]CONTROL!$R$8:$R$9</definedName>
    <definedName name="Documentación">[1]CONTROL!$L$2:$L$3</definedName>
    <definedName name="EVIDENCIA">[1]CONTROL!$N$3:$N$5</definedName>
    <definedName name="FRECUENCIA">[1]CONTROL!$L$9:$L$10</definedName>
    <definedName name="HALLAZGO_AUDITORIA_ANTERIOR">[1]CONTROL!$X$19:$X$20</definedName>
    <definedName name="Impacto_1">[1]RIESGOS!$C$5:$C$7</definedName>
    <definedName name="INCORECCIONES">[1]CONTROL!$T$20:$T$22</definedName>
    <definedName name="OBJETIVO">[1]CONTROL!$I$2:$I$5</definedName>
    <definedName name="Riesgo">[1]CONTROL!$K$28:$K$29</definedName>
    <definedName name="Segregación2">[1]CONTROL!$R$12:$R$13</definedName>
    <definedName name="TIPO_CONTROL">[1]CONTROL!$N$23:$N$24</definedName>
  </definedNames>
  <calcPr calcId="191029"/>
  <pivotCaches>
    <pivotCache cacheId="0" r:id="rId24"/>
  </pivotCaches>
</workbook>
</file>

<file path=xl/calcChain.xml><?xml version="1.0" encoding="utf-8"?>
<calcChain xmlns="http://schemas.openxmlformats.org/spreadsheetml/2006/main">
  <c r="V11" i="31" l="1"/>
  <c r="S11" i="31"/>
  <c r="Z11" i="31" s="1"/>
  <c r="I11" i="31"/>
  <c r="A24" i="33" l="1"/>
  <c r="T14" i="26" l="1"/>
  <c r="Q14" i="26"/>
  <c r="T13" i="26"/>
  <c r="Q13" i="26"/>
  <c r="H60" i="32" l="1"/>
  <c r="L22" i="32"/>
  <c r="D22" i="32"/>
  <c r="E22" i="32"/>
  <c r="O22" i="32"/>
  <c r="S22" i="32"/>
  <c r="O23" i="32"/>
  <c r="S24" i="32"/>
  <c r="S25" i="32"/>
  <c r="T25" i="32"/>
  <c r="L23" i="32"/>
  <c r="W25" i="32"/>
  <c r="V25" i="32"/>
  <c r="X25" i="32"/>
  <c r="U25" i="32"/>
  <c r="F22" i="32"/>
  <c r="F25" i="32"/>
  <c r="D25" i="32"/>
  <c r="S23" i="32"/>
  <c r="T23" i="32"/>
  <c r="W23" i="32"/>
  <c r="V23" i="32"/>
  <c r="X23" i="32"/>
  <c r="U23" i="32"/>
  <c r="T22" i="32"/>
  <c r="G22" i="32"/>
  <c r="W22" i="32"/>
  <c r="V22" i="32"/>
  <c r="X22" i="32"/>
  <c r="U22" i="32"/>
  <c r="H22" i="32"/>
  <c r="G9" i="32"/>
  <c r="G8" i="32"/>
  <c r="Q12" i="26"/>
  <c r="T12" i="26"/>
  <c r="H12" i="26"/>
  <c r="I12" i="26" s="1"/>
  <c r="L18" i="26"/>
  <c r="N18" i="26" s="1"/>
  <c r="L24" i="26"/>
  <c r="L22" i="26"/>
  <c r="L20" i="26"/>
  <c r="M20" i="26" s="1"/>
  <c r="L12" i="26"/>
  <c r="M12" i="26" s="1"/>
  <c r="T17" i="26"/>
  <c r="H15" i="26"/>
  <c r="Q17" i="26"/>
  <c r="I15" i="26"/>
  <c r="C8" i="26"/>
  <c r="V30" i="31"/>
  <c r="S30" i="31"/>
  <c r="M30" i="31"/>
  <c r="V29" i="31"/>
  <c r="S29" i="31"/>
  <c r="N29" i="31"/>
  <c r="O29" i="31"/>
  <c r="M29" i="31"/>
  <c r="J29" i="31"/>
  <c r="V28" i="31"/>
  <c r="S28" i="31"/>
  <c r="M28" i="31"/>
  <c r="V27" i="31"/>
  <c r="S27" i="31"/>
  <c r="AD27" i="31"/>
  <c r="AC27" i="31"/>
  <c r="N27" i="31"/>
  <c r="M27" i="31"/>
  <c r="J27" i="31"/>
  <c r="K27" i="31"/>
  <c r="V26" i="31"/>
  <c r="S26" i="31"/>
  <c r="M26" i="31"/>
  <c r="V25" i="31"/>
  <c r="S25" i="31"/>
  <c r="AD25" i="31"/>
  <c r="AC25" i="31"/>
  <c r="N25" i="31"/>
  <c r="O25" i="31"/>
  <c r="M25" i="31"/>
  <c r="J25" i="31"/>
  <c r="K25" i="31"/>
  <c r="V24" i="31"/>
  <c r="S24" i="31"/>
  <c r="M24" i="31"/>
  <c r="V23" i="31"/>
  <c r="S23" i="31"/>
  <c r="Z23" i="31"/>
  <c r="N23" i="31"/>
  <c r="O23" i="31"/>
  <c r="M23" i="31"/>
  <c r="J23" i="31"/>
  <c r="K23" i="31"/>
  <c r="V22" i="31"/>
  <c r="S22" i="31"/>
  <c r="M22" i="31"/>
  <c r="V21" i="31"/>
  <c r="S21" i="31"/>
  <c r="N21" i="31"/>
  <c r="O21" i="31"/>
  <c r="M21" i="31"/>
  <c r="J21" i="31"/>
  <c r="K21" i="31"/>
  <c r="V20" i="31"/>
  <c r="S20" i="31"/>
  <c r="M20" i="31"/>
  <c r="V19" i="31"/>
  <c r="S19" i="31"/>
  <c r="Z19" i="31"/>
  <c r="AB19" i="31"/>
  <c r="N19" i="31"/>
  <c r="O19" i="31"/>
  <c r="M19" i="31"/>
  <c r="J19" i="31"/>
  <c r="V18" i="31"/>
  <c r="S18" i="31"/>
  <c r="M18" i="31"/>
  <c r="V17" i="31"/>
  <c r="S17" i="31"/>
  <c r="Z17" i="31"/>
  <c r="N17" i="31"/>
  <c r="O17" i="31"/>
  <c r="M17" i="31"/>
  <c r="J17" i="31"/>
  <c r="V16" i="31"/>
  <c r="S16" i="31"/>
  <c r="M16" i="31"/>
  <c r="V15" i="31"/>
  <c r="S15" i="31"/>
  <c r="AD15" i="31"/>
  <c r="AC15" i="31"/>
  <c r="N15" i="31"/>
  <c r="O15" i="31"/>
  <c r="M15" i="31"/>
  <c r="J15" i="31"/>
  <c r="K15" i="31"/>
  <c r="V14" i="31"/>
  <c r="S14" i="31"/>
  <c r="M14" i="31"/>
  <c r="V13" i="31"/>
  <c r="S13" i="31"/>
  <c r="AD13" i="31"/>
  <c r="AC13" i="31"/>
  <c r="N13" i="31"/>
  <c r="O13" i="31"/>
  <c r="M13" i="31"/>
  <c r="J13" i="31"/>
  <c r="V12" i="31"/>
  <c r="S12" i="31"/>
  <c r="M12" i="31"/>
  <c r="N11" i="31"/>
  <c r="O11" i="31" s="1"/>
  <c r="AD11" i="31" s="1"/>
  <c r="M11" i="31"/>
  <c r="J11" i="31"/>
  <c r="K11" i="31" s="1"/>
  <c r="C7" i="31"/>
  <c r="C6" i="31"/>
  <c r="F10" i="23"/>
  <c r="F9" i="23"/>
  <c r="F17" i="30"/>
  <c r="I17" i="30"/>
  <c r="K17" i="30"/>
  <c r="L17" i="30"/>
  <c r="M17" i="30"/>
  <c r="K18" i="30"/>
  <c r="T30" i="30"/>
  <c r="Q30" i="30"/>
  <c r="K30" i="30"/>
  <c r="T29" i="30"/>
  <c r="Q29" i="30"/>
  <c r="L29" i="30"/>
  <c r="M29" i="30"/>
  <c r="K29" i="30"/>
  <c r="H29" i="30"/>
  <c r="I29" i="30"/>
  <c r="T28" i="30"/>
  <c r="Q28" i="30"/>
  <c r="K28" i="30"/>
  <c r="T27" i="30"/>
  <c r="Q27" i="30"/>
  <c r="X27" i="30"/>
  <c r="L27" i="30"/>
  <c r="M27" i="30"/>
  <c r="K27" i="30"/>
  <c r="I27" i="30"/>
  <c r="T26" i="30"/>
  <c r="Q26" i="30"/>
  <c r="K26" i="30"/>
  <c r="T25" i="30"/>
  <c r="Q25" i="30"/>
  <c r="L25" i="30"/>
  <c r="M25" i="30"/>
  <c r="K25" i="30"/>
  <c r="H25" i="30"/>
  <c r="T24" i="30"/>
  <c r="Q24" i="30"/>
  <c r="K24" i="30"/>
  <c r="T23" i="30"/>
  <c r="Q23" i="30"/>
  <c r="X23" i="30"/>
  <c r="Y23" i="30"/>
  <c r="L23" i="30"/>
  <c r="M23" i="30"/>
  <c r="K23" i="30"/>
  <c r="H23" i="30"/>
  <c r="T22" i="30"/>
  <c r="Q22" i="30"/>
  <c r="K22" i="30"/>
  <c r="T21" i="30"/>
  <c r="Q21" i="30"/>
  <c r="L21" i="30"/>
  <c r="K21" i="30"/>
  <c r="H21" i="30"/>
  <c r="I21" i="30"/>
  <c r="T20" i="30"/>
  <c r="Q20" i="30"/>
  <c r="K20" i="30"/>
  <c r="T19" i="30"/>
  <c r="Q19" i="30"/>
  <c r="AB19" i="30"/>
  <c r="AA19" i="30"/>
  <c r="L19" i="30"/>
  <c r="M19" i="30"/>
  <c r="K19" i="30"/>
  <c r="H19" i="30"/>
  <c r="I19" i="30"/>
  <c r="T18" i="30"/>
  <c r="Q18" i="30"/>
  <c r="T17" i="30"/>
  <c r="Q17" i="30"/>
  <c r="C6" i="30"/>
  <c r="C5" i="30"/>
  <c r="L15" i="26"/>
  <c r="M15" i="26" s="1"/>
  <c r="AB15" i="26" s="1"/>
  <c r="H18" i="26"/>
  <c r="I18" i="26"/>
  <c r="K18" i="26"/>
  <c r="M18" i="26"/>
  <c r="K19" i="26"/>
  <c r="H20" i="26"/>
  <c r="I20" i="26" s="1"/>
  <c r="K20" i="26"/>
  <c r="K21" i="26"/>
  <c r="H22" i="26"/>
  <c r="I22" i="26"/>
  <c r="K22" i="26"/>
  <c r="M22" i="26"/>
  <c r="K23" i="26"/>
  <c r="H24" i="26"/>
  <c r="I24" i="26" s="1"/>
  <c r="K24" i="26"/>
  <c r="M24" i="26"/>
  <c r="H25" i="26"/>
  <c r="I25" i="26"/>
  <c r="K25" i="26"/>
  <c r="L25" i="26"/>
  <c r="M25" i="26"/>
  <c r="K26" i="26"/>
  <c r="H27" i="26"/>
  <c r="I27" i="26"/>
  <c r="K27" i="26"/>
  <c r="L27" i="26"/>
  <c r="M27" i="26" s="1"/>
  <c r="K28" i="26"/>
  <c r="H29" i="26"/>
  <c r="I29" i="26"/>
  <c r="K29" i="26"/>
  <c r="L29" i="26"/>
  <c r="M29" i="26"/>
  <c r="K30" i="26"/>
  <c r="H31" i="26"/>
  <c r="I31" i="26"/>
  <c r="K31" i="26"/>
  <c r="L31" i="26"/>
  <c r="M31" i="26"/>
  <c r="K32" i="26"/>
  <c r="C7" i="26"/>
  <c r="F72" i="25"/>
  <c r="G72" i="25"/>
  <c r="E72" i="25"/>
  <c r="E73" i="25"/>
  <c r="E74" i="25"/>
  <c r="E22" i="25"/>
  <c r="E23" i="25"/>
  <c r="F22" i="25"/>
  <c r="G22" i="25"/>
  <c r="T32" i="26"/>
  <c r="Q32" i="26"/>
  <c r="T31" i="26"/>
  <c r="Q31" i="26"/>
  <c r="X31" i="26"/>
  <c r="T30" i="26"/>
  <c r="Q30" i="26"/>
  <c r="T29" i="26"/>
  <c r="Q29" i="26"/>
  <c r="T28" i="26"/>
  <c r="Q28" i="26"/>
  <c r="T27" i="26"/>
  <c r="Q27" i="26"/>
  <c r="X27" i="26"/>
  <c r="T26" i="26"/>
  <c r="Q26" i="26"/>
  <c r="T25" i="26"/>
  <c r="Q25" i="26"/>
  <c r="AB25" i="26"/>
  <c r="AA25" i="26" s="1"/>
  <c r="AC25" i="26" s="1"/>
  <c r="T24" i="26"/>
  <c r="Q24" i="26"/>
  <c r="T23" i="26"/>
  <c r="Q23" i="26"/>
  <c r="T22" i="26"/>
  <c r="Q22" i="26"/>
  <c r="T20" i="26"/>
  <c r="Q20" i="26"/>
  <c r="T19" i="26"/>
  <c r="Q19" i="26"/>
  <c r="T18" i="26"/>
  <c r="Q18" i="26"/>
  <c r="T16" i="26"/>
  <c r="Q16" i="26"/>
  <c r="K12" i="26"/>
  <c r="K59" i="23"/>
  <c r="I59" i="23"/>
  <c r="G59" i="23"/>
  <c r="K56" i="23"/>
  <c r="I56" i="23"/>
  <c r="G56" i="23"/>
  <c r="K54" i="23"/>
  <c r="I54" i="23"/>
  <c r="G54" i="23"/>
  <c r="K51" i="23"/>
  <c r="I51" i="23"/>
  <c r="G51" i="23"/>
  <c r="K49" i="23"/>
  <c r="I49" i="23"/>
  <c r="G49" i="23"/>
  <c r="K47" i="23"/>
  <c r="I47" i="23"/>
  <c r="G47" i="23"/>
  <c r="K45" i="23"/>
  <c r="I45" i="23"/>
  <c r="G45" i="23"/>
  <c r="M33" i="23"/>
  <c r="I33" i="23"/>
  <c r="M29" i="23"/>
  <c r="AC23" i="23"/>
  <c r="V25" i="23"/>
  <c r="M25" i="23"/>
  <c r="F25" i="23"/>
  <c r="N33" i="23"/>
  <c r="O33" i="23"/>
  <c r="X15" i="26"/>
  <c r="Z15" i="26" s="1"/>
  <c r="X16" i="26" s="1"/>
  <c r="AD22" i="31"/>
  <c r="AC22" i="31"/>
  <c r="P29" i="31"/>
  <c r="AD16" i="31"/>
  <c r="AC16" i="31"/>
  <c r="P17" i="31"/>
  <c r="AD19" i="31"/>
  <c r="AC19" i="31"/>
  <c r="K29" i="31"/>
  <c r="Z14" i="31"/>
  <c r="AB14" i="31"/>
  <c r="P19" i="31"/>
  <c r="Z25" i="31"/>
  <c r="AA25" i="31"/>
  <c r="AE25" i="31"/>
  <c r="Z24" i="31"/>
  <c r="AB24" i="31"/>
  <c r="AD26" i="31"/>
  <c r="AC26" i="31"/>
  <c r="P13" i="31"/>
  <c r="Z21" i="31"/>
  <c r="AB21" i="31"/>
  <c r="AD20" i="31"/>
  <c r="AC20" i="31"/>
  <c r="K13" i="31"/>
  <c r="P15" i="31"/>
  <c r="P27" i="31"/>
  <c r="AD30" i="31"/>
  <c r="AC30" i="31"/>
  <c r="Z26" i="31"/>
  <c r="AB26" i="31"/>
  <c r="Z28" i="31"/>
  <c r="AB28" i="31"/>
  <c r="AD28" i="31"/>
  <c r="AC28" i="31"/>
  <c r="AD14" i="31"/>
  <c r="AC14" i="31" s="1"/>
  <c r="AE14" i="31" s="1"/>
  <c r="Z22" i="31"/>
  <c r="AA22" i="31"/>
  <c r="AD23" i="31"/>
  <c r="AC23" i="31"/>
  <c r="AD29" i="31"/>
  <c r="AC29" i="31"/>
  <c r="P23" i="31"/>
  <c r="AA23" i="31"/>
  <c r="AB23" i="31"/>
  <c r="AB17" i="31"/>
  <c r="AA17" i="31"/>
  <c r="AA19" i="31"/>
  <c r="Z20" i="31"/>
  <c r="Z15" i="31"/>
  <c r="K17" i="31"/>
  <c r="Z18" i="31"/>
  <c r="P25" i="31"/>
  <c r="Z13" i="31"/>
  <c r="Z16" i="31"/>
  <c r="AD21" i="31"/>
  <c r="AC21" i="31"/>
  <c r="AD24" i="31"/>
  <c r="AC24" i="31"/>
  <c r="Z29" i="31"/>
  <c r="K19" i="31"/>
  <c r="P21" i="31"/>
  <c r="Z27" i="31"/>
  <c r="Z30" i="31"/>
  <c r="O27" i="31"/>
  <c r="AD17" i="31"/>
  <c r="AC17" i="31"/>
  <c r="AD18" i="31"/>
  <c r="AC18" i="31"/>
  <c r="N17" i="30"/>
  <c r="AB30" i="30"/>
  <c r="AA30" i="30"/>
  <c r="AB23" i="30"/>
  <c r="AA23" i="30"/>
  <c r="AC23" i="30"/>
  <c r="X22" i="30"/>
  <c r="Y22" i="30"/>
  <c r="N21" i="30"/>
  <c r="X19" i="30"/>
  <c r="Z19" i="30"/>
  <c r="AB24" i="30"/>
  <c r="AA24" i="30"/>
  <c r="X17" i="30"/>
  <c r="Z17" i="30"/>
  <c r="X18" i="30"/>
  <c r="X26" i="30"/>
  <c r="Y26" i="30"/>
  <c r="N27" i="30"/>
  <c r="AB17" i="30"/>
  <c r="AA17" i="30"/>
  <c r="AB20" i="30"/>
  <c r="AA20" i="30"/>
  <c r="X25" i="30"/>
  <c r="Z25" i="30"/>
  <c r="N29" i="30"/>
  <c r="N23" i="30"/>
  <c r="AB28" i="30"/>
  <c r="AA28" i="30"/>
  <c r="AB22" i="30"/>
  <c r="AA22" i="30"/>
  <c r="AB26" i="30"/>
  <c r="AA26" i="30"/>
  <c r="AB25" i="30"/>
  <c r="AA25" i="30"/>
  <c r="AB27" i="30"/>
  <c r="AA27" i="30"/>
  <c r="X20" i="30"/>
  <c r="Z20" i="30"/>
  <c r="N25" i="30"/>
  <c r="Z23" i="30"/>
  <c r="X30" i="30"/>
  <c r="Y30" i="30"/>
  <c r="X28" i="30"/>
  <c r="Z28" i="30"/>
  <c r="Z27" i="30"/>
  <c r="Y27" i="30"/>
  <c r="N19" i="30"/>
  <c r="I25" i="30"/>
  <c r="X21" i="30"/>
  <c r="I23" i="30"/>
  <c r="X24" i="30"/>
  <c r="AB29" i="30"/>
  <c r="AA29" i="30"/>
  <c r="M21" i="30"/>
  <c r="AB21" i="30"/>
  <c r="AA21" i="30"/>
  <c r="X29" i="30"/>
  <c r="N22" i="26"/>
  <c r="N25" i="26"/>
  <c r="N29" i="26"/>
  <c r="N31" i="26"/>
  <c r="X29" i="26"/>
  <c r="Y29" i="26"/>
  <c r="AB29" i="26"/>
  <c r="AA29" i="26"/>
  <c r="AC29" i="26" s="1"/>
  <c r="X25" i="26"/>
  <c r="Z25" i="26"/>
  <c r="AB28" i="26"/>
  <c r="AA28" i="26"/>
  <c r="AC28" i="26" s="1"/>
  <c r="AB27" i="26"/>
  <c r="AA27" i="26" s="1"/>
  <c r="AC27" i="26" s="1"/>
  <c r="AB30" i="26"/>
  <c r="AA30" i="26"/>
  <c r="X32" i="26"/>
  <c r="Y32" i="26"/>
  <c r="AB18" i="26"/>
  <c r="AA18" i="26" s="1"/>
  <c r="AB23" i="26"/>
  <c r="AA23" i="26" s="1"/>
  <c r="AB24" i="26"/>
  <c r="AA24" i="26" s="1"/>
  <c r="Z27" i="26"/>
  <c r="Y27" i="26"/>
  <c r="Z31" i="26"/>
  <c r="Y31" i="26"/>
  <c r="X22" i="26"/>
  <c r="Y22" i="26" s="1"/>
  <c r="X28" i="26"/>
  <c r="AB31" i="26"/>
  <c r="AA31" i="26"/>
  <c r="AB22" i="26"/>
  <c r="AA22" i="26" s="1"/>
  <c r="AB32" i="26"/>
  <c r="AA32" i="26" s="1"/>
  <c r="AC32" i="26" s="1"/>
  <c r="X26" i="26"/>
  <c r="AA28" i="31"/>
  <c r="AE28" i="31"/>
  <c r="AE22" i="31"/>
  <c r="AA14" i="31"/>
  <c r="AA26" i="31"/>
  <c r="AE26" i="31"/>
  <c r="AA21" i="31"/>
  <c r="AE21" i="31"/>
  <c r="AE19" i="31"/>
  <c r="AE23" i="31"/>
  <c r="AA24" i="31"/>
  <c r="AE24" i="31"/>
  <c r="AB25" i="31"/>
  <c r="AB22" i="31"/>
  <c r="AE17" i="31"/>
  <c r="AB27" i="31"/>
  <c r="AA27" i="31"/>
  <c r="AE27" i="31"/>
  <c r="AB18" i="31"/>
  <c r="AA18" i="31"/>
  <c r="AE18" i="31"/>
  <c r="AB20" i="31"/>
  <c r="AA20" i="31"/>
  <c r="AE20" i="31"/>
  <c r="AB30" i="31"/>
  <c r="AA30" i="31"/>
  <c r="AE30" i="31"/>
  <c r="AB13" i="31"/>
  <c r="AA13" i="31"/>
  <c r="AE13" i="31"/>
  <c r="AB29" i="31"/>
  <c r="AA29" i="31"/>
  <c r="AE29" i="31"/>
  <c r="AB15" i="31"/>
  <c r="AA15" i="31"/>
  <c r="AE15" i="31"/>
  <c r="AB16" i="31"/>
  <c r="AA16" i="31"/>
  <c r="AE16" i="31"/>
  <c r="AC30" i="30"/>
  <c r="Z26" i="30"/>
  <c r="AC22" i="30"/>
  <c r="Z22" i="30"/>
  <c r="Y28" i="30"/>
  <c r="AC28" i="30"/>
  <c r="AC27" i="30"/>
  <c r="AB18" i="30"/>
  <c r="AA18" i="30"/>
  <c r="Y20" i="30"/>
  <c r="AC20" i="30"/>
  <c r="Y19" i="30"/>
  <c r="AC19" i="30"/>
  <c r="Y17" i="30"/>
  <c r="AC17" i="30"/>
  <c r="Z30" i="30"/>
  <c r="Y25" i="30"/>
  <c r="AC25" i="30"/>
  <c r="AC26" i="30"/>
  <c r="Z18" i="30"/>
  <c r="Y18" i="30"/>
  <c r="Z24" i="30"/>
  <c r="Y24" i="30"/>
  <c r="AC24" i="30"/>
  <c r="Z21" i="30"/>
  <c r="Y21" i="30"/>
  <c r="AC21" i="30"/>
  <c r="Y29" i="30"/>
  <c r="AC29" i="30"/>
  <c r="Z29" i="30"/>
  <c r="AB26" i="26"/>
  <c r="AA26" i="26" s="1"/>
  <c r="AC26" i="26" s="1"/>
  <c r="Z29" i="26"/>
  <c r="X30" i="26"/>
  <c r="Z30" i="26"/>
  <c r="Y25" i="26"/>
  <c r="Z32" i="26"/>
  <c r="AC31" i="26"/>
  <c r="X23" i="26"/>
  <c r="Y23" i="26" s="1"/>
  <c r="Z28" i="26"/>
  <c r="Y28" i="26"/>
  <c r="Z26" i="26"/>
  <c r="Y26" i="26"/>
  <c r="AC18" i="30"/>
  <c r="Y30" i="26"/>
  <c r="AC30" i="26"/>
  <c r="T10" i="1"/>
  <c r="Q10" i="1"/>
  <c r="H10" i="1"/>
  <c r="I10" i="1"/>
  <c r="K62" i="1"/>
  <c r="K59" i="1"/>
  <c r="K57" i="1"/>
  <c r="K31" i="1"/>
  <c r="K69" i="1"/>
  <c r="K17" i="1"/>
  <c r="K29" i="1"/>
  <c r="K49" i="1"/>
  <c r="K60" i="1"/>
  <c r="K54" i="1"/>
  <c r="K30" i="1"/>
  <c r="K38" i="1"/>
  <c r="K48" i="1"/>
  <c r="K27" i="1"/>
  <c r="K35" i="1"/>
  <c r="K63" i="1"/>
  <c r="K47" i="1"/>
  <c r="K56" i="1"/>
  <c r="K39" i="1"/>
  <c r="K24" i="1"/>
  <c r="K65" i="1"/>
  <c r="K50" i="1"/>
  <c r="K66" i="1"/>
  <c r="K37" i="1"/>
  <c r="K41" i="1"/>
  <c r="K21" i="1"/>
  <c r="K19" i="1"/>
  <c r="K55" i="1"/>
  <c r="K18" i="1"/>
  <c r="K32" i="1"/>
  <c r="K26" i="1"/>
  <c r="K33" i="1"/>
  <c r="K42" i="1"/>
  <c r="K20" i="1"/>
  <c r="K36" i="1"/>
  <c r="K67" i="1"/>
  <c r="K23" i="1"/>
  <c r="K68" i="1"/>
  <c r="K53" i="1"/>
  <c r="K43" i="1"/>
  <c r="K25" i="1"/>
  <c r="K51" i="1"/>
  <c r="K61" i="1"/>
  <c r="K44" i="1"/>
  <c r="K45" i="1"/>
  <c r="F221" i="13"/>
  <c r="F211" i="13"/>
  <c r="F212" i="13"/>
  <c r="F213" i="13"/>
  <c r="F214" i="13"/>
  <c r="F215" i="13"/>
  <c r="F216" i="13"/>
  <c r="F217" i="13"/>
  <c r="F218" i="13"/>
  <c r="F219" i="13"/>
  <c r="F220" i="13"/>
  <c r="F210" i="13"/>
  <c r="K15" i="1"/>
  <c r="K14" i="1"/>
  <c r="K11" i="1"/>
  <c r="K12" i="1"/>
  <c r="B221" i="13" a="1"/>
  <c r="B222" i="13" s="1"/>
  <c r="K13" i="1"/>
  <c r="Q52" i="1"/>
  <c r="Q47" i="1"/>
  <c r="Q41" i="1"/>
  <c r="AL44" i="18"/>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H210" i="13"/>
  <c r="T69" i="1"/>
  <c r="Q69" i="1"/>
  <c r="T68" i="1"/>
  <c r="Q68" i="1"/>
  <c r="T67" i="1"/>
  <c r="Q67" i="1"/>
  <c r="T66" i="1"/>
  <c r="Q66" i="1"/>
  <c r="T65" i="1"/>
  <c r="Q65" i="1"/>
  <c r="T64" i="1"/>
  <c r="Q64" i="1"/>
  <c r="H64" i="1"/>
  <c r="I64" i="1"/>
  <c r="T63" i="1"/>
  <c r="Q63" i="1"/>
  <c r="T62" i="1"/>
  <c r="Q62" i="1"/>
  <c r="T61" i="1"/>
  <c r="Q61" i="1"/>
  <c r="T60" i="1"/>
  <c r="Q60" i="1"/>
  <c r="T59" i="1"/>
  <c r="Q59" i="1"/>
  <c r="T58" i="1"/>
  <c r="Q58" i="1"/>
  <c r="H58" i="1"/>
  <c r="I58" i="1"/>
  <c r="T57" i="1"/>
  <c r="Q57" i="1"/>
  <c r="T56" i="1"/>
  <c r="Q56" i="1"/>
  <c r="T55" i="1"/>
  <c r="Q55" i="1"/>
  <c r="T54" i="1"/>
  <c r="Q54" i="1"/>
  <c r="T53" i="1"/>
  <c r="Q53" i="1"/>
  <c r="T52" i="1"/>
  <c r="H52" i="1"/>
  <c r="I52" i="1"/>
  <c r="T51" i="1"/>
  <c r="Q51" i="1"/>
  <c r="T50" i="1"/>
  <c r="Q50" i="1"/>
  <c r="T49" i="1"/>
  <c r="Q49" i="1"/>
  <c r="T48" i="1"/>
  <c r="Q48" i="1"/>
  <c r="T47" i="1"/>
  <c r="T46" i="1"/>
  <c r="Q46" i="1"/>
  <c r="H46" i="1"/>
  <c r="I46" i="1"/>
  <c r="T45" i="1"/>
  <c r="Q45" i="1"/>
  <c r="T44" i="1"/>
  <c r="Q44" i="1"/>
  <c r="T43" i="1"/>
  <c r="Q43" i="1"/>
  <c r="T42" i="1"/>
  <c r="Q42" i="1"/>
  <c r="T41" i="1"/>
  <c r="T40" i="1"/>
  <c r="Q40" i="1"/>
  <c r="H40" i="1"/>
  <c r="I40" i="1"/>
  <c r="T39" i="1"/>
  <c r="Q39" i="1"/>
  <c r="T38" i="1"/>
  <c r="Q38" i="1"/>
  <c r="T37" i="1"/>
  <c r="Q37" i="1"/>
  <c r="T36" i="1"/>
  <c r="Q36" i="1"/>
  <c r="T35" i="1"/>
  <c r="Q35" i="1"/>
  <c r="T34" i="1"/>
  <c r="Q34" i="1"/>
  <c r="H34" i="1"/>
  <c r="I34" i="1"/>
  <c r="T33" i="1"/>
  <c r="Q33" i="1"/>
  <c r="T32" i="1"/>
  <c r="Q32" i="1"/>
  <c r="T31" i="1"/>
  <c r="Q31" i="1"/>
  <c r="T30" i="1"/>
  <c r="Q30" i="1"/>
  <c r="T29" i="1"/>
  <c r="Q29" i="1"/>
  <c r="T28" i="1"/>
  <c r="Q28" i="1"/>
  <c r="H28" i="1"/>
  <c r="I28" i="1"/>
  <c r="T27" i="1"/>
  <c r="Q27" i="1"/>
  <c r="T26" i="1"/>
  <c r="Q26" i="1"/>
  <c r="T25" i="1"/>
  <c r="Q25" i="1"/>
  <c r="T24" i="1"/>
  <c r="Q24" i="1"/>
  <c r="T23" i="1"/>
  <c r="Q23" i="1"/>
  <c r="T22" i="1"/>
  <c r="Q22" i="1"/>
  <c r="H22" i="1"/>
  <c r="I22" i="1"/>
  <c r="H16" i="1"/>
  <c r="Q15" i="1"/>
  <c r="Q14" i="1"/>
  <c r="Q13" i="1"/>
  <c r="T21" i="1"/>
  <c r="Q21" i="1"/>
  <c r="T20" i="1"/>
  <c r="Q20" i="1"/>
  <c r="T19" i="1"/>
  <c r="Q19" i="1"/>
  <c r="T18" i="1"/>
  <c r="Q18" i="1"/>
  <c r="T17" i="1"/>
  <c r="Q17" i="1"/>
  <c r="T16" i="1"/>
  <c r="Q16" i="1"/>
  <c r="AB50" i="1"/>
  <c r="AA50" i="1"/>
  <c r="AB51" i="1"/>
  <c r="AA51" i="1"/>
  <c r="I16" i="1"/>
  <c r="X64" i="1"/>
  <c r="X58" i="1"/>
  <c r="X52" i="1"/>
  <c r="X46" i="1"/>
  <c r="X50" i="1"/>
  <c r="X51" i="1"/>
  <c r="X40" i="1"/>
  <c r="X34" i="1"/>
  <c r="X28" i="1"/>
  <c r="X22" i="1"/>
  <c r="X16" i="1"/>
  <c r="Y64" i="1"/>
  <c r="Z64" i="1"/>
  <c r="X65" i="1"/>
  <c r="Y65" i="1"/>
  <c r="Y58" i="1"/>
  <c r="Z58" i="1"/>
  <c r="X59" i="1"/>
  <c r="Z59" i="1"/>
  <c r="X60" i="1"/>
  <c r="Y52" i="1"/>
  <c r="Z52" i="1"/>
  <c r="X53" i="1"/>
  <c r="Z53" i="1"/>
  <c r="X54" i="1"/>
  <c r="Y51" i="1"/>
  <c r="Z51" i="1"/>
  <c r="Y50" i="1"/>
  <c r="Z50" i="1"/>
  <c r="Y46" i="1"/>
  <c r="Z46" i="1"/>
  <c r="Y40" i="1"/>
  <c r="Z40" i="1"/>
  <c r="X41" i="1"/>
  <c r="Z41" i="1"/>
  <c r="X42" i="1"/>
  <c r="Y34" i="1"/>
  <c r="Z34" i="1"/>
  <c r="Y28" i="1"/>
  <c r="Z28" i="1"/>
  <c r="X29" i="1"/>
  <c r="Z29" i="1"/>
  <c r="X30" i="1"/>
  <c r="Y30" i="1"/>
  <c r="Y22" i="1"/>
  <c r="Z22" i="1"/>
  <c r="X23" i="1"/>
  <c r="Y23" i="1"/>
  <c r="Y16" i="1"/>
  <c r="Z16" i="1"/>
  <c r="X17" i="1"/>
  <c r="Y59" i="1"/>
  <c r="Y53" i="1"/>
  <c r="Z23" i="1"/>
  <c r="X24" i="1"/>
  <c r="Y24" i="1"/>
  <c r="Y41" i="1"/>
  <c r="Y29" i="1"/>
  <c r="Y42" i="1"/>
  <c r="Z42" i="1"/>
  <c r="Z60" i="1"/>
  <c r="X61" i="1"/>
  <c r="Y60" i="1"/>
  <c r="Z54" i="1"/>
  <c r="X55" i="1"/>
  <c r="Y54" i="1"/>
  <c r="Z65" i="1"/>
  <c r="X66" i="1"/>
  <c r="X35" i="1"/>
  <c r="X47" i="1"/>
  <c r="X48" i="1"/>
  <c r="Z30" i="1"/>
  <c r="T52" i="19"/>
  <c r="AF32" i="19"/>
  <c r="N22" i="19"/>
  <c r="AL32" i="19"/>
  <c r="N52" i="19"/>
  <c r="AL12" i="19"/>
  <c r="AL52" i="19"/>
  <c r="AL42" i="19"/>
  <c r="T32" i="19"/>
  <c r="AF12" i="19"/>
  <c r="N32" i="19"/>
  <c r="T42" i="19"/>
  <c r="N12" i="19"/>
  <c r="Z52" i="19"/>
  <c r="Z42" i="19"/>
  <c r="AL22" i="19"/>
  <c r="T12" i="19"/>
  <c r="T22" i="19"/>
  <c r="Z32" i="19"/>
  <c r="AF52" i="19"/>
  <c r="N42" i="19"/>
  <c r="Z22" i="19"/>
  <c r="AF42" i="19"/>
  <c r="Z12" i="19"/>
  <c r="AF22" i="19"/>
  <c r="AM42" i="19"/>
  <c r="U32" i="19"/>
  <c r="AG12" i="19"/>
  <c r="U42" i="19"/>
  <c r="O12" i="19"/>
  <c r="U22" i="19"/>
  <c r="AM52" i="19"/>
  <c r="AA42" i="19"/>
  <c r="AM22" i="19"/>
  <c r="U12" i="19"/>
  <c r="AA32" i="19"/>
  <c r="AG42" i="19"/>
  <c r="AA12" i="19"/>
  <c r="AG52" i="19"/>
  <c r="O42" i="19"/>
  <c r="AA22" i="19"/>
  <c r="AA52" i="19"/>
  <c r="AG22" i="19"/>
  <c r="AM32" i="19"/>
  <c r="U52" i="19"/>
  <c r="AG32" i="19"/>
  <c r="O22" i="19"/>
  <c r="O52" i="19"/>
  <c r="AM12" i="19"/>
  <c r="O32" i="19"/>
  <c r="AC50" i="1"/>
  <c r="AC51" i="1"/>
  <c r="T11" i="1"/>
  <c r="T12" i="1"/>
  <c r="T13" i="1"/>
  <c r="T14" i="1"/>
  <c r="T15" i="1"/>
  <c r="Y61" i="1"/>
  <c r="Z61" i="1"/>
  <c r="Y55" i="1"/>
  <c r="Z55" i="1"/>
  <c r="X56" i="1"/>
  <c r="Z24" i="1"/>
  <c r="X25" i="1"/>
  <c r="Z25" i="1"/>
  <c r="Y48" i="1"/>
  <c r="Z48" i="1"/>
  <c r="X49" i="1"/>
  <c r="Y66" i="1"/>
  <c r="Z66" i="1"/>
  <c r="X67" i="1"/>
  <c r="Y47" i="1"/>
  <c r="Z47" i="1"/>
  <c r="X43" i="1"/>
  <c r="Y35" i="1"/>
  <c r="Z35" i="1"/>
  <c r="X36" i="1"/>
  <c r="Y36" i="1"/>
  <c r="X32" i="1"/>
  <c r="Y32" i="1"/>
  <c r="X31" i="1"/>
  <c r="Y17" i="1"/>
  <c r="Z17" i="1"/>
  <c r="X18" i="1"/>
  <c r="Y18" i="1"/>
  <c r="Z36" i="1"/>
  <c r="X37" i="1"/>
  <c r="Z37" i="1"/>
  <c r="X38" i="1"/>
  <c r="Y56" i="1"/>
  <c r="Z56" i="1"/>
  <c r="X57" i="1"/>
  <c r="X62" i="1"/>
  <c r="X63" i="1"/>
  <c r="Y25" i="1"/>
  <c r="Y43" i="1"/>
  <c r="Z43" i="1"/>
  <c r="X44" i="1"/>
  <c r="Y44" i="1"/>
  <c r="Y49" i="1"/>
  <c r="Z49" i="1"/>
  <c r="X26" i="1"/>
  <c r="Z67" i="1"/>
  <c r="Y67" i="1"/>
  <c r="Y31" i="1"/>
  <c r="Z31" i="1"/>
  <c r="Z32" i="1"/>
  <c r="X33" i="1"/>
  <c r="Z18" i="1"/>
  <c r="X19" i="1"/>
  <c r="Y19" i="1"/>
  <c r="Q12" i="1"/>
  <c r="Y37" i="1"/>
  <c r="Y63" i="1"/>
  <c r="Z63" i="1"/>
  <c r="Y62" i="1"/>
  <c r="Z62" i="1"/>
  <c r="Y57" i="1"/>
  <c r="Z57" i="1"/>
  <c r="X68" i="1"/>
  <c r="X69" i="1"/>
  <c r="Z44" i="1"/>
  <c r="X45" i="1"/>
  <c r="Y45" i="1"/>
  <c r="Z38" i="1"/>
  <c r="X39" i="1"/>
  <c r="Y38" i="1"/>
  <c r="Y26" i="1"/>
  <c r="Z26" i="1"/>
  <c r="X27" i="1"/>
  <c r="Y27" i="1"/>
  <c r="Y33" i="1"/>
  <c r="Z33" i="1"/>
  <c r="Z19" i="1"/>
  <c r="X20" i="1"/>
  <c r="Z20" i="1"/>
  <c r="X21" i="1"/>
  <c r="X10" i="1"/>
  <c r="Y10" i="1"/>
  <c r="Y69" i="1"/>
  <c r="Z69" i="1"/>
  <c r="Y68" i="1"/>
  <c r="Z68" i="1"/>
  <c r="Y39" i="1"/>
  <c r="Z39" i="1"/>
  <c r="Z45" i="1"/>
  <c r="Z27" i="1"/>
  <c r="Y20" i="1"/>
  <c r="Y21" i="1"/>
  <c r="Z21" i="1"/>
  <c r="Q11" i="1"/>
  <c r="Z10" i="1"/>
  <c r="X11" i="1"/>
  <c r="Y11" i="1"/>
  <c r="Z11" i="1"/>
  <c r="X12" i="1"/>
  <c r="Y12" i="1"/>
  <c r="Z12" i="1"/>
  <c r="X13" i="1"/>
  <c r="Z13" i="1"/>
  <c r="X14" i="1"/>
  <c r="Y14" i="1"/>
  <c r="Z14" i="1"/>
  <c r="X15" i="1"/>
  <c r="Y13" i="1"/>
  <c r="Y15" i="1"/>
  <c r="Z15" i="1"/>
  <c r="AB29" i="1"/>
  <c r="AB28" i="1"/>
  <c r="AA28" i="1"/>
  <c r="AB66" i="1"/>
  <c r="AB59" i="1"/>
  <c r="AB58" i="1"/>
  <c r="AB41" i="1"/>
  <c r="AB40" i="1"/>
  <c r="AA40" i="1"/>
  <c r="AB53" i="1"/>
  <c r="AB52" i="1"/>
  <c r="AA52" i="1"/>
  <c r="AB11" i="1"/>
  <c r="AB17" i="1"/>
  <c r="AB16" i="1"/>
  <c r="AA16" i="1"/>
  <c r="AB23" i="1"/>
  <c r="AB22" i="1"/>
  <c r="AA22" i="1"/>
  <c r="AB47" i="1"/>
  <c r="AB46" i="1"/>
  <c r="AA46" i="1"/>
  <c r="AB35" i="1"/>
  <c r="AB34" i="1"/>
  <c r="AA34" i="1"/>
  <c r="J40" i="19"/>
  <c r="V30" i="19"/>
  <c r="AH20" i="19"/>
  <c r="J30" i="19"/>
  <c r="V20" i="19"/>
  <c r="AH10" i="19"/>
  <c r="P10" i="19"/>
  <c r="AB50" i="19"/>
  <c r="J50" i="19"/>
  <c r="AB40" i="19"/>
  <c r="P30" i="19"/>
  <c r="V50" i="19"/>
  <c r="P50" i="19"/>
  <c r="AB10" i="19"/>
  <c r="AH30" i="19"/>
  <c r="AH40" i="19"/>
  <c r="J10" i="19"/>
  <c r="AB20" i="19"/>
  <c r="AH50" i="19"/>
  <c r="AC34" i="1"/>
  <c r="V10" i="19"/>
  <c r="P20" i="19"/>
  <c r="J20" i="19"/>
  <c r="P40" i="19"/>
  <c r="V40" i="19"/>
  <c r="AB30" i="19"/>
  <c r="J11" i="19"/>
  <c r="V11" i="19"/>
  <c r="AB21" i="19"/>
  <c r="P31" i="19"/>
  <c r="J31" i="19"/>
  <c r="AB41" i="19"/>
  <c r="AC40" i="1"/>
  <c r="AH41" i="19"/>
  <c r="P41" i="19"/>
  <c r="J21" i="19"/>
  <c r="AB31" i="19"/>
  <c r="AB51" i="19"/>
  <c r="P21" i="19"/>
  <c r="V41" i="19"/>
  <c r="V31" i="19"/>
  <c r="AH21" i="19"/>
  <c r="AB11" i="19"/>
  <c r="P51" i="19"/>
  <c r="V21" i="19"/>
  <c r="AH31" i="19"/>
  <c r="V51" i="19"/>
  <c r="J51" i="19"/>
  <c r="AH51" i="19"/>
  <c r="AH11" i="19"/>
  <c r="J41" i="19"/>
  <c r="P11" i="19"/>
  <c r="AA23" i="1"/>
  <c r="AB24" i="1"/>
  <c r="J47" i="19"/>
  <c r="V27" i="19"/>
  <c r="AH7" i="19"/>
  <c r="P47" i="19"/>
  <c r="AB27" i="19"/>
  <c r="J17" i="19"/>
  <c r="V47" i="19"/>
  <c r="J37" i="19"/>
  <c r="AC16" i="1"/>
  <c r="AB37" i="19"/>
  <c r="J27" i="19"/>
  <c r="V7" i="19"/>
  <c r="AH37" i="19"/>
  <c r="P27" i="19"/>
  <c r="AB7" i="19"/>
  <c r="P17" i="19"/>
  <c r="V17" i="19"/>
  <c r="AH47" i="19"/>
  <c r="P37" i="19"/>
  <c r="AB17" i="19"/>
  <c r="J7" i="19"/>
  <c r="V37" i="19"/>
  <c r="AH17" i="19"/>
  <c r="P7" i="19"/>
  <c r="AH27" i="19"/>
  <c r="AB47" i="19"/>
  <c r="AC52" i="1"/>
  <c r="AB33" i="19"/>
  <c r="V13" i="19"/>
  <c r="AH23" i="19"/>
  <c r="J23" i="19"/>
  <c r="AB43" i="19"/>
  <c r="P43" i="19"/>
  <c r="AB53" i="19"/>
  <c r="V33" i="19"/>
  <c r="P13" i="19"/>
  <c r="J43" i="19"/>
  <c r="V23" i="19"/>
  <c r="J53" i="19"/>
  <c r="AH43" i="19"/>
  <c r="AH13" i="19"/>
  <c r="P53" i="19"/>
  <c r="V43" i="19"/>
  <c r="J13" i="19"/>
  <c r="P33" i="19"/>
  <c r="J33" i="19"/>
  <c r="V53" i="19"/>
  <c r="AH33" i="19"/>
  <c r="AB23" i="19"/>
  <c r="AH53" i="19"/>
  <c r="P23" i="19"/>
  <c r="AB13" i="19"/>
  <c r="AA58" i="1"/>
  <c r="AB65" i="1"/>
  <c r="AA65" i="1"/>
  <c r="AC28" i="1"/>
  <c r="J39" i="19"/>
  <c r="AB39" i="19"/>
  <c r="AH49" i="19"/>
  <c r="P39" i="19"/>
  <c r="P9" i="19"/>
  <c r="AB9" i="19"/>
  <c r="V39" i="19"/>
  <c r="V9" i="19"/>
  <c r="AH9" i="19"/>
  <c r="J29" i="19"/>
  <c r="J19" i="19"/>
  <c r="V29" i="19"/>
  <c r="P29" i="19"/>
  <c r="AB49" i="19"/>
  <c r="AB29" i="19"/>
  <c r="P49" i="19"/>
  <c r="J49" i="19"/>
  <c r="P19" i="19"/>
  <c r="V49" i="19"/>
  <c r="AH39" i="19"/>
  <c r="V19" i="19"/>
  <c r="AH19" i="19"/>
  <c r="AH29" i="19"/>
  <c r="AB19" i="19"/>
  <c r="J9" i="19"/>
  <c r="AC22" i="1"/>
  <c r="AH8" i="19"/>
  <c r="P18" i="19"/>
  <c r="AB28" i="19"/>
  <c r="P38" i="19"/>
  <c r="AB48" i="19"/>
  <c r="J28" i="19"/>
  <c r="V38" i="19"/>
  <c r="AH38" i="19"/>
  <c r="V8" i="19"/>
  <c r="J48" i="19"/>
  <c r="AH28" i="19"/>
  <c r="P48" i="19"/>
  <c r="AH48" i="19"/>
  <c r="V28" i="19"/>
  <c r="AB38" i="19"/>
  <c r="AB18" i="19"/>
  <c r="AH18" i="19"/>
  <c r="AB8" i="19"/>
  <c r="V48" i="19"/>
  <c r="J8" i="19"/>
  <c r="V18" i="19"/>
  <c r="P28" i="19"/>
  <c r="P8" i="19"/>
  <c r="J18" i="19"/>
  <c r="J38" i="19"/>
  <c r="AB12" i="1"/>
  <c r="AA11" i="1"/>
  <c r="AA66" i="1"/>
  <c r="AB67" i="1"/>
  <c r="AB36" i="1"/>
  <c r="AA35" i="1"/>
  <c r="AA41" i="1"/>
  <c r="AB42" i="1"/>
  <c r="AA42" i="1"/>
  <c r="AB43" i="1"/>
  <c r="V32" i="19"/>
  <c r="P42" i="19"/>
  <c r="J12" i="19"/>
  <c r="J32" i="19"/>
  <c r="AB52" i="19"/>
  <c r="AC46" i="1"/>
  <c r="J22" i="19"/>
  <c r="V22" i="19"/>
  <c r="J52" i="19"/>
  <c r="AH12" i="19"/>
  <c r="J42" i="19"/>
  <c r="AH42" i="19"/>
  <c r="P32" i="19"/>
  <c r="AB12" i="19"/>
  <c r="AH32" i="19"/>
  <c r="AB32" i="19"/>
  <c r="AB42" i="19"/>
  <c r="V42" i="19"/>
  <c r="V12" i="19"/>
  <c r="V52" i="19"/>
  <c r="AB22" i="19"/>
  <c r="AH52" i="19"/>
  <c r="AH22" i="19"/>
  <c r="P22" i="19"/>
  <c r="P12" i="19"/>
  <c r="P52" i="19"/>
  <c r="AB48" i="1"/>
  <c r="AA48" i="1"/>
  <c r="AB49" i="1"/>
  <c r="AA49" i="1"/>
  <c r="AA47" i="1"/>
  <c r="AB18" i="1"/>
  <c r="AA17" i="1"/>
  <c r="AA53" i="1"/>
  <c r="AB54" i="1"/>
  <c r="AA59" i="1"/>
  <c r="AB60" i="1"/>
  <c r="AA29" i="1"/>
  <c r="AB30" i="1"/>
  <c r="W37" i="19"/>
  <c r="AI7" i="19"/>
  <c r="W17" i="19"/>
  <c r="W27" i="19"/>
  <c r="Q47" i="19"/>
  <c r="W7" i="19"/>
  <c r="AI17" i="19"/>
  <c r="K47" i="19"/>
  <c r="AI47" i="19"/>
  <c r="Q27" i="19"/>
  <c r="AC27" i="19"/>
  <c r="AC47" i="19"/>
  <c r="AC37" i="19"/>
  <c r="AI37" i="19"/>
  <c r="AC17" i="1"/>
  <c r="AC17" i="19"/>
  <c r="K37" i="19"/>
  <c r="AC7" i="19"/>
  <c r="W47" i="19"/>
  <c r="Q37" i="19"/>
  <c r="AI27" i="19"/>
  <c r="Q7" i="19"/>
  <c r="K27" i="19"/>
  <c r="K17" i="19"/>
  <c r="K7" i="19"/>
  <c r="Q17" i="19"/>
  <c r="AA67" i="1"/>
  <c r="AB68" i="1"/>
  <c r="K35" i="19"/>
  <c r="AC25" i="19"/>
  <c r="K45" i="19"/>
  <c r="AI45" i="19"/>
  <c r="W45" i="19"/>
  <c r="Q35" i="19"/>
  <c r="K55" i="19"/>
  <c r="AC15" i="19"/>
  <c r="Q15" i="19"/>
  <c r="AC35" i="19"/>
  <c r="AI35" i="19"/>
  <c r="Q55" i="19"/>
  <c r="AI25" i="19"/>
  <c r="AC65" i="1"/>
  <c r="AC55" i="19"/>
  <c r="W15" i="19"/>
  <c r="K15" i="19"/>
  <c r="W25" i="19"/>
  <c r="AC45" i="19"/>
  <c r="Q25" i="19"/>
  <c r="W55" i="19"/>
  <c r="K25" i="19"/>
  <c r="Q45" i="19"/>
  <c r="W35" i="19"/>
  <c r="AI55" i="19"/>
  <c r="AI15" i="19"/>
  <c r="AC14" i="19"/>
  <c r="Q14" i="19"/>
  <c r="AI54" i="19"/>
  <c r="Q54" i="19"/>
  <c r="Q24" i="19"/>
  <c r="AI14" i="19"/>
  <c r="W24" i="19"/>
  <c r="AC44" i="19"/>
  <c r="K54" i="19"/>
  <c r="AI34" i="19"/>
  <c r="W14" i="19"/>
  <c r="K24" i="19"/>
  <c r="AC24" i="19"/>
  <c r="AI44" i="19"/>
  <c r="AI24" i="19"/>
  <c r="W44" i="19"/>
  <c r="Q44" i="19"/>
  <c r="AC54" i="19"/>
  <c r="AC59" i="1"/>
  <c r="K44" i="19"/>
  <c r="Q34" i="19"/>
  <c r="W34" i="19"/>
  <c r="K14" i="19"/>
  <c r="W54" i="19"/>
  <c r="K34" i="19"/>
  <c r="AC34" i="19"/>
  <c r="AI41" i="19"/>
  <c r="W11" i="19"/>
  <c r="Q51" i="19"/>
  <c r="W21" i="19"/>
  <c r="AC11" i="19"/>
  <c r="AI51" i="19"/>
  <c r="W41" i="19"/>
  <c r="K41" i="19"/>
  <c r="AI11" i="19"/>
  <c r="AC41" i="19"/>
  <c r="AC21" i="19"/>
  <c r="K31" i="19"/>
  <c r="W51" i="19"/>
  <c r="Q21" i="19"/>
  <c r="Q31" i="19"/>
  <c r="AI21" i="19"/>
  <c r="K51" i="19"/>
  <c r="K21" i="19"/>
  <c r="AI31" i="19"/>
  <c r="Q41" i="19"/>
  <c r="K11" i="19"/>
  <c r="AC31" i="19"/>
  <c r="AC51" i="19"/>
  <c r="W31" i="19"/>
  <c r="Q11" i="19"/>
  <c r="AC41" i="1"/>
  <c r="AD55" i="19"/>
  <c r="R15" i="19"/>
  <c r="AJ35" i="19"/>
  <c r="AC66" i="1"/>
  <c r="X45" i="19"/>
  <c r="AJ15" i="19"/>
  <c r="AJ55" i="19"/>
  <c r="R25" i="19"/>
  <c r="X15" i="19"/>
  <c r="R55" i="19"/>
  <c r="X55" i="19"/>
  <c r="AD15" i="19"/>
  <c r="L35" i="19"/>
  <c r="L15" i="19"/>
  <c r="L45" i="19"/>
  <c r="AD45" i="19"/>
  <c r="L25" i="19"/>
  <c r="AD25" i="19"/>
  <c r="X35" i="19"/>
  <c r="X25" i="19"/>
  <c r="R35" i="19"/>
  <c r="AJ25" i="19"/>
  <c r="AD35" i="19"/>
  <c r="R45" i="19"/>
  <c r="AJ45" i="19"/>
  <c r="L55" i="19"/>
  <c r="P54" i="19"/>
  <c r="AH14" i="19"/>
  <c r="AB14" i="19"/>
  <c r="AH34" i="19"/>
  <c r="AB54" i="19"/>
  <c r="AH54" i="19"/>
  <c r="AC58" i="1"/>
  <c r="V14" i="19"/>
  <c r="J54" i="19"/>
  <c r="AH44" i="19"/>
  <c r="V54" i="19"/>
  <c r="J14" i="19"/>
  <c r="AH24" i="19"/>
  <c r="V34" i="19"/>
  <c r="AB44" i="19"/>
  <c r="AB34" i="19"/>
  <c r="P14" i="19"/>
  <c r="V24" i="19"/>
  <c r="AB24" i="19"/>
  <c r="V44" i="19"/>
  <c r="P34" i="19"/>
  <c r="J34" i="19"/>
  <c r="P24" i="19"/>
  <c r="J44" i="19"/>
  <c r="J24" i="19"/>
  <c r="P44" i="19"/>
  <c r="AJ52" i="19"/>
  <c r="AJ32" i="19"/>
  <c r="L32" i="19"/>
  <c r="AJ42" i="19"/>
  <c r="L12" i="19"/>
  <c r="L52" i="19"/>
  <c r="X12" i="19"/>
  <c r="R12" i="19"/>
  <c r="AD42" i="19"/>
  <c r="X42" i="19"/>
  <c r="AJ12" i="19"/>
  <c r="X32" i="19"/>
  <c r="R52" i="19"/>
  <c r="R32" i="19"/>
  <c r="X22" i="19"/>
  <c r="AJ22" i="19"/>
  <c r="L22" i="19"/>
  <c r="R22" i="19"/>
  <c r="AC48" i="1"/>
  <c r="AD12" i="19"/>
  <c r="AD32" i="19"/>
  <c r="AD22" i="19"/>
  <c r="X52" i="19"/>
  <c r="AD52" i="19"/>
  <c r="L42" i="19"/>
  <c r="R42" i="19"/>
  <c r="AJ21" i="19"/>
  <c r="AD31" i="19"/>
  <c r="R21" i="19"/>
  <c r="AD41" i="19"/>
  <c r="AJ11" i="19"/>
  <c r="AJ51" i="19"/>
  <c r="AC42" i="1"/>
  <c r="L41" i="19"/>
  <c r="AD11" i="19"/>
  <c r="L21" i="19"/>
  <c r="L11" i="19"/>
  <c r="X51" i="19"/>
  <c r="X21" i="19"/>
  <c r="R11" i="19"/>
  <c r="R31" i="19"/>
  <c r="AJ41" i="19"/>
  <c r="L31" i="19"/>
  <c r="R51" i="19"/>
  <c r="X31" i="19"/>
  <c r="X11" i="19"/>
  <c r="X41" i="19"/>
  <c r="AJ31" i="19"/>
  <c r="AD51" i="19"/>
  <c r="R41" i="19"/>
  <c r="AD21" i="19"/>
  <c r="L51" i="19"/>
  <c r="AB19" i="1"/>
  <c r="AA18" i="1"/>
  <c r="AA30" i="1"/>
  <c r="AB31" i="1"/>
  <c r="AA54" i="1"/>
  <c r="AB55" i="1"/>
  <c r="K42" i="19"/>
  <c r="AC32" i="19"/>
  <c r="W42" i="19"/>
  <c r="AI52" i="19"/>
  <c r="K22" i="19"/>
  <c r="Q32" i="19"/>
  <c r="AI12" i="19"/>
  <c r="AC52" i="19"/>
  <c r="Q42" i="19"/>
  <c r="AC42" i="19"/>
  <c r="K12" i="19"/>
  <c r="Q22" i="19"/>
  <c r="W52" i="19"/>
  <c r="AI42" i="19"/>
  <c r="W32" i="19"/>
  <c r="AI22" i="19"/>
  <c r="W12" i="19"/>
  <c r="AI32" i="19"/>
  <c r="AC12" i="19"/>
  <c r="Q12" i="19"/>
  <c r="Q52" i="19"/>
  <c r="AC47" i="1"/>
  <c r="K32" i="19"/>
  <c r="W22" i="19"/>
  <c r="K52" i="19"/>
  <c r="AC22" i="19"/>
  <c r="AC40" i="19"/>
  <c r="W10" i="19"/>
  <c r="AC50" i="19"/>
  <c r="Q10" i="19"/>
  <c r="Q30" i="19"/>
  <c r="W50" i="19"/>
  <c r="K40" i="19"/>
  <c r="Q50" i="19"/>
  <c r="W20" i="19"/>
  <c r="AC35" i="1"/>
  <c r="K10" i="19"/>
  <c r="Q40" i="19"/>
  <c r="K30" i="19"/>
  <c r="AI50" i="19"/>
  <c r="AI20" i="19"/>
  <c r="K50" i="19"/>
  <c r="AI40" i="19"/>
  <c r="W40" i="19"/>
  <c r="K20" i="19"/>
  <c r="AC10" i="19"/>
  <c r="AI10" i="19"/>
  <c r="AC20" i="19"/>
  <c r="AI30" i="19"/>
  <c r="AC30" i="19"/>
  <c r="W30" i="19"/>
  <c r="Q20" i="19"/>
  <c r="AC11" i="1"/>
  <c r="AI6" i="19"/>
  <c r="W26" i="19"/>
  <c r="AI36" i="19"/>
  <c r="W36" i="19"/>
  <c r="K46" i="19"/>
  <c r="Q46" i="19"/>
  <c r="W16" i="19"/>
  <c r="Q6" i="19"/>
  <c r="AI16" i="19"/>
  <c r="K26" i="19"/>
  <c r="AI26" i="19"/>
  <c r="AC36" i="19"/>
  <c r="AI46" i="19"/>
  <c r="AC26" i="19"/>
  <c r="K36" i="19"/>
  <c r="K6" i="19"/>
  <c r="Q36" i="19"/>
  <c r="W46" i="19"/>
  <c r="AC6" i="19"/>
  <c r="K16" i="19"/>
  <c r="AC46" i="19"/>
  <c r="AC16" i="19"/>
  <c r="Q26" i="19"/>
  <c r="Q16" i="19"/>
  <c r="W6" i="19"/>
  <c r="AB25" i="1"/>
  <c r="AA24" i="1"/>
  <c r="AA60" i="1"/>
  <c r="AB61" i="1"/>
  <c r="K39" i="19"/>
  <c r="AC39" i="19"/>
  <c r="W29" i="19"/>
  <c r="AI49" i="19"/>
  <c r="W9" i="19"/>
  <c r="AC19" i="19"/>
  <c r="Q49" i="19"/>
  <c r="W49" i="19"/>
  <c r="AC9" i="19"/>
  <c r="AI9" i="19"/>
  <c r="Q29" i="19"/>
  <c r="W39" i="19"/>
  <c r="Q39" i="19"/>
  <c r="AC29" i="1"/>
  <c r="K9" i="19"/>
  <c r="W19" i="19"/>
  <c r="AI39" i="19"/>
  <c r="K29" i="19"/>
  <c r="AC49" i="19"/>
  <c r="AI19" i="19"/>
  <c r="AC29" i="19"/>
  <c r="K19" i="19"/>
  <c r="K49" i="19"/>
  <c r="Q19" i="19"/>
  <c r="Q9" i="19"/>
  <c r="AI29" i="19"/>
  <c r="K23" i="19"/>
  <c r="AI43" i="19"/>
  <c r="AC43" i="19"/>
  <c r="AC53" i="19"/>
  <c r="W43" i="19"/>
  <c r="K13" i="19"/>
  <c r="Q53" i="19"/>
  <c r="AI53" i="19"/>
  <c r="K33" i="19"/>
  <c r="K43" i="19"/>
  <c r="AI33" i="19"/>
  <c r="AC33" i="19"/>
  <c r="AC53" i="1"/>
  <c r="Q33" i="19"/>
  <c r="AI23" i="19"/>
  <c r="K53" i="19"/>
  <c r="AC23" i="19"/>
  <c r="AC13" i="19"/>
  <c r="W23" i="19"/>
  <c r="W33" i="19"/>
  <c r="Q13" i="19"/>
  <c r="W13" i="19"/>
  <c r="AI13" i="19"/>
  <c r="Q43" i="19"/>
  <c r="Q23" i="19"/>
  <c r="W53" i="19"/>
  <c r="M12" i="19"/>
  <c r="AK42" i="19"/>
  <c r="AE32" i="19"/>
  <c r="AC49" i="1"/>
  <c r="M52" i="19"/>
  <c r="S12" i="19"/>
  <c r="M32" i="19"/>
  <c r="S52" i="19"/>
  <c r="Y52" i="19"/>
  <c r="Y42" i="19"/>
  <c r="AK12" i="19"/>
  <c r="S22" i="19"/>
  <c r="AE12" i="19"/>
  <c r="Y22" i="19"/>
  <c r="S32" i="19"/>
  <c r="AK52" i="19"/>
  <c r="M22" i="19"/>
  <c r="AK32" i="19"/>
  <c r="AE22" i="19"/>
  <c r="AE42" i="19"/>
  <c r="Y32" i="19"/>
  <c r="M42" i="19"/>
  <c r="Y12" i="19"/>
  <c r="AE52" i="19"/>
  <c r="AK22" i="19"/>
  <c r="S42" i="19"/>
  <c r="AA43" i="1"/>
  <c r="AB45" i="1"/>
  <c r="AA45" i="1"/>
  <c r="AB44" i="1"/>
  <c r="AA44" i="1"/>
  <c r="AA36" i="1"/>
  <c r="AB37" i="1"/>
  <c r="AB13" i="1"/>
  <c r="AA13" i="1"/>
  <c r="AA12" i="1"/>
  <c r="AB14" i="1"/>
  <c r="AC18" i="19"/>
  <c r="W28" i="19"/>
  <c r="W38" i="19"/>
  <c r="K18" i="19"/>
  <c r="AC8" i="19"/>
  <c r="AI48" i="19"/>
  <c r="AI28" i="19"/>
  <c r="K8" i="19"/>
  <c r="W18" i="19"/>
  <c r="W8" i="19"/>
  <c r="K38" i="19"/>
  <c r="AC28" i="19"/>
  <c r="AI8" i="19"/>
  <c r="Q8" i="19"/>
  <c r="W48" i="19"/>
  <c r="AI18" i="19"/>
  <c r="Q48" i="19"/>
  <c r="K48" i="19"/>
  <c r="Q38" i="19"/>
  <c r="K28" i="19"/>
  <c r="AC38" i="19"/>
  <c r="AC48" i="19"/>
  <c r="AI38" i="19"/>
  <c r="Q18" i="19"/>
  <c r="Q28" i="19"/>
  <c r="AC23" i="1"/>
  <c r="AA14" i="1"/>
  <c r="AB15" i="1"/>
  <c r="AA15" i="1"/>
  <c r="R40" i="19"/>
  <c r="AD10" i="19"/>
  <c r="X40" i="19"/>
  <c r="AJ10" i="19"/>
  <c r="R50" i="19"/>
  <c r="X10" i="19"/>
  <c r="R30" i="19"/>
  <c r="AC36" i="1"/>
  <c r="L10" i="19"/>
  <c r="L50" i="19"/>
  <c r="AJ20" i="19"/>
  <c r="AJ40" i="19"/>
  <c r="AD30" i="19"/>
  <c r="R20" i="19"/>
  <c r="AD50" i="19"/>
  <c r="AJ30" i="19"/>
  <c r="AJ50" i="19"/>
  <c r="X30" i="19"/>
  <c r="AD20" i="19"/>
  <c r="L40" i="19"/>
  <c r="X50" i="19"/>
  <c r="X20" i="19"/>
  <c r="AD40" i="19"/>
  <c r="R10" i="19"/>
  <c r="L30" i="19"/>
  <c r="L20" i="19"/>
  <c r="AA55" i="1"/>
  <c r="AB56" i="1"/>
  <c r="AA68" i="1"/>
  <c r="AB69" i="1"/>
  <c r="AA69" i="1"/>
  <c r="AD47" i="19"/>
  <c r="AJ27" i="19"/>
  <c r="AD27" i="19"/>
  <c r="AJ7" i="19"/>
  <c r="AJ37" i="19"/>
  <c r="L27" i="19"/>
  <c r="AD17" i="19"/>
  <c r="L37" i="19"/>
  <c r="R17" i="19"/>
  <c r="AJ17" i="19"/>
  <c r="X7" i="19"/>
  <c r="X47" i="19"/>
  <c r="L7" i="19"/>
  <c r="L17" i="19"/>
  <c r="R27" i="19"/>
  <c r="X27" i="19"/>
  <c r="R7" i="19"/>
  <c r="X17" i="19"/>
  <c r="AJ47" i="19"/>
  <c r="L47" i="19"/>
  <c r="R37" i="19"/>
  <c r="AD7" i="19"/>
  <c r="X37" i="19"/>
  <c r="AC18" i="1"/>
  <c r="R47" i="19"/>
  <c r="AD37" i="19"/>
  <c r="AB26" i="1"/>
  <c r="AA26" i="1"/>
  <c r="AA25" i="1"/>
  <c r="AB27" i="1"/>
  <c r="AA27" i="1"/>
  <c r="AJ43" i="19"/>
  <c r="AD33" i="19"/>
  <c r="X33" i="19"/>
  <c r="X13" i="19"/>
  <c r="AD43" i="19"/>
  <c r="L43" i="19"/>
  <c r="AC54" i="1"/>
  <c r="X23" i="19"/>
  <c r="R33" i="19"/>
  <c r="R43" i="19"/>
  <c r="AD53" i="19"/>
  <c r="AJ13" i="19"/>
  <c r="R23" i="19"/>
  <c r="R13" i="19"/>
  <c r="AJ53" i="19"/>
  <c r="L33" i="19"/>
  <c r="L23" i="19"/>
  <c r="X43" i="19"/>
  <c r="X53" i="19"/>
  <c r="AD13" i="19"/>
  <c r="L53" i="19"/>
  <c r="L13" i="19"/>
  <c r="AD23" i="19"/>
  <c r="AJ33" i="19"/>
  <c r="AJ23" i="19"/>
  <c r="R53" i="19"/>
  <c r="AA19" i="1"/>
  <c r="AB20" i="1"/>
  <c r="M55" i="19"/>
  <c r="AK15" i="19"/>
  <c r="AE25" i="19"/>
  <c r="AC67" i="1"/>
  <c r="Y35" i="19"/>
  <c r="M25" i="19"/>
  <c r="S55" i="19"/>
  <c r="S45" i="19"/>
  <c r="S35" i="19"/>
  <c r="M15" i="19"/>
  <c r="AE45" i="19"/>
  <c r="Y15" i="19"/>
  <c r="AK45" i="19"/>
  <c r="AE55" i="19"/>
  <c r="M35" i="19"/>
  <c r="M45" i="19"/>
  <c r="S25" i="19"/>
  <c r="AK35" i="19"/>
  <c r="Y25" i="19"/>
  <c r="AE15" i="19"/>
  <c r="Y45" i="19"/>
  <c r="AE35" i="19"/>
  <c r="AK25" i="19"/>
  <c r="Y55" i="19"/>
  <c r="S15" i="19"/>
  <c r="AK55" i="19"/>
  <c r="X8" i="19"/>
  <c r="R48" i="19"/>
  <c r="L8" i="19"/>
  <c r="AD38" i="19"/>
  <c r="AD48" i="19"/>
  <c r="AD8" i="19"/>
  <c r="R18" i="19"/>
  <c r="L38" i="19"/>
  <c r="AC24" i="1"/>
  <c r="AJ28" i="19"/>
  <c r="X18" i="19"/>
  <c r="X48" i="19"/>
  <c r="R28" i="19"/>
  <c r="L18" i="19"/>
  <c r="X28" i="19"/>
  <c r="R8" i="19"/>
  <c r="X38" i="19"/>
  <c r="AJ8" i="19"/>
  <c r="AD18" i="19"/>
  <c r="AJ38" i="19"/>
  <c r="L48" i="19"/>
  <c r="AJ48" i="19"/>
  <c r="AJ18" i="19"/>
  <c r="R38" i="19"/>
  <c r="AD28" i="19"/>
  <c r="L28" i="19"/>
  <c r="Z11" i="19"/>
  <c r="AF31" i="19"/>
  <c r="T51" i="19"/>
  <c r="N51" i="19"/>
  <c r="Z41" i="19"/>
  <c r="AF21" i="19"/>
  <c r="AL31" i="19"/>
  <c r="T31" i="19"/>
  <c r="Z31" i="19"/>
  <c r="N21" i="19"/>
  <c r="N31" i="19"/>
  <c r="AL11" i="19"/>
  <c r="T11" i="19"/>
  <c r="AF11" i="19"/>
  <c r="AL41" i="19"/>
  <c r="T21" i="19"/>
  <c r="Z21" i="19"/>
  <c r="AL51" i="19"/>
  <c r="N11" i="19"/>
  <c r="AF51" i="19"/>
  <c r="N41" i="19"/>
  <c r="Z51" i="19"/>
  <c r="AC44" i="1"/>
  <c r="AL21" i="19"/>
  <c r="T41" i="19"/>
  <c r="AF41" i="19"/>
  <c r="AE46" i="19"/>
  <c r="M36" i="19"/>
  <c r="Y16" i="19"/>
  <c r="AK46" i="19"/>
  <c r="S36" i="19"/>
  <c r="AE16" i="19"/>
  <c r="M6" i="19"/>
  <c r="AK16" i="19"/>
  <c r="M26" i="19"/>
  <c r="S46" i="19"/>
  <c r="AE26" i="19"/>
  <c r="M16" i="19"/>
  <c r="Y46" i="19"/>
  <c r="AK26" i="19"/>
  <c r="S16" i="19"/>
  <c r="Y6" i="19"/>
  <c r="AK36" i="19"/>
  <c r="S26" i="19"/>
  <c r="AE6" i="19"/>
  <c r="M46" i="19"/>
  <c r="Y26" i="19"/>
  <c r="AK6" i="19"/>
  <c r="Y36" i="19"/>
  <c r="S6" i="19"/>
  <c r="AE36" i="19"/>
  <c r="AC13" i="1"/>
  <c r="O11" i="19"/>
  <c r="O21" i="19"/>
  <c r="O51" i="19"/>
  <c r="AA31" i="19"/>
  <c r="AM31" i="19"/>
  <c r="AG51" i="19"/>
  <c r="AA41" i="19"/>
  <c r="AM11" i="19"/>
  <c r="U21" i="19"/>
  <c r="AG41" i="19"/>
  <c r="AM21" i="19"/>
  <c r="AM51" i="19"/>
  <c r="O41" i="19"/>
  <c r="U11" i="19"/>
  <c r="AG31" i="19"/>
  <c r="U41" i="19"/>
  <c r="AC45" i="1"/>
  <c r="AG11" i="19"/>
  <c r="AM41" i="19"/>
  <c r="AA21" i="19"/>
  <c r="AA51" i="19"/>
  <c r="U51" i="19"/>
  <c r="U31" i="19"/>
  <c r="AA11" i="19"/>
  <c r="AG21" i="19"/>
  <c r="O31" i="19"/>
  <c r="AA61" i="1"/>
  <c r="AB62" i="1"/>
  <c r="AA31" i="1"/>
  <c r="AB32" i="1"/>
  <c r="AA32" i="1"/>
  <c r="AB33" i="1"/>
  <c r="AA33" i="1"/>
  <c r="AJ46" i="19"/>
  <c r="AD46" i="19"/>
  <c r="L36" i="19"/>
  <c r="X16" i="19"/>
  <c r="AJ26" i="19"/>
  <c r="L46" i="19"/>
  <c r="X6" i="19"/>
  <c r="R36" i="19"/>
  <c r="X36" i="19"/>
  <c r="R6" i="19"/>
  <c r="AJ6" i="19"/>
  <c r="AD36" i="19"/>
  <c r="R46" i="19"/>
  <c r="AD26" i="19"/>
  <c r="L16" i="19"/>
  <c r="AD16" i="19"/>
  <c r="AC12" i="1"/>
  <c r="X46" i="19"/>
  <c r="X26" i="19"/>
  <c r="AJ36" i="19"/>
  <c r="R26" i="19"/>
  <c r="AD6" i="19"/>
  <c r="L6" i="19"/>
  <c r="L26" i="19"/>
  <c r="R16" i="19"/>
  <c r="AJ16" i="19"/>
  <c r="AA37" i="1"/>
  <c r="AB38" i="1"/>
  <c r="AE11" i="19"/>
  <c r="Y41" i="19"/>
  <c r="M41" i="19"/>
  <c r="Y21" i="19"/>
  <c r="AK41" i="19"/>
  <c r="S31" i="19"/>
  <c r="M31" i="19"/>
  <c r="M51" i="19"/>
  <c r="Y51" i="19"/>
  <c r="AK21" i="19"/>
  <c r="AK31" i="19"/>
  <c r="Y11" i="19"/>
  <c r="AE41" i="19"/>
  <c r="AE21" i="19"/>
  <c r="S51" i="19"/>
  <c r="AE51" i="19"/>
  <c r="AK51" i="19"/>
  <c r="M21" i="19"/>
  <c r="AE31" i="19"/>
  <c r="AC43" i="1"/>
  <c r="S41" i="19"/>
  <c r="AK11" i="19"/>
  <c r="S11" i="19"/>
  <c r="Y31" i="19"/>
  <c r="S21" i="19"/>
  <c r="M11" i="19"/>
  <c r="L54" i="19"/>
  <c r="AJ14" i="19"/>
  <c r="AD44" i="19"/>
  <c r="X54" i="19"/>
  <c r="R14" i="19"/>
  <c r="AD24" i="19"/>
  <c r="AD34" i="19"/>
  <c r="R54" i="19"/>
  <c r="L34" i="19"/>
  <c r="AJ34" i="19"/>
  <c r="X24" i="19"/>
  <c r="AJ24" i="19"/>
  <c r="X44" i="19"/>
  <c r="R24" i="19"/>
  <c r="AC60" i="1"/>
  <c r="X34" i="19"/>
  <c r="L14" i="19"/>
  <c r="AD14" i="19"/>
  <c r="L44" i="19"/>
  <c r="R44" i="19"/>
  <c r="AD54" i="19"/>
  <c r="X14" i="19"/>
  <c r="AJ44" i="19"/>
  <c r="R34" i="19"/>
  <c r="AJ54" i="19"/>
  <c r="L24" i="19"/>
  <c r="AD29" i="19"/>
  <c r="AD19" i="19"/>
  <c r="R39" i="19"/>
  <c r="R9" i="19"/>
  <c r="X49" i="19"/>
  <c r="X9" i="19"/>
  <c r="AD39" i="19"/>
  <c r="R29" i="19"/>
  <c r="L49" i="19"/>
  <c r="X19" i="19"/>
  <c r="X29" i="19"/>
  <c r="X39" i="19"/>
  <c r="L9" i="19"/>
  <c r="AC30" i="1"/>
  <c r="AD9" i="19"/>
  <c r="AJ49" i="19"/>
  <c r="L39" i="19"/>
  <c r="R19" i="19"/>
  <c r="AJ39" i="19"/>
  <c r="AJ29" i="19"/>
  <c r="AJ19" i="19"/>
  <c r="AJ9" i="19"/>
  <c r="AD49" i="19"/>
  <c r="L19" i="19"/>
  <c r="L29" i="19"/>
  <c r="R49" i="19"/>
  <c r="AA38" i="1"/>
  <c r="AB39" i="1"/>
  <c r="AA39" i="1"/>
  <c r="AG39" i="19"/>
  <c r="AG29" i="19"/>
  <c r="AM19" i="19"/>
  <c r="O39" i="19"/>
  <c r="AC33" i="1"/>
  <c r="AG49" i="19"/>
  <c r="O29" i="19"/>
  <c r="U29" i="19"/>
  <c r="O49" i="19"/>
  <c r="U49" i="19"/>
  <c r="AA19" i="19"/>
  <c r="U39" i="19"/>
  <c r="AG9" i="19"/>
  <c r="AA39" i="19"/>
  <c r="AM49" i="19"/>
  <c r="O19" i="19"/>
  <c r="AM39" i="19"/>
  <c r="AM29" i="19"/>
  <c r="O9" i="19"/>
  <c r="AM9" i="19"/>
  <c r="AA49" i="19"/>
  <c r="AG19" i="19"/>
  <c r="U9" i="19"/>
  <c r="U19" i="19"/>
  <c r="AA9" i="19"/>
  <c r="AA29" i="19"/>
  <c r="AE54" i="19"/>
  <c r="S24" i="19"/>
  <c r="AE34" i="19"/>
  <c r="Y54" i="19"/>
  <c r="AE14" i="19"/>
  <c r="Y34" i="19"/>
  <c r="M44" i="19"/>
  <c r="AK54" i="19"/>
  <c r="M24" i="19"/>
  <c r="AK34" i="19"/>
  <c r="Y14" i="19"/>
  <c r="AK14" i="19"/>
  <c r="Y24" i="19"/>
  <c r="S44" i="19"/>
  <c r="M34" i="19"/>
  <c r="AK44" i="19"/>
  <c r="M54" i="19"/>
  <c r="Y44" i="19"/>
  <c r="S54" i="19"/>
  <c r="AK24" i="19"/>
  <c r="M14" i="19"/>
  <c r="AE44" i="19"/>
  <c r="S34" i="19"/>
  <c r="AC61" i="1"/>
  <c r="AE24" i="19"/>
  <c r="S14" i="19"/>
  <c r="AK17" i="19"/>
  <c r="S27" i="19"/>
  <c r="S37" i="19"/>
  <c r="AE27" i="19"/>
  <c r="Y47" i="19"/>
  <c r="S7" i="19"/>
  <c r="M17" i="19"/>
  <c r="AE17" i="19"/>
  <c r="AK27" i="19"/>
  <c r="Y7" i="19"/>
  <c r="Y37" i="19"/>
  <c r="AE37" i="19"/>
  <c r="Y27" i="19"/>
  <c r="M47" i="19"/>
  <c r="AC19" i="1"/>
  <c r="AE47" i="19"/>
  <c r="Y17" i="19"/>
  <c r="AE7" i="19"/>
  <c r="M27" i="19"/>
  <c r="S47" i="19"/>
  <c r="M7" i="19"/>
  <c r="M37" i="19"/>
  <c r="S17" i="19"/>
  <c r="AK7" i="19"/>
  <c r="AK47" i="19"/>
  <c r="AK37" i="19"/>
  <c r="M48" i="19"/>
  <c r="S48" i="19"/>
  <c r="AE8" i="19"/>
  <c r="AE38" i="19"/>
  <c r="M38" i="19"/>
  <c r="AE18" i="19"/>
  <c r="AK48" i="19"/>
  <c r="AK18" i="19"/>
  <c r="AK28" i="19"/>
  <c r="S28" i="19"/>
  <c r="Y48" i="19"/>
  <c r="M8" i="19"/>
  <c r="Y8" i="19"/>
  <c r="M28" i="19"/>
  <c r="AK38" i="19"/>
  <c r="M18" i="19"/>
  <c r="Y28" i="19"/>
  <c r="S38" i="19"/>
  <c r="AE48" i="19"/>
  <c r="Y18" i="19"/>
  <c r="AK8" i="19"/>
  <c r="Y38" i="19"/>
  <c r="S8" i="19"/>
  <c r="S18" i="19"/>
  <c r="AC25" i="1"/>
  <c r="AE28" i="19"/>
  <c r="AA55" i="19"/>
  <c r="O45" i="19"/>
  <c r="AA15" i="19"/>
  <c r="AM55" i="19"/>
  <c r="O55" i="19"/>
  <c r="AG35" i="19"/>
  <c r="AM25" i="19"/>
  <c r="AM35" i="19"/>
  <c r="AA25" i="19"/>
  <c r="AM45" i="19"/>
  <c r="AG25" i="19"/>
  <c r="AA35" i="19"/>
  <c r="O25" i="19"/>
  <c r="U25" i="19"/>
  <c r="AG45" i="19"/>
  <c r="U35" i="19"/>
  <c r="AA45" i="19"/>
  <c r="AM15" i="19"/>
  <c r="U45" i="19"/>
  <c r="O35" i="19"/>
  <c r="O15" i="19"/>
  <c r="AC69" i="1"/>
  <c r="AG15" i="19"/>
  <c r="U15" i="19"/>
  <c r="AG55" i="19"/>
  <c r="U55" i="19"/>
  <c r="AE40" i="19"/>
  <c r="Y30" i="19"/>
  <c r="M20" i="19"/>
  <c r="AC37" i="1"/>
  <c r="Y20" i="19"/>
  <c r="M40" i="19"/>
  <c r="M10" i="19"/>
  <c r="AK20" i="19"/>
  <c r="AK10" i="19"/>
  <c r="AK30" i="19"/>
  <c r="Y40" i="19"/>
  <c r="S40" i="19"/>
  <c r="AE30" i="19"/>
  <c r="Y10" i="19"/>
  <c r="M30" i="19"/>
  <c r="AE50" i="19"/>
  <c r="AE20" i="19"/>
  <c r="S50" i="19"/>
  <c r="S10" i="19"/>
  <c r="Y50" i="19"/>
  <c r="S30" i="19"/>
  <c r="AK50" i="19"/>
  <c r="AE10" i="19"/>
  <c r="S20" i="19"/>
  <c r="M50" i="19"/>
  <c r="AK40" i="19"/>
  <c r="AF39" i="19"/>
  <c r="AL19" i="19"/>
  <c r="N39" i="19"/>
  <c r="Z19" i="19"/>
  <c r="AF19" i="19"/>
  <c r="N29" i="19"/>
  <c r="AL29" i="19"/>
  <c r="AL39" i="19"/>
  <c r="AF49" i="19"/>
  <c r="AF9" i="19"/>
  <c r="AL9" i="19"/>
  <c r="N49" i="19"/>
  <c r="Z9" i="19"/>
  <c r="Z49" i="19"/>
  <c r="N19" i="19"/>
  <c r="Z39" i="19"/>
  <c r="T9" i="19"/>
  <c r="T39" i="19"/>
  <c r="Z29" i="19"/>
  <c r="N9" i="19"/>
  <c r="T49" i="19"/>
  <c r="AC32" i="1"/>
  <c r="T19" i="19"/>
  <c r="AL49" i="19"/>
  <c r="T29" i="19"/>
  <c r="AF29" i="19"/>
  <c r="T18" i="19"/>
  <c r="N48" i="19"/>
  <c r="N8" i="19"/>
  <c r="T28" i="19"/>
  <c r="AF38" i="19"/>
  <c r="Z28" i="19"/>
  <c r="Z18" i="19"/>
  <c r="AF8" i="19"/>
  <c r="AC26" i="1"/>
  <c r="AL8" i="19"/>
  <c r="Z48" i="19"/>
  <c r="AL48" i="19"/>
  <c r="AL28" i="19"/>
  <c r="N38" i="19"/>
  <c r="AL38" i="19"/>
  <c r="AF28" i="19"/>
  <c r="AF18" i="19"/>
  <c r="AL18" i="19"/>
  <c r="Z8" i="19"/>
  <c r="T48" i="19"/>
  <c r="T8" i="19"/>
  <c r="T38" i="19"/>
  <c r="Z38" i="19"/>
  <c r="AF48" i="19"/>
  <c r="N28" i="19"/>
  <c r="N18" i="19"/>
  <c r="AL55" i="19"/>
  <c r="Z45" i="19"/>
  <c r="Z35" i="19"/>
  <c r="N25" i="19"/>
  <c r="Z55" i="19"/>
  <c r="N45" i="19"/>
  <c r="T35" i="19"/>
  <c r="T45" i="19"/>
  <c r="AL25" i="19"/>
  <c r="AL15" i="19"/>
  <c r="N35" i="19"/>
  <c r="AL35" i="19"/>
  <c r="Z25" i="19"/>
  <c r="AF25" i="19"/>
  <c r="T15" i="19"/>
  <c r="T55" i="19"/>
  <c r="AL45" i="19"/>
  <c r="T25" i="19"/>
  <c r="AF45" i="19"/>
  <c r="AF15" i="19"/>
  <c r="AC68" i="1"/>
  <c r="N15" i="19"/>
  <c r="AF55" i="19"/>
  <c r="N55" i="19"/>
  <c r="Z15" i="19"/>
  <c r="AF35" i="19"/>
  <c r="S39" i="19"/>
  <c r="M49" i="19"/>
  <c r="AE19" i="19"/>
  <c r="S49" i="19"/>
  <c r="AK19" i="19"/>
  <c r="Y9" i="19"/>
  <c r="M29" i="19"/>
  <c r="AE49" i="19"/>
  <c r="Y39" i="19"/>
  <c r="AK49" i="19"/>
  <c r="AK29" i="19"/>
  <c r="AK39" i="19"/>
  <c r="S19" i="19"/>
  <c r="M19" i="19"/>
  <c r="AE9" i="19"/>
  <c r="AE39" i="19"/>
  <c r="M39" i="19"/>
  <c r="AK9" i="19"/>
  <c r="Y19" i="19"/>
  <c r="S29" i="19"/>
  <c r="S9" i="19"/>
  <c r="AE29" i="19"/>
  <c r="Y49" i="19"/>
  <c r="AC31" i="1"/>
  <c r="M9" i="19"/>
  <c r="Y29" i="19"/>
  <c r="AA56" i="1"/>
  <c r="AB57" i="1"/>
  <c r="AA57" i="1"/>
  <c r="AM46" i="19"/>
  <c r="U36" i="19"/>
  <c r="AG16" i="19"/>
  <c r="O6" i="19"/>
  <c r="AA36" i="19"/>
  <c r="AM16" i="19"/>
  <c r="U6" i="19"/>
  <c r="AG46" i="19"/>
  <c r="AA16" i="19"/>
  <c r="AC15" i="1"/>
  <c r="AA6" i="19"/>
  <c r="AG6" i="19"/>
  <c r="AA46" i="19"/>
  <c r="AM26" i="19"/>
  <c r="U16" i="19"/>
  <c r="O36" i="19"/>
  <c r="U26" i="19"/>
  <c r="O46" i="19"/>
  <c r="AA26" i="19"/>
  <c r="AM6" i="19"/>
  <c r="U46" i="19"/>
  <c r="AG26" i="19"/>
  <c r="O16" i="19"/>
  <c r="AG36" i="19"/>
  <c r="O26" i="19"/>
  <c r="AM36" i="19"/>
  <c r="AA62" i="1"/>
  <c r="AB63" i="1"/>
  <c r="AA63" i="1"/>
  <c r="AB21" i="1"/>
  <c r="AA21" i="1"/>
  <c r="AA20" i="1"/>
  <c r="O8" i="19"/>
  <c r="AA48" i="19"/>
  <c r="AM38" i="19"/>
  <c r="U48" i="19"/>
  <c r="AA18" i="19"/>
  <c r="AG18" i="19"/>
  <c r="AG48" i="19"/>
  <c r="AM18" i="19"/>
  <c r="AA28" i="19"/>
  <c r="AG28" i="19"/>
  <c r="AA8" i="19"/>
  <c r="U18" i="19"/>
  <c r="AG38" i="19"/>
  <c r="U38" i="19"/>
  <c r="AM8" i="19"/>
  <c r="AA38" i="19"/>
  <c r="AM48" i="19"/>
  <c r="U28" i="19"/>
  <c r="O38" i="19"/>
  <c r="U8" i="19"/>
  <c r="AG8" i="19"/>
  <c r="AC27" i="1"/>
  <c r="O18" i="19"/>
  <c r="O28" i="19"/>
  <c r="O48" i="19"/>
  <c r="AM28" i="19"/>
  <c r="Y33" i="19"/>
  <c r="AE13" i="19"/>
  <c r="S23" i="19"/>
  <c r="Y13" i="19"/>
  <c r="AE23" i="19"/>
  <c r="AK33" i="19"/>
  <c r="AK13" i="19"/>
  <c r="S43" i="19"/>
  <c r="M23" i="19"/>
  <c r="Y43" i="19"/>
  <c r="M43" i="19"/>
  <c r="AE43" i="19"/>
  <c r="AE53" i="19"/>
  <c r="M13" i="19"/>
  <c r="AK43" i="19"/>
  <c r="AK23" i="19"/>
  <c r="Y23" i="19"/>
  <c r="AE33" i="19"/>
  <c r="M53" i="19"/>
  <c r="S13" i="19"/>
  <c r="S33" i="19"/>
  <c r="AK53" i="19"/>
  <c r="Y53" i="19"/>
  <c r="S53" i="19"/>
  <c r="AC55" i="1"/>
  <c r="M33" i="19"/>
  <c r="AF6" i="19"/>
  <c r="N46" i="19"/>
  <c r="Z26" i="19"/>
  <c r="AL6" i="19"/>
  <c r="AL36" i="19"/>
  <c r="AF26" i="19"/>
  <c r="Z6" i="19"/>
  <c r="T26" i="19"/>
  <c r="Z46" i="19"/>
  <c r="AF46" i="19"/>
  <c r="T46" i="19"/>
  <c r="T6" i="19"/>
  <c r="AF36" i="19"/>
  <c r="N26" i="19"/>
  <c r="Z16" i="19"/>
  <c r="AL26" i="19"/>
  <c r="Z36" i="19"/>
  <c r="N36" i="19"/>
  <c r="AL46" i="19"/>
  <c r="T36" i="19"/>
  <c r="AF16" i="19"/>
  <c r="N6" i="19"/>
  <c r="N16" i="19"/>
  <c r="AC14" i="1"/>
  <c r="AL16" i="19"/>
  <c r="T16" i="19"/>
  <c r="AG24" i="19"/>
  <c r="O44" i="19"/>
  <c r="O24" i="19"/>
  <c r="AM14" i="19"/>
  <c r="AG34" i="19"/>
  <c r="O34" i="19"/>
  <c r="AA44" i="19"/>
  <c r="O14" i="19"/>
  <c r="AA54" i="19"/>
  <c r="U14" i="19"/>
  <c r="AM44" i="19"/>
  <c r="AA34" i="19"/>
  <c r="AM24" i="19"/>
  <c r="AM54" i="19"/>
  <c r="AG14" i="19"/>
  <c r="AM34" i="19"/>
  <c r="U54" i="19"/>
  <c r="AG44" i="19"/>
  <c r="AA24" i="19"/>
  <c r="AG54" i="19"/>
  <c r="U34" i="19"/>
  <c r="U24" i="19"/>
  <c r="AC63" i="1"/>
  <c r="AA14" i="19"/>
  <c r="O54" i="19"/>
  <c r="U44" i="19"/>
  <c r="U43" i="19"/>
  <c r="U13" i="19"/>
  <c r="AM53" i="19"/>
  <c r="AA53" i="19"/>
  <c r="AA43" i="19"/>
  <c r="O53" i="19"/>
  <c r="O23" i="19"/>
  <c r="O13" i="19"/>
  <c r="AG43" i="19"/>
  <c r="U33" i="19"/>
  <c r="U23" i="19"/>
  <c r="AM13" i="19"/>
  <c r="AM23" i="19"/>
  <c r="AG13" i="19"/>
  <c r="AA23" i="19"/>
  <c r="AG33" i="19"/>
  <c r="AA33" i="19"/>
  <c r="AM33" i="19"/>
  <c r="AA13" i="19"/>
  <c r="AC57" i="1"/>
  <c r="AG23" i="19"/>
  <c r="U53" i="19"/>
  <c r="AG53" i="19"/>
  <c r="O43" i="19"/>
  <c r="AM43" i="19"/>
  <c r="O33" i="19"/>
  <c r="AF54" i="19"/>
  <c r="AL34" i="19"/>
  <c r="AF34" i="19"/>
  <c r="AL14" i="19"/>
  <c r="AF44" i="19"/>
  <c r="T44" i="19"/>
  <c r="N14" i="19"/>
  <c r="N44" i="19"/>
  <c r="T24" i="19"/>
  <c r="N24" i="19"/>
  <c r="AL44" i="19"/>
  <c r="N34" i="19"/>
  <c r="Z44" i="19"/>
  <c r="Z24" i="19"/>
  <c r="T14" i="19"/>
  <c r="N54" i="19"/>
  <c r="T34" i="19"/>
  <c r="Z14" i="19"/>
  <c r="AF24" i="19"/>
  <c r="AF14" i="19"/>
  <c r="Z54" i="19"/>
  <c r="AL54" i="19"/>
  <c r="T54" i="19"/>
  <c r="AL24" i="19"/>
  <c r="Z34" i="19"/>
  <c r="AC62" i="1"/>
  <c r="AF53" i="19"/>
  <c r="T43" i="19"/>
  <c r="Z53" i="19"/>
  <c r="N43" i="19"/>
  <c r="T23" i="19"/>
  <c r="AF43" i="19"/>
  <c r="Z13" i="19"/>
  <c r="Z43" i="19"/>
  <c r="AF23" i="19"/>
  <c r="AL13" i="19"/>
  <c r="Z23" i="19"/>
  <c r="AL43" i="19"/>
  <c r="AF13" i="19"/>
  <c r="AL23" i="19"/>
  <c r="N13" i="19"/>
  <c r="T33" i="19"/>
  <c r="AL53" i="19"/>
  <c r="N23" i="19"/>
  <c r="N53" i="19"/>
  <c r="AF33" i="19"/>
  <c r="N33" i="19"/>
  <c r="AC56" i="1"/>
  <c r="T53" i="19"/>
  <c r="AL33" i="19"/>
  <c r="T13" i="19"/>
  <c r="Z33" i="19"/>
  <c r="Z47" i="19"/>
  <c r="T7" i="19"/>
  <c r="AL37" i="19"/>
  <c r="T17" i="19"/>
  <c r="Z17" i="19"/>
  <c r="AF7" i="19"/>
  <c r="AF37" i="19"/>
  <c r="N17" i="19"/>
  <c r="AF27" i="19"/>
  <c r="AC20" i="1"/>
  <c r="AF47" i="19"/>
  <c r="AL47" i="19"/>
  <c r="T27" i="19"/>
  <c r="Z37" i="19"/>
  <c r="T37" i="19"/>
  <c r="N37" i="19"/>
  <c r="N47" i="19"/>
  <c r="Z27" i="19"/>
  <c r="AL7" i="19"/>
  <c r="AL17" i="19"/>
  <c r="AF17" i="19"/>
  <c r="AL27" i="19"/>
  <c r="N27" i="19"/>
  <c r="N7" i="19"/>
  <c r="Z7" i="19"/>
  <c r="T47" i="19"/>
  <c r="O20" i="19"/>
  <c r="AM40" i="19"/>
  <c r="O30" i="19"/>
  <c r="AM50" i="19"/>
  <c r="AA50" i="19"/>
  <c r="AM30" i="19"/>
  <c r="AM10" i="19"/>
  <c r="AM20" i="19"/>
  <c r="O50" i="19"/>
  <c r="U30" i="19"/>
  <c r="AA10" i="19"/>
  <c r="U40" i="19"/>
  <c r="O40" i="19"/>
  <c r="U20" i="19"/>
  <c r="AC39" i="1"/>
  <c r="AG40" i="19"/>
  <c r="AG50" i="19"/>
  <c r="U50" i="19"/>
  <c r="AA30" i="19"/>
  <c r="AG10" i="19"/>
  <c r="AA40" i="19"/>
  <c r="AG20" i="19"/>
  <c r="AA20" i="19"/>
  <c r="U10" i="19"/>
  <c r="AG30" i="19"/>
  <c r="O10" i="19"/>
  <c r="AG37" i="19"/>
  <c r="AG47" i="19"/>
  <c r="U7" i="19"/>
  <c r="AM47" i="19"/>
  <c r="U27" i="19"/>
  <c r="O37" i="19"/>
  <c r="O17" i="19"/>
  <c r="AA7" i="19"/>
  <c r="AA47" i="19"/>
  <c r="O27" i="19"/>
  <c r="U37" i="19"/>
  <c r="AM17" i="19"/>
  <c r="AM37" i="19"/>
  <c r="AG27" i="19"/>
  <c r="AM7" i="19"/>
  <c r="AG7" i="19"/>
  <c r="AC21" i="1"/>
  <c r="AA17" i="19"/>
  <c r="O7" i="19"/>
  <c r="AA37" i="19"/>
  <c r="AA27" i="19"/>
  <c r="AM27" i="19"/>
  <c r="U17" i="19"/>
  <c r="U47" i="19"/>
  <c r="AG17" i="19"/>
  <c r="O47" i="19"/>
  <c r="Z40" i="19"/>
  <c r="AC38" i="1"/>
  <c r="T10" i="19"/>
  <c r="AF10" i="19"/>
  <c r="T20" i="19"/>
  <c r="N30" i="19"/>
  <c r="Z20" i="19"/>
  <c r="AF50" i="19"/>
  <c r="T50" i="19"/>
  <c r="AL30" i="19"/>
  <c r="T40" i="19"/>
  <c r="AF40" i="19"/>
  <c r="AF30" i="19"/>
  <c r="N50" i="19"/>
  <c r="AL40" i="19"/>
  <c r="AL20" i="19"/>
  <c r="Z10" i="19"/>
  <c r="AF20" i="19"/>
  <c r="N10" i="19"/>
  <c r="Z50" i="19"/>
  <c r="AL50" i="19"/>
  <c r="N40" i="19"/>
  <c r="T30" i="19"/>
  <c r="Z30" i="19"/>
  <c r="AL10" i="19"/>
  <c r="N20" i="19"/>
  <c r="AB64" i="1"/>
  <c r="AA64" i="1"/>
  <c r="V25" i="19"/>
  <c r="V45" i="19"/>
  <c r="J15" i="19"/>
  <c r="AB45" i="19"/>
  <c r="AH25" i="19"/>
  <c r="AH55" i="19"/>
  <c r="AB15" i="19"/>
  <c r="P15" i="19"/>
  <c r="P45" i="19"/>
  <c r="V15" i="19"/>
  <c r="J35" i="19"/>
  <c r="AH45" i="19"/>
  <c r="J25" i="19"/>
  <c r="AB35" i="19"/>
  <c r="AH15" i="19"/>
  <c r="V35" i="19"/>
  <c r="J55" i="19"/>
  <c r="AB55" i="19"/>
  <c r="AC64" i="1"/>
  <c r="AB25" i="19"/>
  <c r="J45" i="19"/>
  <c r="P25" i="19"/>
  <c r="P35" i="19"/>
  <c r="AH35" i="19"/>
  <c r="V55" i="19"/>
  <c r="P55" i="19"/>
  <c r="AD12" i="31" l="1"/>
  <c r="AC12" i="31" s="1"/>
  <c r="AC11" i="31"/>
  <c r="AB11" i="31"/>
  <c r="Z12" i="31" s="1"/>
  <c r="AA11" i="31"/>
  <c r="AE11" i="31" s="1"/>
  <c r="P11" i="31"/>
  <c r="X12" i="26"/>
  <c r="Y12" i="26" s="1"/>
  <c r="G61" i="23"/>
  <c r="G62" i="23" s="1"/>
  <c r="I25" i="23" s="1"/>
  <c r="N25" i="23" s="1"/>
  <c r="O25" i="23" s="1"/>
  <c r="I61" i="23"/>
  <c r="I62" i="23" s="1"/>
  <c r="I29" i="23" s="1"/>
  <c r="N29" i="23" s="1"/>
  <c r="O29" i="23" s="1"/>
  <c r="G64" i="23"/>
  <c r="G65" i="23" s="1"/>
  <c r="P25" i="23" s="1"/>
  <c r="AB20" i="26"/>
  <c r="AA20" i="26" s="1"/>
  <c r="X24" i="26"/>
  <c r="Z24" i="26" s="1"/>
  <c r="X20" i="26"/>
  <c r="X18" i="26"/>
  <c r="AB12" i="26"/>
  <c r="AA12" i="26" s="1"/>
  <c r="AB19" i="26"/>
  <c r="AA19" i="26" s="1"/>
  <c r="AA15" i="26"/>
  <c r="AC23" i="26"/>
  <c r="N15" i="26"/>
  <c r="AC22" i="26"/>
  <c r="N27" i="26"/>
  <c r="Y16" i="26"/>
  <c r="Z16" i="26"/>
  <c r="X17" i="26" s="1"/>
  <c r="Y15" i="26"/>
  <c r="Z18" i="26"/>
  <c r="X19" i="26" s="1"/>
  <c r="Y18" i="26"/>
  <c r="AC18" i="26" s="1"/>
  <c r="Y24" i="26"/>
  <c r="AC24" i="26" s="1"/>
  <c r="Y20" i="26"/>
  <c r="Z20" i="26"/>
  <c r="Z23" i="26"/>
  <c r="N24" i="26"/>
  <c r="N20" i="26"/>
  <c r="Z22" i="26"/>
  <c r="AB16" i="26"/>
  <c r="AA16" i="26" s="1"/>
  <c r="AB17" i="26"/>
  <c r="AA17" i="26" s="1"/>
  <c r="N12" i="26"/>
  <c r="B221" i="13"/>
  <c r="B223" i="13"/>
  <c r="AA12" i="31" l="1"/>
  <c r="AE12" i="31" s="1"/>
  <c r="AB12" i="31"/>
  <c r="AB13" i="26"/>
  <c r="AA13" i="26"/>
  <c r="AB14" i="26"/>
  <c r="AA14" i="26" s="1"/>
  <c r="AC20" i="26"/>
  <c r="Z12" i="26"/>
  <c r="X13" i="26" s="1"/>
  <c r="AC15" i="26"/>
  <c r="AC16" i="26"/>
  <c r="Y17" i="26"/>
  <c r="AC17" i="26" s="1"/>
  <c r="Z17" i="26"/>
  <c r="Z19" i="26"/>
  <c r="Y19" i="26"/>
  <c r="AC19" i="26" s="1"/>
  <c r="AC12" i="26"/>
  <c r="K40" i="1"/>
  <c r="L40" i="1" s="1"/>
  <c r="K10" i="1"/>
  <c r="L10" i="1" s="1"/>
  <c r="K22" i="1"/>
  <c r="L22" i="1" s="1"/>
  <c r="K58" i="1"/>
  <c r="L58" i="1" s="1"/>
  <c r="K64" i="1"/>
  <c r="L64" i="1" s="1"/>
  <c r="K34" i="1"/>
  <c r="L34" i="1" s="1"/>
  <c r="K28" i="1"/>
  <c r="L28" i="1" s="1"/>
  <c r="K46" i="1"/>
  <c r="L46" i="1" s="1"/>
  <c r="K52" i="1"/>
  <c r="L52" i="1" s="1"/>
  <c r="K16" i="1"/>
  <c r="L16" i="1" s="1"/>
  <c r="Z13" i="26" l="1"/>
  <c r="X14" i="26" s="1"/>
  <c r="Y13" i="26"/>
  <c r="AC13" i="26" s="1"/>
  <c r="P34" i="18"/>
  <c r="AB34" i="18"/>
  <c r="AH18" i="18"/>
  <c r="AB42" i="18"/>
  <c r="V10" i="18"/>
  <c r="P42" i="18"/>
  <c r="AB26" i="18"/>
  <c r="AH34" i="18"/>
  <c r="V18" i="18"/>
  <c r="V42" i="18"/>
  <c r="AB18" i="18"/>
  <c r="J10" i="18"/>
  <c r="M46" i="1"/>
  <c r="P18" i="18"/>
  <c r="J26" i="18"/>
  <c r="J42" i="18"/>
  <c r="AH42" i="18"/>
  <c r="P26" i="18"/>
  <c r="P10" i="18"/>
  <c r="AB10" i="18"/>
  <c r="AH10" i="18"/>
  <c r="J18" i="18"/>
  <c r="J34" i="18"/>
  <c r="V34" i="18"/>
  <c r="N46" i="1"/>
  <c r="AH26" i="18"/>
  <c r="V26" i="18"/>
  <c r="AB16" i="18"/>
  <c r="AB8" i="18"/>
  <c r="J8" i="18"/>
  <c r="J40" i="18"/>
  <c r="V16" i="18"/>
  <c r="V24" i="18"/>
  <c r="P8" i="18"/>
  <c r="M28" i="1"/>
  <c r="V40" i="18"/>
  <c r="N28" i="1"/>
  <c r="P16" i="18"/>
  <c r="V8" i="18"/>
  <c r="AH8" i="18"/>
  <c r="J24" i="18"/>
  <c r="P24" i="18"/>
  <c r="AB40" i="18"/>
  <c r="J32" i="18"/>
  <c r="AH32" i="18"/>
  <c r="P40" i="18"/>
  <c r="V32" i="18"/>
  <c r="J16" i="18"/>
  <c r="P32" i="18"/>
  <c r="AH16" i="18"/>
  <c r="AB32" i="18"/>
  <c r="AB24" i="18"/>
  <c r="AH40" i="18"/>
  <c r="AH24" i="18"/>
  <c r="R40" i="18"/>
  <c r="X24" i="18"/>
  <c r="L40" i="18"/>
  <c r="X40" i="18"/>
  <c r="M34" i="1"/>
  <c r="AD8" i="18"/>
  <c r="L24" i="18"/>
  <c r="AJ8" i="18"/>
  <c r="AJ24" i="18"/>
  <c r="AJ40" i="18"/>
  <c r="R8" i="18"/>
  <c r="R24" i="18"/>
  <c r="AD24" i="18"/>
  <c r="AD40" i="18"/>
  <c r="X16" i="18"/>
  <c r="N34" i="1"/>
  <c r="AJ16" i="18"/>
  <c r="AD16" i="18"/>
  <c r="R32" i="18"/>
  <c r="L16" i="18"/>
  <c r="AJ32" i="18"/>
  <c r="L8" i="18"/>
  <c r="L32" i="18"/>
  <c r="AD32" i="18"/>
  <c r="R16" i="18"/>
  <c r="X8" i="18"/>
  <c r="X32" i="18"/>
  <c r="AJ10" i="18"/>
  <c r="L10" i="18"/>
  <c r="X18" i="18"/>
  <c r="L34" i="18"/>
  <c r="AD34" i="18"/>
  <c r="R42" i="18"/>
  <c r="AJ42" i="18"/>
  <c r="L42" i="18"/>
  <c r="AJ18" i="18"/>
  <c r="R34" i="18"/>
  <c r="R18" i="18"/>
  <c r="X10" i="18"/>
  <c r="R26" i="18"/>
  <c r="AJ26" i="18"/>
  <c r="AD26" i="18"/>
  <c r="AD18" i="18"/>
  <c r="L18" i="18"/>
  <c r="N52" i="1"/>
  <c r="AD42" i="18"/>
  <c r="AD10" i="18"/>
  <c r="L26" i="18"/>
  <c r="R10" i="18"/>
  <c r="X42" i="18"/>
  <c r="AJ34" i="18"/>
  <c r="X34" i="18"/>
  <c r="M52" i="1"/>
  <c r="X26" i="18"/>
  <c r="P44" i="18"/>
  <c r="P36" i="18"/>
  <c r="V44" i="18"/>
  <c r="J44" i="18"/>
  <c r="AH28" i="18"/>
  <c r="V20" i="18"/>
  <c r="AB36" i="18"/>
  <c r="P12" i="18"/>
  <c r="V28" i="18"/>
  <c r="AB12" i="18"/>
  <c r="AB28" i="18"/>
  <c r="V36" i="18"/>
  <c r="J20" i="18"/>
  <c r="AH44" i="18"/>
  <c r="AB20" i="18"/>
  <c r="J36" i="18"/>
  <c r="V12" i="18"/>
  <c r="P20" i="18"/>
  <c r="P28" i="18"/>
  <c r="N64" i="1"/>
  <c r="M64" i="1"/>
  <c r="AH12" i="18"/>
  <c r="J12" i="18"/>
  <c r="AH20" i="18"/>
  <c r="J28" i="18"/>
  <c r="AH36" i="18"/>
  <c r="AB44" i="18"/>
  <c r="Z10" i="18"/>
  <c r="AL26" i="18"/>
  <c r="Z26" i="18"/>
  <c r="N26" i="18"/>
  <c r="T18" i="18"/>
  <c r="T26" i="18"/>
  <c r="Z18" i="18"/>
  <c r="N58" i="1"/>
  <c r="AL42" i="18"/>
  <c r="AF26" i="18"/>
  <c r="T10" i="18"/>
  <c r="AL18" i="18"/>
  <c r="AF10" i="18"/>
  <c r="Z34" i="18"/>
  <c r="N18" i="18"/>
  <c r="AL10" i="18"/>
  <c r="AL34" i="18"/>
  <c r="AF42" i="18"/>
  <c r="M58" i="1"/>
  <c r="Z42" i="18"/>
  <c r="N42" i="18"/>
  <c r="N10" i="18"/>
  <c r="T42" i="18"/>
  <c r="T34" i="18"/>
  <c r="AF34" i="18"/>
  <c r="AF18" i="18"/>
  <c r="N34" i="18"/>
  <c r="T38" i="18"/>
  <c r="AL30" i="18"/>
  <c r="N14" i="18"/>
  <c r="Z6" i="18"/>
  <c r="AF6" i="18"/>
  <c r="AL14" i="18"/>
  <c r="Z14" i="18"/>
  <c r="AF22" i="18"/>
  <c r="AF38" i="18"/>
  <c r="N22" i="18"/>
  <c r="Z22" i="18"/>
  <c r="Z38" i="18"/>
  <c r="AL22" i="18"/>
  <c r="AL38" i="18"/>
  <c r="T30" i="18"/>
  <c r="AL6" i="18"/>
  <c r="T14" i="18"/>
  <c r="AF30" i="18"/>
  <c r="T22" i="18"/>
  <c r="T6" i="18"/>
  <c r="Z30" i="18"/>
  <c r="AF14" i="18"/>
  <c r="N22" i="1"/>
  <c r="N30" i="18"/>
  <c r="M22" i="1"/>
  <c r="N6" i="18"/>
  <c r="N38" i="18"/>
  <c r="J30" i="18"/>
  <c r="J14" i="18"/>
  <c r="V14" i="18"/>
  <c r="P6" i="18"/>
  <c r="AH14" i="18"/>
  <c r="V22" i="18"/>
  <c r="M10" i="1"/>
  <c r="AB10" i="1" s="1"/>
  <c r="AA10" i="1" s="1"/>
  <c r="J6" i="18"/>
  <c r="N10" i="1"/>
  <c r="V30" i="18"/>
  <c r="V38" i="18"/>
  <c r="AB14" i="18"/>
  <c r="AB22" i="18"/>
  <c r="AH6" i="18"/>
  <c r="AH38" i="18"/>
  <c r="J38" i="18"/>
  <c r="P30" i="18"/>
  <c r="AH22" i="18"/>
  <c r="AH30" i="18"/>
  <c r="P22" i="18"/>
  <c r="AB30" i="18"/>
  <c r="P14" i="18"/>
  <c r="P38" i="18"/>
  <c r="J22" i="18"/>
  <c r="AB6" i="18"/>
  <c r="V6" i="18"/>
  <c r="AB38" i="18"/>
  <c r="M16" i="1"/>
  <c r="AJ6" i="18"/>
  <c r="X6" i="18"/>
  <c r="L6" i="18"/>
  <c r="R22" i="18"/>
  <c r="AJ22" i="18"/>
  <c r="AJ38" i="18"/>
  <c r="L22" i="18"/>
  <c r="X14" i="18"/>
  <c r="AD22" i="18"/>
  <c r="R14" i="18"/>
  <c r="L30" i="18"/>
  <c r="X22" i="18"/>
  <c r="AJ30" i="18"/>
  <c r="L38" i="18"/>
  <c r="AJ14" i="18"/>
  <c r="X38" i="18"/>
  <c r="AD6" i="18"/>
  <c r="N16" i="1"/>
  <c r="AD30" i="18"/>
  <c r="AD38" i="18"/>
  <c r="AD14" i="18"/>
  <c r="X30" i="18"/>
  <c r="R38" i="18"/>
  <c r="R6" i="18"/>
  <c r="R30" i="18"/>
  <c r="L14" i="18"/>
  <c r="N32" i="18"/>
  <c r="N40" i="1"/>
  <c r="AL16" i="18"/>
  <c r="T8" i="18"/>
  <c r="AL24" i="18"/>
  <c r="T32" i="18"/>
  <c r="AF40" i="18"/>
  <c r="Z40" i="18"/>
  <c r="T40" i="18"/>
  <c r="M40" i="1"/>
  <c r="T24" i="18"/>
  <c r="Z8" i="18"/>
  <c r="N16" i="18"/>
  <c r="N40" i="18"/>
  <c r="T16" i="18"/>
  <c r="AF32" i="18"/>
  <c r="AL40" i="18"/>
  <c r="AL8" i="18"/>
  <c r="Z16" i="18"/>
  <c r="Z24" i="18"/>
  <c r="AF8" i="18"/>
  <c r="AF16" i="18"/>
  <c r="Z32" i="18"/>
  <c r="N8" i="18"/>
  <c r="N24" i="18"/>
  <c r="AL32" i="18"/>
  <c r="AF24" i="18"/>
  <c r="Z14" i="26" l="1"/>
  <c r="Y14" i="26"/>
  <c r="AC14" i="26" s="1"/>
  <c r="AB26" i="19"/>
  <c r="AB46" i="19"/>
  <c r="AB36" i="19"/>
  <c r="V26" i="19"/>
  <c r="J6" i="19"/>
  <c r="P6" i="19"/>
  <c r="P26" i="19"/>
  <c r="P46" i="19"/>
  <c r="AB16" i="19"/>
  <c r="AH46" i="19"/>
  <c r="V16" i="19"/>
  <c r="P16" i="19"/>
  <c r="J46" i="19"/>
  <c r="AH16" i="19"/>
  <c r="V36" i="19"/>
  <c r="V46" i="19"/>
  <c r="AH26" i="19"/>
  <c r="AB6" i="19"/>
  <c r="J36" i="19"/>
  <c r="V6" i="19"/>
  <c r="J26" i="19"/>
  <c r="AH6" i="19"/>
  <c r="P36" i="19"/>
  <c r="J16" i="19"/>
  <c r="AC10" i="1"/>
  <c r="AH3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L10" authorId="0" shapeId="0" xr:uid="{3BCFDA5A-13F5-46DB-B46C-E85B2B0E943A}">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E15" authorId="1" shapeId="0" xr:uid="{2AB6702A-E29E-40D8-B211-26F1695B93DF}">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F15" authorId="2" shapeId="0" xr:uid="{76997C76-55AE-4537-859B-5A89AE69CD10}">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I15" authorId="1" shapeId="0" xr:uid="{6604BB23-9735-4CD1-BA73-ED47AC370AED}">
      <text>
        <r>
          <rPr>
            <b/>
            <sz val="9"/>
            <color indexed="81"/>
            <rFont val="Tahoma"/>
            <family val="2"/>
          </rPr>
          <t>Deisy Estupiñan:</t>
        </r>
        <r>
          <rPr>
            <sz val="9"/>
            <color indexed="81"/>
            <rFont val="Tahoma"/>
            <family val="2"/>
          </rPr>
          <t xml:space="preserve">
AUTOMATICO</t>
        </r>
      </text>
    </comment>
    <comment ref="J15" authorId="1" shapeId="0" xr:uid="{7D436C65-8ED9-4426-AF6A-93B11BCCECAA}">
      <text>
        <r>
          <rPr>
            <b/>
            <sz val="9"/>
            <color indexed="81"/>
            <rFont val="Tahoma"/>
            <family val="2"/>
          </rPr>
          <t>Deisy Estupiñan:</t>
        </r>
        <r>
          <rPr>
            <sz val="9"/>
            <color indexed="81"/>
            <rFont val="Tahoma"/>
            <family val="2"/>
          </rPr>
          <t xml:space="preserve">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1" shapeId="0" xr:uid="{28DE6CB9-6C05-4014-BC39-FDAC7EA6A2A2}">
      <text>
        <r>
          <rPr>
            <b/>
            <sz val="9"/>
            <color indexed="81"/>
            <rFont val="Tahoma"/>
            <family val="2"/>
          </rPr>
          <t>Deisy Estupiñan:</t>
        </r>
        <r>
          <rPr>
            <sz val="9"/>
            <color indexed="81"/>
            <rFont val="Tahoma"/>
            <family val="2"/>
          </rPr>
          <t xml:space="preserve">
Debe contener Responsable de ejecutar el control, acción y complemento</t>
        </r>
      </text>
    </comment>
    <comment ref="AI15" authorId="1" shapeId="0" xr:uid="{D0C09EB4-2CC8-4F87-9068-ACBA6E53A012}">
      <text>
        <r>
          <rPr>
            <b/>
            <sz val="9"/>
            <color indexed="81"/>
            <rFont val="Tahoma"/>
            <family val="2"/>
          </rPr>
          <t>Deisy Estupiñan:</t>
        </r>
        <r>
          <rPr>
            <sz val="9"/>
            <color indexed="81"/>
            <rFont val="Tahoma"/>
            <family val="2"/>
          </rPr>
          <t xml:space="preserve">
Pasar a a matriz grande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tc={B1C731C1-77D1-4866-AACF-6CA64E614985}</author>
  </authors>
  <commentList>
    <comment ref="H8" authorId="0" shapeId="0" xr:uid="{B1C731C1-77D1-4866-AACF-6CA64E614985}">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Deisy Estupiñan</author>
    <author>tc={5E6AEB13-9E9A-4255-8DD5-B3BA25586B35}</author>
    <author>usuario</author>
  </authors>
  <commentList>
    <comment ref="B10" authorId="0" shapeId="0" xr:uid="{EA8DC812-147E-4926-BB41-5E39BED77E8D}">
      <text>
        <r>
          <rPr>
            <b/>
            <sz val="9"/>
            <color indexed="81"/>
            <rFont val="Tahoma"/>
            <family val="2"/>
          </rPr>
          <t>Deisy Estupiñan:</t>
        </r>
        <r>
          <rPr>
            <sz val="9"/>
            <color indexed="81"/>
            <rFont val="Tahoma"/>
            <family val="2"/>
          </rPr>
          <t xml:space="preserve">
Es el ¿Qué?</t>
        </r>
      </text>
    </comment>
    <comment ref="C10" authorId="0" shapeId="0" xr:uid="{FC1295D0-C5AB-4AEF-BB30-54754DCAE8C5}">
      <text>
        <r>
          <rPr>
            <b/>
            <sz val="9"/>
            <color indexed="81"/>
            <rFont val="Tahoma"/>
            <family val="2"/>
          </rPr>
          <t>Deisy Estupiñan:</t>
        </r>
        <r>
          <rPr>
            <sz val="9"/>
            <color indexed="81"/>
            <rFont val="Tahoma"/>
            <family val="2"/>
          </rPr>
          <t xml:space="preserve">
Es el ¿Cómo?</t>
        </r>
      </text>
    </comment>
    <comment ref="D10" authorId="0" shapeId="0" xr:uid="{D3514842-5B1D-4BA6-A033-B102090A5C55}">
      <text>
        <r>
          <rPr>
            <b/>
            <sz val="9"/>
            <color indexed="81"/>
            <rFont val="Tahoma"/>
            <family val="2"/>
          </rPr>
          <t>Deisy Estupiñan:</t>
        </r>
        <r>
          <rPr>
            <sz val="9"/>
            <color indexed="81"/>
            <rFont val="Tahoma"/>
            <family val="2"/>
          </rPr>
          <t xml:space="preserve">
Es el ¿Por qué?</t>
        </r>
      </text>
    </comment>
    <comment ref="E10" authorId="0" shapeId="0" xr:uid="{8B510272-673C-41B6-AB4E-843340083A99}">
      <text>
        <r>
          <rPr>
            <b/>
            <sz val="9"/>
            <color indexed="81"/>
            <rFont val="Tahoma"/>
            <family val="2"/>
          </rPr>
          <t>Deisy Estupiñan:</t>
        </r>
        <r>
          <rPr>
            <sz val="9"/>
            <color indexed="81"/>
            <rFont val="Tahoma"/>
            <family val="2"/>
          </rPr>
          <t xml:space="preserve">
La estructura recomendada es iniciar con ''La posibilidad de'' continuar con el impacto + la causa inmediata + la causa raíz</t>
        </r>
      </text>
    </comment>
    <comment ref="F10" authorId="0" shapeId="0" xr:uid="{CB47CEDA-22D6-412D-94C9-C2A05F5C09B6}">
      <text>
        <r>
          <rPr>
            <b/>
            <sz val="9"/>
            <color indexed="81"/>
            <rFont val="Tahoma"/>
            <family val="2"/>
          </rPr>
          <t>Deisy Estupiñan:</t>
        </r>
        <r>
          <rPr>
            <sz val="9"/>
            <color indexed="81"/>
            <rFont val="Tahoma"/>
            <family val="2"/>
          </rPr>
          <t xml:space="preserve">
Selecciones según la lista desplegable </t>
        </r>
      </text>
    </comment>
    <comment ref="G10" authorId="0" shapeId="0" xr:uid="{794510D1-0149-4668-8965-56625CC1B671}">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H10" authorId="1" shapeId="0" xr:uid="{BDA88BC1-BEA2-4410-B517-02106D744634}">
      <text>
        <r>
          <rPr>
            <b/>
            <sz val="11"/>
            <color theme="1"/>
            <rFont val="Calibri"/>
            <family val="2"/>
            <scheme val="minor"/>
          </rPr>
          <t xml:space="preserve">Deisy Estupiñan: </t>
        </r>
        <r>
          <rPr>
            <sz val="11"/>
            <color theme="1"/>
            <rFont val="Calibri"/>
            <family val="2"/>
            <scheme val="minor"/>
          </rPr>
          <t>Probabilidad según criterios definidos en ejemplo del DAFP definir en política</t>
        </r>
      </text>
    </comment>
    <comment ref="I10" authorId="0" shapeId="0" xr:uid="{EAFC8551-EA15-4C43-BCFA-42D3E50C5A59}">
      <text>
        <r>
          <rPr>
            <b/>
            <sz val="9"/>
            <color indexed="81"/>
            <rFont val="Tahoma"/>
            <family val="2"/>
          </rPr>
          <t>Deisy Estupiñan:</t>
        </r>
        <r>
          <rPr>
            <sz val="9"/>
            <color indexed="81"/>
            <rFont val="Tahoma"/>
            <family val="2"/>
          </rPr>
          <t xml:space="preserve">
AUTOMATICO</t>
        </r>
      </text>
    </comment>
    <comment ref="J10" authorId="0" shapeId="0" xr:uid="{4EE8CE4F-E00C-4654-8407-3C3D3A3D3924}">
      <text>
        <r>
          <rPr>
            <b/>
            <sz val="9"/>
            <color indexed="81"/>
            <rFont val="Tahoma"/>
            <family val="2"/>
          </rPr>
          <t>Deisy Estupiñan:</t>
        </r>
        <r>
          <rPr>
            <sz val="9"/>
            <color indexed="81"/>
            <rFont val="Tahoma"/>
            <family val="2"/>
          </rPr>
          <t xml:space="preserve">
REPUTACIÓN:
Leve 20%: Menor a 10 SMLMV: El riesgo afecta la imagen de algún área de la organización.
Menor 40%: Entre 10 y 50 SMLMV: El riesgo afecta la imagen de la entidad internamente, desconocimiento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Catastrófico 100%: Mayor a 500 SMLMV: El riesgo afecta la imagen de la entidad a nivel nacional, con efecto publicitario sostenido a nivel país</t>
        </r>
      </text>
    </comment>
    <comment ref="P10" authorId="0" shapeId="0" xr:uid="{7F578326-C0BB-4E97-9262-18FBCD861FA1}">
      <text>
        <r>
          <rPr>
            <b/>
            <sz val="9"/>
            <color indexed="81"/>
            <rFont val="Tahoma"/>
            <family val="2"/>
          </rPr>
          <t>Deisy Estupiñan:</t>
        </r>
        <r>
          <rPr>
            <sz val="9"/>
            <color indexed="81"/>
            <rFont val="Tahoma"/>
            <family val="2"/>
          </rPr>
          <t xml:space="preserve">
Debe contener Responsable de ejecutar el control, acción y complemento</t>
        </r>
      </text>
    </comment>
    <comment ref="G12" authorId="0" shapeId="0" xr:uid="{03666F20-BA91-42FF-8C26-A41435CCC583}">
      <text>
        <r>
          <rPr>
            <b/>
            <sz val="9"/>
            <color indexed="81"/>
            <rFont val="Tahoma"/>
            <family val="2"/>
          </rPr>
          <t>Deisy Estupiñan:</t>
        </r>
        <r>
          <rPr>
            <sz val="9"/>
            <color indexed="81"/>
            <rFont val="Tahoma"/>
            <family val="2"/>
          </rPr>
          <t xml:space="preserve">
No. Actividades PETH 2021
</t>
        </r>
      </text>
    </comment>
    <comment ref="J12" authorId="0" shapeId="0" xr:uid="{65769080-E1CC-4F8C-8B7F-CEE9CAA20040}">
      <text>
        <r>
          <rPr>
            <b/>
            <sz val="9"/>
            <color indexed="81"/>
            <rFont val="Tahoma"/>
            <family val="2"/>
          </rPr>
          <t>Deisy Estupiñan:</t>
        </r>
        <r>
          <rPr>
            <sz val="9"/>
            <color indexed="81"/>
            <rFont val="Tahoma"/>
            <family val="2"/>
          </rPr>
          <t xml:space="preserve">
SMLMV que generarían las sanciones x el numero de actividades 
Afectación reputacional. El riesgo afecta la imagen de la entidad con entes de control como parte interesada  frente al logro
de los objetivos.</t>
        </r>
      </text>
    </comment>
    <comment ref="P12" authorId="0" shapeId="0" xr:uid="{4354183F-68B3-4717-B8DA-AF856F0C7431}">
      <text>
        <r>
          <rPr>
            <b/>
            <sz val="9"/>
            <color indexed="81"/>
            <rFont val="Tahoma"/>
            <family val="2"/>
          </rPr>
          <t>Deisy Estupiñan:</t>
        </r>
        <r>
          <rPr>
            <sz val="9"/>
            <color indexed="81"/>
            <rFont val="Tahoma"/>
            <family val="2"/>
          </rPr>
          <t xml:space="preserve">
¿cuál es la evidencia del  control?
GF-PD-03 PD Eje Psptal v9 integrado en act 6  PC 2 </t>
        </r>
      </text>
    </comment>
    <comment ref="AE12" authorId="2" shapeId="0" xr:uid="{C81CD324-083F-4006-A446-094B4958919C}">
      <text>
        <r>
          <rPr>
            <b/>
            <sz val="9"/>
            <color indexed="81"/>
            <rFont val="Tahoma"/>
            <family val="2"/>
          </rPr>
          <t>usuario:</t>
        </r>
        <r>
          <rPr>
            <sz val="9"/>
            <color indexed="81"/>
            <rFont val="Tahoma"/>
            <family val="2"/>
          </rPr>
          <t xml:space="preserve">
GF-PD-04 Gestión de Ingresos V4 en Act No. 7 PC 2  - 
GF-PD-05 PD Pagos v7   Act  9  Pc 1  
GF-PD-07 pd Inversiones act ultima pc 1 
GF-PD-03 PD Eje Psptal v9 integrado en act 6  PC 4
GF-PD-01 PD G Contable V12 Act 9 
GF-PD-02 Obnlig Trin Dian V4 Act 2-6
GF-PD-08 ObligTribSDH V4 Act 2-5</t>
        </r>
      </text>
    </comment>
    <comment ref="P13" authorId="2" shapeId="0" xr:uid="{2FA3AE14-B4C9-4FC3-A0D3-0CC0A8D266D0}">
      <text>
        <r>
          <rPr>
            <b/>
            <sz val="9"/>
            <color indexed="81"/>
            <rFont val="Tahoma"/>
            <family val="2"/>
          </rPr>
          <t>usuario:</t>
        </r>
        <r>
          <rPr>
            <sz val="9"/>
            <color indexed="81"/>
            <rFont val="Tahoma"/>
            <family val="2"/>
          </rPr>
          <t xml:space="preserve">
GF-PD-01 PD G Contable V12 Act 4 PC 2 </t>
        </r>
      </text>
    </comment>
    <comment ref="AE13" authorId="2" shapeId="0" xr:uid="{E02DDEF7-0DC2-42CB-B5B6-83FF8FB8BA98}">
      <text>
        <r>
          <rPr>
            <b/>
            <sz val="9"/>
            <color indexed="81"/>
            <rFont val="Tahoma"/>
            <family val="2"/>
          </rPr>
          <t>usuario:</t>
        </r>
        <r>
          <rPr>
            <sz val="9"/>
            <color indexed="81"/>
            <rFont val="Tahoma"/>
            <family val="2"/>
          </rPr>
          <t xml:space="preserve">
GF-PD-01 PD G Contable V12 Act 4 PC 2 </t>
        </r>
      </text>
    </comment>
    <comment ref="P14" authorId="2" shapeId="0" xr:uid="{03D00D86-F81D-4B91-8F0D-583BF587BC12}">
      <text>
        <r>
          <rPr>
            <b/>
            <sz val="9"/>
            <color indexed="81"/>
            <rFont val="Tahoma"/>
            <family val="2"/>
          </rPr>
          <t>usuario:</t>
        </r>
        <r>
          <rPr>
            <sz val="9"/>
            <color indexed="81"/>
            <rFont val="Tahoma"/>
            <family val="2"/>
          </rPr>
          <t xml:space="preserve">
GF-PD-05 PD Pagos v7   Act 1 PC 2
ObligTribDIAN v4 Act 1 PC 2 
GF-PD-08 ObligTribSDH V4 Act 1 Pc 1 </t>
        </r>
      </text>
    </comment>
    <comment ref="AE14" authorId="2" shapeId="0" xr:uid="{1303688B-7C05-4F8D-8B80-19BA5399F4E3}">
      <text>
        <r>
          <rPr>
            <b/>
            <sz val="9"/>
            <color indexed="81"/>
            <rFont val="Tahoma"/>
            <family val="2"/>
          </rPr>
          <t>usuario:</t>
        </r>
        <r>
          <rPr>
            <sz val="9"/>
            <color indexed="81"/>
            <rFont val="Tahoma"/>
            <family val="2"/>
          </rPr>
          <t xml:space="preserve">
GF-PD-05 PD Pagos v7   Act 1 PC 2
ObligTribDIAN v4 Act 1 PC 2 
ObligTribSDH V4 Act 1 Pc 1 </t>
        </r>
      </text>
    </comment>
    <comment ref="E22" authorId="0" shapeId="0" xr:uid="{915C6575-6C44-49C1-B555-AA6F87F05A37}">
      <text>
        <r>
          <rPr>
            <b/>
            <sz val="9"/>
            <color indexed="81"/>
            <rFont val="Tahoma"/>
            <family val="2"/>
          </rPr>
          <t>Deisy Estupiñan:</t>
        </r>
        <r>
          <rPr>
            <sz val="9"/>
            <color indexed="81"/>
            <rFont val="Tahoma"/>
            <family val="2"/>
          </rPr>
          <t xml:space="preserve">
Corrupción</t>
        </r>
      </text>
    </comment>
    <comment ref="P22" authorId="0" shapeId="0" xr:uid="{3114AB55-B945-48CD-80E8-5BD739D41423}">
      <text>
        <r>
          <rPr>
            <b/>
            <sz val="9"/>
            <color indexed="81"/>
            <rFont val="Tahoma"/>
            <family val="2"/>
          </rPr>
          <t>Deisy Estupiñan:</t>
        </r>
        <r>
          <rPr>
            <sz val="9"/>
            <color indexed="81"/>
            <rFont val="Tahoma"/>
            <family val="2"/>
          </rPr>
          <t xml:space="preserve">
Falta definir mejor el control, no habla de las inconsistencias. </t>
        </r>
      </text>
    </comment>
    <comment ref="P23" authorId="0" shapeId="0" xr:uid="{87669F4A-5395-42E5-B40E-1EF46172B06C}">
      <text>
        <r>
          <rPr>
            <b/>
            <sz val="9"/>
            <color indexed="81"/>
            <rFont val="Tahoma"/>
            <family val="2"/>
          </rPr>
          <t>Deisy Estupiñan:</t>
        </r>
        <r>
          <rPr>
            <sz val="9"/>
            <color indexed="81"/>
            <rFont val="Tahoma"/>
            <family val="2"/>
          </rPr>
          <t xml:space="preserve">
No esta redactado como control, el verificar esta en el proceso de gestión Jurídica.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usuario</author>
  </authors>
  <commentList>
    <comment ref="K14" authorId="0" shapeId="0" xr:uid="{FA65CE44-34EA-4373-A91F-F5BF3970A6E1}">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L14" authorId="1" shapeId="0" xr:uid="{2E8B5BAF-9BDF-4992-BC9A-A680D9F3190B}">
      <text>
        <r>
          <rPr>
            <b/>
            <sz val="9"/>
            <color indexed="81"/>
            <rFont val="Tahoma"/>
            <family val="2"/>
          </rPr>
          <t>Deisy Estupiñan:</t>
        </r>
        <r>
          <rPr>
            <sz val="9"/>
            <color indexed="81"/>
            <rFont val="Tahoma"/>
            <family val="2"/>
          </rPr>
          <t xml:space="preserve">
La estructura recomedada es iniciar con ''La posibilidad de'' </t>
        </r>
        <r>
          <rPr>
            <b/>
            <sz val="9"/>
            <color indexed="81"/>
            <rFont val="Tahoma"/>
            <family val="2"/>
          </rPr>
          <t>continuar con el impacto + la causa inmediata + la causa raiz</t>
        </r>
      </text>
    </comment>
    <comment ref="K20" authorId="1" shapeId="0" xr:uid="{9E3FC24D-C239-4620-A3F3-6EEB9010F3C8}">
      <text>
        <r>
          <rPr>
            <b/>
            <sz val="9"/>
            <color indexed="81"/>
            <rFont val="Tahoma"/>
            <family val="2"/>
          </rPr>
          <t>Deisy Estupiñan:</t>
        </r>
        <r>
          <rPr>
            <sz val="9"/>
            <color indexed="81"/>
            <rFont val="Tahoma"/>
            <family val="2"/>
          </rPr>
          <t xml:space="preserve">
Debe contener Responsable de ejecutar el control, acción y complemento</t>
        </r>
      </text>
    </comment>
    <comment ref="AE20" authorId="1" shapeId="0" xr:uid="{BFFFECBF-5031-420D-B184-AF431EBD9C0C}">
      <text>
        <r>
          <rPr>
            <b/>
            <sz val="9"/>
            <color indexed="81"/>
            <rFont val="Tahoma"/>
            <family val="2"/>
          </rPr>
          <t>Deisy Estupiñan:</t>
        </r>
        <r>
          <rPr>
            <sz val="9"/>
            <color indexed="81"/>
            <rFont val="Tahoma"/>
            <family val="2"/>
          </rPr>
          <t xml:space="preserve">
Pasar a a matriz grande</t>
        </r>
      </text>
    </comment>
    <comment ref="D21" authorId="2" shapeId="0" xr:uid="{6CB92443-4DF9-43EF-B142-D4A37698ABFD}">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E21" authorId="1" shapeId="0" xr:uid="{EF846EE4-5958-4A11-A37C-123F21BDCAA7}">
      <text>
        <r>
          <rPr>
            <b/>
            <sz val="9"/>
            <color indexed="81"/>
            <rFont val="Tahoma"/>
            <family val="2"/>
          </rPr>
          <t>Deisy Estupiñan:</t>
        </r>
        <r>
          <rPr>
            <sz val="9"/>
            <color indexed="81"/>
            <rFont val="Tahoma"/>
            <family val="2"/>
          </rPr>
          <t xml:space="preserve">
AUTOMATICO</t>
        </r>
      </text>
    </comment>
    <comment ref="F21" authorId="0" shapeId="0" xr:uid="{DC91E76F-FBB2-4CDE-A520-6A3580EC746E}">
      <text>
        <r>
          <rPr>
            <b/>
            <sz val="9"/>
            <color indexed="81"/>
            <rFont val="Tahoma"/>
            <family val="2"/>
          </rPr>
          <t>Anggie Lorena:</t>
        </r>
        <r>
          <rPr>
            <sz val="9"/>
            <color indexed="81"/>
            <rFont val="Tahoma"/>
            <family val="2"/>
          </rPr>
          <t xml:space="preserve">
Por IMPACTO se entienden las consecuencias que puede ocasionar a la organización la materialización del riesgo.
</t>
        </r>
        <r>
          <rPr>
            <b/>
            <sz val="9"/>
            <color indexed="81"/>
            <rFont val="Tahoma"/>
            <family val="2"/>
          </rPr>
          <t>*Catastrófico:</t>
        </r>
        <r>
          <rPr>
            <sz val="9"/>
            <color indexed="81"/>
            <rFont val="Tahoma"/>
            <family val="2"/>
          </rPr>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t>
        </r>
        <r>
          <rPr>
            <b/>
            <sz val="9"/>
            <color indexed="81"/>
            <rFont val="Tahoma"/>
            <family val="2"/>
          </rPr>
          <t>*Mayor:
-</t>
        </r>
        <r>
          <rPr>
            <sz val="9"/>
            <color indexed="81"/>
            <rFont val="Tahoma"/>
            <family val="2"/>
          </rPr>
          <t xml:space="preserve">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r>
        <r>
          <rPr>
            <b/>
            <sz val="9"/>
            <color indexed="81"/>
            <rFont val="Tahoma"/>
            <family val="2"/>
          </rPr>
          <t>*Moderado:</t>
        </r>
        <r>
          <rPr>
            <sz val="9"/>
            <color indexed="81"/>
            <rFont val="Tahoma"/>
            <family val="2"/>
          </rPr>
          <t xml:space="preserve">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t>
        </r>
        <r>
          <rPr>
            <b/>
            <sz val="9"/>
            <color indexed="81"/>
            <rFont val="Tahoma"/>
            <family val="2"/>
          </rPr>
          <t>*Menor:
-</t>
        </r>
        <r>
          <rPr>
            <sz val="9"/>
            <color indexed="81"/>
            <rFont val="Tahoma"/>
            <family val="2"/>
          </rPr>
          <t xml:space="preserve"> Interrupción de las operaciones de la entidad por algunas horas.
- Reclamaciones o quejas de los usuarios, que implican investigaciones internas disciplinarias.
- Imagen institucional afectada localmente por retrasos en la prestación del servicio a los usuarios o ciudadanos.
</t>
        </r>
        <r>
          <rPr>
            <b/>
            <sz val="9"/>
            <color indexed="81"/>
            <rFont val="Tahoma"/>
            <family val="2"/>
          </rPr>
          <t xml:space="preserve">
*Insignificante:</t>
        </r>
        <r>
          <rPr>
            <sz val="9"/>
            <color indexed="81"/>
            <rFont val="Tahoma"/>
            <family val="2"/>
          </rPr>
          <t xml:space="preserve"> 
-No hay interrupción de las operaciones de la entidad.
- No se generan sanciones económicas o administrativas.
- No se afecta la imagen institucional de forma significativa.</t>
        </r>
      </text>
    </comment>
    <comment ref="G21" authorId="1" shapeId="0" xr:uid="{4F2F0D6E-80F2-45D6-AACD-0406B8F13A14}">
      <text>
        <r>
          <rPr>
            <b/>
            <sz val="9"/>
            <color indexed="81"/>
            <rFont val="Tahoma"/>
            <family val="2"/>
          </rPr>
          <t>Deisy Estupiñan:</t>
        </r>
        <r>
          <rPr>
            <sz val="9"/>
            <color indexed="81"/>
            <rFont val="Tahoma"/>
            <family val="2"/>
          </rPr>
          <t xml:space="preserve">
AUTOMATICO</t>
        </r>
      </text>
    </comment>
    <comment ref="C22" authorId="1" shapeId="0" xr:uid="{A3919056-9F0C-4D69-A2C4-B43623742E4A}">
      <text>
        <r>
          <rPr>
            <b/>
            <sz val="9"/>
            <color indexed="81"/>
            <rFont val="Tahoma"/>
            <family val="2"/>
          </rPr>
          <t>Deisy Estupiñan:</t>
        </r>
        <r>
          <rPr>
            <sz val="9"/>
            <color indexed="81"/>
            <rFont val="Tahoma"/>
            <family val="2"/>
          </rPr>
          <t xml:space="preserve">
5 días de la semana   por el numero de semanas al mes (4) por los 12 meses de año</t>
        </r>
      </text>
    </comment>
    <comment ref="K22" authorId="3" shapeId="0" xr:uid="{364BA233-B174-49D8-9406-FB500BABCDB8}">
      <text>
        <r>
          <rPr>
            <b/>
            <sz val="9"/>
            <color indexed="81"/>
            <rFont val="Tahoma"/>
            <family val="2"/>
          </rPr>
          <t>usuario:</t>
        </r>
        <r>
          <rPr>
            <sz val="9"/>
            <color indexed="81"/>
            <rFont val="Tahoma"/>
            <family val="2"/>
          </rPr>
          <t xml:space="preserve">
GF-PD-04 Gestión de Ingresos V4. Actividad 4 PC 3 </t>
        </r>
      </text>
    </comment>
    <comment ref="Z22" authorId="3" shapeId="0" xr:uid="{FE9673A3-55D5-41CF-8E22-992C3AE615F5}">
      <text>
        <r>
          <rPr>
            <b/>
            <sz val="9"/>
            <color indexed="81"/>
            <rFont val="Tahoma"/>
            <family val="2"/>
          </rPr>
          <t>usuario:</t>
        </r>
        <r>
          <rPr>
            <sz val="9"/>
            <color indexed="81"/>
            <rFont val="Tahoma"/>
            <family val="2"/>
          </rPr>
          <t xml:space="preserve">
GF-PD-04 Gestión de Ingresos V4. Act 4 PC 3 y Pol Operación 7 </t>
        </r>
      </text>
    </comment>
    <comment ref="H40" authorId="1" shapeId="0" xr:uid="{C60B164C-7DF0-402C-9EB0-56FA0CB719B3}">
      <text>
        <r>
          <rPr>
            <b/>
            <sz val="9"/>
            <color indexed="81"/>
            <rFont val="Tahoma"/>
            <family val="2"/>
          </rPr>
          <t>Deisy Estupiñan:</t>
        </r>
        <r>
          <rPr>
            <sz val="9"/>
            <color indexed="81"/>
            <rFont val="Tahoma"/>
            <family val="2"/>
          </rPr>
          <t xml:space="preserve">
Seeccionar la opción (SI o No)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Deisy Estupiñan</author>
    <author>tc={5E6AEB13-9E9A-4255-8DD5-B3BA25586B35}</author>
  </authors>
  <commentList>
    <comment ref="E9" authorId="0" shapeId="0" xr:uid="{4D9D5228-3749-441C-81E0-69782DD3080D}">
      <text>
        <r>
          <rPr>
            <b/>
            <sz val="9"/>
            <color indexed="81"/>
            <rFont val="Tahoma"/>
            <family val="2"/>
          </rPr>
          <t>Deisy Estupiñan:</t>
        </r>
        <r>
          <rPr>
            <sz val="9"/>
            <color indexed="81"/>
            <rFont val="Tahoma"/>
            <family val="2"/>
          </rPr>
          <t xml:space="preserve">
Ejemplos: Hardware, Software, ed, información, personal, organización</t>
        </r>
      </text>
    </comment>
    <comment ref="F9" authorId="0" shapeId="0" xr:uid="{3E425FB8-28F3-47F3-8091-C533CC1725BF}">
      <text>
        <r>
          <rPr>
            <b/>
            <sz val="9"/>
            <color indexed="81"/>
            <rFont val="Tahoma"/>
            <family val="2"/>
          </rPr>
          <t>Deisy Estupiñan:</t>
        </r>
        <r>
          <rPr>
            <sz val="9"/>
            <color indexed="81"/>
            <rFont val="Tahoma"/>
            <family val="2"/>
          </rPr>
          <t xml:space="preserve">
Ejemplos: Hurto de medios o documentos, Abuso de los derechos, escucha encubierta, hurto de información, error en el uso. </t>
        </r>
      </text>
    </comment>
    <comment ref="G9" authorId="0" shapeId="0" xr:uid="{4D5389FC-FD7A-40E4-95E5-90BABCFCEA0E}">
      <text>
        <r>
          <rPr>
            <b/>
            <sz val="9"/>
            <color indexed="81"/>
            <rFont val="Tahoma"/>
            <family val="2"/>
          </rPr>
          <t>Deisy Estupiñan:</t>
        </r>
        <r>
          <rPr>
            <sz val="9"/>
            <color indexed="81"/>
            <rFont val="Tahoma"/>
            <family val="2"/>
          </rPr>
          <t xml:space="preserve">
Almacenamiento de medios sin protección, ausencia de parches de seguridad, lineas de comunicación sin protección, falta de controles de acceso físico, falta de capacitación en las herramientas, ausencia de políticas de seguridad </t>
        </r>
      </text>
    </comment>
    <comment ref="H9" authorId="0" shapeId="0" xr:uid="{510983C4-E9C6-4B38-BA91-5899039402A3}">
      <text>
        <r>
          <rPr>
            <b/>
            <sz val="9"/>
            <color indexed="81"/>
            <rFont val="Tahoma"/>
            <family val="2"/>
          </rPr>
          <t>Deisy Estupiñan:</t>
        </r>
        <r>
          <rPr>
            <sz val="9"/>
            <color indexed="81"/>
            <rFont val="Tahoma"/>
            <family val="2"/>
          </rPr>
          <t xml:space="preserve">
ejemplo: posible retraso en el pago de nómina</t>
        </r>
      </text>
    </comment>
    <comment ref="I9" authorId="0" shapeId="0" xr:uid="{27929029-4EB1-480F-9665-183AAF4A501C}">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J9" authorId="1" shapeId="0" xr:uid="{780CF864-2C84-4082-A3A6-89041B1779A2}">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K9" authorId="0" shapeId="0" xr:uid="{16052B25-713B-40AF-8746-1C514C2BEDB1}">
      <text>
        <r>
          <rPr>
            <b/>
            <sz val="9"/>
            <color indexed="81"/>
            <rFont val="Tahoma"/>
            <family val="2"/>
          </rPr>
          <t>Deisy Estupiñan:</t>
        </r>
        <r>
          <rPr>
            <sz val="9"/>
            <color indexed="81"/>
            <rFont val="Tahoma"/>
            <family val="2"/>
          </rPr>
          <t xml:space="preserve">
AUTOMATICO</t>
        </r>
      </text>
    </comment>
    <comment ref="L9" authorId="0" shapeId="0" xr:uid="{4BC27914-704B-410C-BE14-97B8DCB3E303}">
      <text>
        <r>
          <rPr>
            <b/>
            <sz val="9"/>
            <color indexed="81"/>
            <rFont val="Tahoma"/>
            <family val="2"/>
          </rPr>
          <t>Deisy Estupiñan:</t>
        </r>
        <r>
          <rPr>
            <sz val="9"/>
            <color indexed="81"/>
            <rFont val="Tahoma"/>
            <family val="2"/>
          </rPr>
          <t xml:space="preserve">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8C47237E-F830-4793-97E1-D302C7D71FBA}">
      <text>
        <r>
          <rPr>
            <b/>
            <sz val="9"/>
            <color indexed="81"/>
            <rFont val="Tahoma"/>
            <family val="2"/>
          </rPr>
          <t>Deisy Estupiñan:</t>
        </r>
        <r>
          <rPr>
            <sz val="9"/>
            <color indexed="81"/>
            <rFont val="Tahoma"/>
            <family val="2"/>
          </rPr>
          <t xml:space="preserve">
Debe contener Responsable de ejecutar el control, acción y complemento</t>
        </r>
      </text>
    </comment>
    <comment ref="AL9" authorId="0" shapeId="0" xr:uid="{A364A497-AF68-4272-9581-B41A8052A33F}">
      <text>
        <r>
          <rPr>
            <b/>
            <sz val="9"/>
            <color indexed="81"/>
            <rFont val="Tahoma"/>
            <family val="2"/>
          </rPr>
          <t>Deisy Estupiñan:</t>
        </r>
        <r>
          <rPr>
            <sz val="9"/>
            <color indexed="81"/>
            <rFont val="Tahoma"/>
            <family val="2"/>
          </rPr>
          <t xml:space="preserve">
Pasar a a matriz grande</t>
        </r>
      </text>
    </comment>
    <comment ref="I11" authorId="0" shapeId="0" xr:uid="{0C47E489-51B5-4D40-AF36-75948549A199}">
      <text>
        <r>
          <rPr>
            <b/>
            <sz val="9"/>
            <color indexed="81"/>
            <rFont val="Tahoma"/>
            <family val="2"/>
          </rPr>
          <t>Deisy Estupiñan:</t>
        </r>
        <r>
          <rPr>
            <sz val="9"/>
            <color indexed="81"/>
            <rFont val="Tahoma"/>
            <family val="2"/>
          </rPr>
          <t xml:space="preserve">
Impuestos distritales y nacionales, pago de seguridad social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Deisy Estupiñan</author>
  </authors>
  <commentList>
    <comment ref="D33" authorId="0" shapeId="0" xr:uid="{75DA12FC-380B-4595-935E-A96FF2D2C0DD}">
      <text>
        <r>
          <rPr>
            <b/>
            <sz val="9"/>
            <color indexed="81"/>
            <rFont val="Tahoma"/>
            <family val="2"/>
          </rPr>
          <t>Deisy Estupiñan:</t>
        </r>
        <r>
          <rPr>
            <sz val="9"/>
            <color indexed="81"/>
            <rFont val="Tahoma"/>
            <family val="2"/>
          </rPr>
          <t xml:space="preserve">
Lavado de Activos
y Financiación del Terrorismo</t>
        </r>
      </text>
    </comment>
    <comment ref="D45" authorId="0" shapeId="0" xr:uid="{444D14CC-A39E-4E85-AA2F-EFBD1DE25089}">
      <text>
        <r>
          <rPr>
            <b/>
            <sz val="9"/>
            <color indexed="81"/>
            <rFont val="Tahoma"/>
            <family val="2"/>
          </rPr>
          <t>Deisy Estupiñan:</t>
        </r>
        <r>
          <rPr>
            <sz val="9"/>
            <color indexed="81"/>
            <rFont val="Tahoma"/>
            <family val="2"/>
          </rPr>
          <t xml:space="preserve">
Unidad de Información y Análisis Financiero (UIAF)
</t>
        </r>
      </text>
    </comment>
    <comment ref="D81" authorId="0" shapeId="0" xr:uid="{2F076C6E-4637-4F6C-87B6-17C5A00154E3}">
      <text>
        <r>
          <rPr>
            <b/>
            <sz val="9"/>
            <color indexed="81"/>
            <rFont val="Tahoma"/>
            <family val="2"/>
          </rPr>
          <t>Deisy Estupiñan:</t>
        </r>
        <r>
          <rPr>
            <sz val="9"/>
            <color indexed="81"/>
            <rFont val="Tahoma"/>
            <family val="2"/>
          </rPr>
          <t xml:space="preserve">
Las fuentes que se refieren a los generadores de riesgo, clientes usuarios, proveedores, usuarios,
productos, jurisdicciones, entre otros;</t>
        </r>
      </text>
    </comment>
    <comment ref="E81" authorId="0" shapeId="0" xr:uid="{2A66E197-2D5A-4F11-B159-0A31ACF97A32}">
      <text>
        <r>
          <rPr>
            <b/>
            <sz val="9"/>
            <color indexed="81"/>
            <rFont val="Tahoma"/>
            <family val="2"/>
          </rPr>
          <t>Deisy Estupiñan:</t>
        </r>
        <r>
          <rPr>
            <sz val="9"/>
            <color indexed="81"/>
            <rFont val="Tahoma"/>
            <family val="2"/>
          </rPr>
          <t xml:space="preserve">
¿cómo?, ¿cuándo? y ¿dónde?;</t>
        </r>
      </text>
    </comment>
    <comment ref="G81" authorId="0" shapeId="0" xr:uid="{BF2D3A8F-B801-4127-8C96-C0F89359ED83}">
      <text>
        <r>
          <rPr>
            <b/>
            <sz val="9"/>
            <color indexed="81"/>
            <rFont val="Tahoma"/>
            <family val="2"/>
          </rPr>
          <t>Deisy Estupiñan:</t>
        </r>
        <r>
          <rPr>
            <sz val="9"/>
            <color indexed="81"/>
            <rFont val="Tahoma"/>
            <family val="2"/>
          </rPr>
          <t xml:space="preserve">
Afectación de los objetivos de la entidad</t>
        </r>
      </text>
    </comment>
    <comment ref="I81" authorId="0" shapeId="0" xr:uid="{DCEBA209-04B7-4DD0-ABC7-A1CFBD78BCB1}">
      <text>
        <r>
          <rPr>
            <b/>
            <sz val="9"/>
            <color indexed="81"/>
            <rFont val="Tahoma"/>
            <family val="2"/>
          </rPr>
          <t>Deisy Estupiñan:</t>
        </r>
        <r>
          <rPr>
            <sz val="9"/>
            <color indexed="81"/>
            <rFont val="Tahoma"/>
            <family val="2"/>
          </rPr>
          <t xml:space="preserve">
como por ejemplo carencia de políticas</t>
        </r>
      </text>
    </comment>
    <comment ref="K81" authorId="0" shapeId="0" xr:uid="{F5305ABB-070B-4BDA-BDF8-916DE0CC1257}">
      <text>
        <r>
          <rPr>
            <b/>
            <sz val="9"/>
            <color indexed="81"/>
            <rFont val="Tahoma"/>
            <family val="2"/>
          </rPr>
          <t>Deisy Estupiñan:</t>
        </r>
        <r>
          <rPr>
            <sz val="9"/>
            <color indexed="81"/>
            <rFont val="Tahoma"/>
            <family val="2"/>
          </rPr>
          <t xml:space="preserve">
como por ejemplo carencia de políticas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<sst xmlns="http://schemas.openxmlformats.org/spreadsheetml/2006/main" count="2985" uniqueCount="643">
  <si>
    <t xml:space="preserve">Referencia </t>
  </si>
  <si>
    <t>Descripción del Riesgo</t>
  </si>
  <si>
    <t>Impacto</t>
  </si>
  <si>
    <t>Causa Inmediata</t>
  </si>
  <si>
    <t>Probabilidad</t>
  </si>
  <si>
    <t>%</t>
  </si>
  <si>
    <t>Alta</t>
  </si>
  <si>
    <t>Mayor</t>
  </si>
  <si>
    <t>Atributos</t>
  </si>
  <si>
    <t>Manual</t>
  </si>
  <si>
    <t>Automático</t>
  </si>
  <si>
    <t>No. Control</t>
  </si>
  <si>
    <t>Afectación</t>
  </si>
  <si>
    <t>Tipo</t>
  </si>
  <si>
    <t>Preventivo</t>
  </si>
  <si>
    <t>Detectivo</t>
  </si>
  <si>
    <t>Correctivo</t>
  </si>
  <si>
    <t>Implementación</t>
  </si>
  <si>
    <t>Documentación</t>
  </si>
  <si>
    <t>Documentado</t>
  </si>
  <si>
    <t>Sin Documentar</t>
  </si>
  <si>
    <t>Frecuencia</t>
  </si>
  <si>
    <t>Continua</t>
  </si>
  <si>
    <t>Aleatoria</t>
  </si>
  <si>
    <t>Evidencia</t>
  </si>
  <si>
    <t>Registro Sustancial</t>
  </si>
  <si>
    <t>Registro Material</t>
  </si>
  <si>
    <t>Sin registro</t>
  </si>
  <si>
    <t>Calificación</t>
  </si>
  <si>
    <t>Tratamiento</t>
  </si>
  <si>
    <t>Reducir</t>
  </si>
  <si>
    <t>Aceptar</t>
  </si>
  <si>
    <t>Evitar</t>
  </si>
  <si>
    <t>Probabilidad Inherente</t>
  </si>
  <si>
    <t>Plan de Acción</t>
  </si>
  <si>
    <t>Responsable</t>
  </si>
  <si>
    <t>Fecha Implementación</t>
  </si>
  <si>
    <t>Seguimiento</t>
  </si>
  <si>
    <t>Fecha Seguimiento</t>
  </si>
  <si>
    <t>Estado</t>
  </si>
  <si>
    <t>Finalizado</t>
  </si>
  <si>
    <t>En curso</t>
  </si>
  <si>
    <t>Causa Raíz</t>
  </si>
  <si>
    <t>Proceso:</t>
  </si>
  <si>
    <t>Alcance:</t>
  </si>
  <si>
    <t>Impacto 
Inherente</t>
  </si>
  <si>
    <t>Probabilidad Residual Final</t>
  </si>
  <si>
    <t>Impacto Residual Final</t>
  </si>
  <si>
    <t>Zona de Riesgo Inherente</t>
  </si>
  <si>
    <t>Zona de Riesgo Final</t>
  </si>
  <si>
    <t>Clasificación del Riesgo</t>
  </si>
  <si>
    <t>Muy Baja</t>
  </si>
  <si>
    <t>Frecuencia de la Actividad</t>
  </si>
  <si>
    <t>Baja</t>
  </si>
  <si>
    <t>Muy Alta</t>
  </si>
  <si>
    <t>Tabla Criterios para definir el nivel de probabilidad</t>
  </si>
  <si>
    <t>Afectación Económica (o presupuestal)</t>
  </si>
  <si>
    <t>Pérdida Reputacional</t>
  </si>
  <si>
    <t>Afectación menor a 10 SMLMV .</t>
  </si>
  <si>
    <t xml:space="preserve">Menor-40% </t>
  </si>
  <si>
    <t>Moderado 60%</t>
  </si>
  <si>
    <t>Mayor 80%</t>
  </si>
  <si>
    <t>Catastrófico 100%</t>
  </si>
  <si>
    <t>Tabla Criterios para definir el nivel de impacto</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</si>
  <si>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</si>
  <si>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</si>
  <si>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</si>
  <si>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</si>
  <si>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</si>
  <si>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</si>
  <si>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</si>
  <si>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</si>
  <si>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</si>
  <si>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</si>
  <si>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</si>
  <si>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</si>
  <si>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</si>
  <si>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</si>
  <si>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Tabla Atributos de para el diseño del control</t>
  </si>
  <si>
    <t>Extremo</t>
  </si>
  <si>
    <t>Alto</t>
  </si>
  <si>
    <t>Moderado</t>
  </si>
  <si>
    <t>Bajo</t>
  </si>
  <si>
    <t>Insignificante</t>
  </si>
  <si>
    <t>Menor</t>
  </si>
  <si>
    <t>Catastrófico</t>
  </si>
  <si>
    <t>Plan de accion (solo para la opción reducir)</t>
  </si>
  <si>
    <t>Criterios de impacto</t>
  </si>
  <si>
    <t>Criterios</t>
  </si>
  <si>
    <t>Pérdida_Reputacional</t>
  </si>
  <si>
    <t>Afectación Económica o presupuestal</t>
  </si>
  <si>
    <t>Afectación_Económica_o_presupuestal</t>
  </si>
  <si>
    <t>Observación de criterio</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</si>
  <si>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</si>
  <si>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</si>
  <si>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</si>
  <si>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</si>
  <si>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</si>
  <si>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</si>
  <si>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</si>
  <si>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El riesgo afecta la imagen de la entidad con algunos usuarios de relevancia frente al logro de los objetivos</t>
  </si>
  <si>
    <t>Leve 20%</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</si>
  <si>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</si>
  <si>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</si>
  <si>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</si>
  <si>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</si>
  <si>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</si>
  <si>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Media</t>
  </si>
  <si>
    <t>Catastrófico
100%</t>
  </si>
  <si>
    <t>Mayor
80%</t>
  </si>
  <si>
    <t>Moderado
60%</t>
  </si>
  <si>
    <t>Menor
40%</t>
  </si>
  <si>
    <t>Leve
20%</t>
  </si>
  <si>
    <t>Muy Baja
20%</t>
  </si>
  <si>
    <t>Baja
40%</t>
  </si>
  <si>
    <t>Alta
80%</t>
  </si>
  <si>
    <t>Muy Alta
100%</t>
  </si>
  <si>
    <t>Media
60%</t>
  </si>
  <si>
    <t>El riesgo afecta la imagen de la entidad a nivel nacional, con efecto publicitarios sostenible a nivel país</t>
  </si>
  <si>
    <t>Con Registro</t>
  </si>
  <si>
    <t>Sin Registro</t>
  </si>
  <si>
    <t>El control no deja registro de la ejecución del control</t>
  </si>
  <si>
    <t>El control deja un registro que permite evidenciar la ejecución del control</t>
  </si>
  <si>
    <t>Ejecucion y Administracion de procesos</t>
  </si>
  <si>
    <t>Fraude Externo</t>
  </si>
  <si>
    <t>Fraude Interno</t>
  </si>
  <si>
    <t>Fallas Tecnologicas</t>
  </si>
  <si>
    <t>Relaciones Laborales</t>
  </si>
  <si>
    <t>Usuarios, productos y practicas , organizacionales</t>
  </si>
  <si>
    <t>Daños Activos Fisicos</t>
  </si>
  <si>
    <t>Objetivo:</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</si>
  <si>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</si>
  <si>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Reputacional</t>
  </si>
  <si>
    <t>Económico</t>
  </si>
  <si>
    <t>Económico y Reputacional</t>
  </si>
  <si>
    <t>Frecuencia con la cual se realiza la actividad</t>
  </si>
  <si>
    <t>Reducir (mitigar)</t>
  </si>
  <si>
    <t>Reducir (compartir)</t>
  </si>
  <si>
    <t>Probabilidad Residual</t>
  </si>
  <si>
    <t>Identificación del riesgo</t>
  </si>
  <si>
    <t>Análisis del riesgo inherente</t>
  </si>
  <si>
    <t>Evaluación del riesgo - Valoración de los controles</t>
  </si>
  <si>
    <t>Evaluación del riesgo - Nivel del riesgo residual</t>
  </si>
  <si>
    <t>Fuente:  Adaptado de Curso Riesgo Operativo Universidad del Rosario por Dirección de Gestión y Desempeño Institucional de Función Pública,  2020.</t>
  </si>
  <si>
    <t xml:space="preserve">Formato Mapa Riesgos </t>
  </si>
  <si>
    <t>Subcriterios</t>
  </si>
  <si>
    <t xml:space="preserve">     Afectación menor a 10 SMLMV .</t>
  </si>
  <si>
    <t>❌</t>
  </si>
  <si>
    <t>✔</t>
  </si>
  <si>
    <t xml:space="preserve">     Entre 50 y 100 SMLMV </t>
  </si>
  <si>
    <t xml:space="preserve">     Entre 10 y 50 SMLMV </t>
  </si>
  <si>
    <t xml:space="preserve">     Entre 100 y 500 SMLMV </t>
  </si>
  <si>
    <t xml:space="preserve">     Mayor a 500 SMLMV </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</si>
  <si>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</si>
  <si>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</si>
  <si>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</si>
  <si>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</si>
  <si>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</si>
  <si>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 xml:space="preserve">Afectación menor a 10 SMLMV </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</si>
  <si>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</si>
  <si>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Residual</t>
  </si>
  <si>
    <t>Matriz de Calor Inherente</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</si>
  <si>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</si>
  <si>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Descripción del Control</t>
  </si>
  <si>
    <t>Orientaciones Generales</t>
  </si>
  <si>
    <t>Columna</t>
  </si>
  <si>
    <t>Matriz Mapa de Riesgos</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</si>
  <si>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</si>
  <si>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</si>
  <si>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Frecuencia con la cual se lleva a cabo la actividad</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</si>
  <si>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</si>
  <si>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</si>
  <si>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</si>
  <si>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</si>
  <si>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</si>
  <si>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</si>
  <si>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</si>
  <si>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</si>
  <si>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</si>
  <si>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r>
      <t xml:space="preserve">ATRIBUTOS EFICIENCIA
</t>
    </r>
    <r>
      <rPr>
        <sz val="9"/>
        <rFont val="Arial Narrow"/>
        <family val="2"/>
      </rPr>
      <t>Tipo</t>
    </r>
  </si>
  <si>
    <r>
      <t xml:space="preserve">ATRIBUTOS EFICIENCIA
</t>
    </r>
    <r>
      <rPr>
        <sz val="9"/>
        <rFont val="Arial Narrow"/>
        <family val="2"/>
      </rPr>
      <t>Implementación</t>
    </r>
  </si>
  <si>
    <r>
      <t xml:space="preserve">ATRIBUTOS EFICIENCIA
</t>
    </r>
    <r>
      <rPr>
        <sz val="9"/>
        <rFont val="Arial Narrow"/>
        <family val="2"/>
      </rPr>
      <t>Calificación</t>
    </r>
  </si>
  <si>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</si>
  <si>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</si>
  <si>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</si>
  <si>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</si>
  <si>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</si>
  <si>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</si>
  <si>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</si>
  <si>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</si>
  <si>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</si>
  <si>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r>
      <t xml:space="preserve">Plan de Acción
</t>
    </r>
    <r>
      <rPr>
        <sz val="9"/>
        <rFont val="Arial Narrow"/>
        <family val="2"/>
      </rPr>
      <t xml:space="preserve">Responsable, fecha implementación, fecha seguimiento, seguimiento. </t>
    </r>
  </si>
  <si>
    <t>Utilice la lista de despligue que se encuentra parametrizada, le aparecerán las opciones: i)Finalizado, ii)En curso, la selección en este caso dependerá de las acciones del plan que se hayan establecido en cada caso.</t>
  </si>
  <si>
    <t>Proceso</t>
  </si>
  <si>
    <t>Objetivo</t>
  </si>
  <si>
    <t>Alcance</t>
  </si>
  <si>
    <t>Diligencie el objetivo del proceso.</t>
  </si>
  <si>
    <t>Diligencie el alcance del proceso.</t>
  </si>
  <si>
    <t>Diligencie el nombre del proceso al cual se le identificarán y valorarán los riesgos.</t>
  </si>
  <si>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 Mapa Final: </t>
    </r>
    <r>
      <rPr>
        <sz val="10"/>
        <rFont val="Arial Narrow"/>
        <family val="2"/>
      </rPr>
      <t>Encontrará la totalidad de la estructura para la identificación y valoración de los riesgos por proceso, programa o proyecto, acorde con el nivel de desagregación que la entidad considere necesaria.</t>
    </r>
  </si>
  <si>
    <t>Descripción - Lineamientos para el diligenciamiento</t>
  </si>
  <si>
    <t>Analice las consecuencias que puede ocasionar a la organización la materialización del riesgo, redacte de la forma más concreta posible.</t>
  </si>
  <si>
    <t>Circunstancias bajo las cuales se presenta el riesgo, es la situación más evidente frente al riesgo, redacte de la forma más concreta posible.</t>
  </si>
  <si>
    <t>Causa  principal  o básica, corresponde a las razones por la cuales se puede presentar  el riesgo, redacte de la forma más concreta posible.</t>
  </si>
  <si>
    <t>No.</t>
  </si>
  <si>
    <t>Gestión de Mejora</t>
  </si>
  <si>
    <t>Documento:</t>
  </si>
  <si>
    <t xml:space="preserve">Ficha de riesgos </t>
  </si>
  <si>
    <t>Código:</t>
  </si>
  <si>
    <t>GM-FT-09</t>
  </si>
  <si>
    <t>Versión:</t>
  </si>
  <si>
    <t xml:space="preserve">II. Contexto e identificación  </t>
  </si>
  <si>
    <t>Análisis del Contexto</t>
  </si>
  <si>
    <t xml:space="preserve">Identificación del Riesgo </t>
  </si>
  <si>
    <t>Externo</t>
  </si>
  <si>
    <t xml:space="preserve">Descripción  </t>
  </si>
  <si>
    <t xml:space="preserve">Interno </t>
  </si>
  <si>
    <t>Del Proceso</t>
  </si>
  <si>
    <t>Riesgo</t>
  </si>
  <si>
    <t xml:space="preserve">Descripción </t>
  </si>
  <si>
    <t>Consecuencia</t>
  </si>
  <si>
    <t xml:space="preserve">III. Análisis y Valoración  </t>
  </si>
  <si>
    <t xml:space="preserve">Análisis del Riesgo Inherente  </t>
  </si>
  <si>
    <t>Evaluación del Riesgo (Riesgo Residual)</t>
  </si>
  <si>
    <t>IV. Tratamiento del riesgo</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</si>
  <si>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</si>
  <si>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</si>
  <si>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</si>
  <si>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</si>
  <si>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</si>
  <si>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Tratamiento del riesgo  </t>
  </si>
  <si>
    <t xml:space="preserve">¿Aplicar controles para el tratamiento?  </t>
  </si>
  <si>
    <t>Actividad de control</t>
  </si>
  <si>
    <t xml:space="preserve">Tipo de control </t>
  </si>
  <si>
    <t>Indicador</t>
  </si>
  <si>
    <t xml:space="preserve">Responsable (Nombres y Rol)   </t>
  </si>
  <si>
    <t>Fecha de inicio</t>
  </si>
  <si>
    <t xml:space="preserve">Fecha de fin </t>
  </si>
  <si>
    <t>Impacto   (Tabla 1,1,)</t>
  </si>
  <si>
    <t xml:space="preserve">Zona de Riesgo </t>
  </si>
  <si>
    <t>Criterio</t>
  </si>
  <si>
    <t>Resultado</t>
  </si>
  <si>
    <t xml:space="preserve">Impacto  </t>
  </si>
  <si>
    <t>1. Rara vez</t>
  </si>
  <si>
    <t>El control se ejecuta de manera consistente por parte del responsable</t>
  </si>
  <si>
    <t>4. Mayor</t>
  </si>
  <si>
    <t xml:space="preserve">Resultado de los posibles desplazamientos de la probabilidad y el impacto de los riesgos  </t>
  </si>
  <si>
    <t>Tabla  1,1,  Criterios para la evaluación del Impacto -Riesgo inherente</t>
  </si>
  <si>
    <t>Pregunta  
Si el riesgo de corrupción se materializa, se podría…</t>
  </si>
  <si>
    <t>Respuesta</t>
  </si>
  <si>
    <t>Control 1</t>
  </si>
  <si>
    <t>control 2</t>
  </si>
  <si>
    <t>Control 3</t>
  </si>
  <si>
    <t>Solidez del conjunto de los controles</t>
  </si>
  <si>
    <t xml:space="preserve">Controles ayudan a disminuir el impacto  </t>
  </si>
  <si>
    <t># Columnas en la matriz de riesgo que se desplaza en el eje de la probabilidad</t>
  </si>
  <si>
    <t># Columnas en la matriz de riesgo que se desplaza en el eje del impacto</t>
  </si>
  <si>
    <t>Si/No</t>
  </si>
  <si>
    <t xml:space="preserve">Criterio de evaluación </t>
  </si>
  <si>
    <t xml:space="preserve">Aspecto a evaluar en el diseño del control </t>
  </si>
  <si>
    <t xml:space="preserve">Respuesta  </t>
  </si>
  <si>
    <t xml:space="preserve">Peso  </t>
  </si>
  <si>
    <t>¿Afectar al grupo de funcionarios del proceso?</t>
  </si>
  <si>
    <t>1. Responsable</t>
  </si>
  <si>
    <t>¿Existe un responsable asignado a la ejecución
del control?</t>
  </si>
  <si>
    <t>Asignado</t>
  </si>
  <si>
    <t>¿Afectar el cumplimiento de metas y objetivos de la dependencia?</t>
  </si>
  <si>
    <t xml:space="preserve">Fuerte </t>
  </si>
  <si>
    <t>Directamente</t>
  </si>
  <si>
    <t>¿Afectar el cumplimiento de misión de la entidad?</t>
  </si>
  <si>
    <t>¿El responsable tiene la autoridad y adecuada
segregación de funciones en la ejecución
del control?</t>
  </si>
  <si>
    <t xml:space="preserve">Adecuado </t>
  </si>
  <si>
    <t>Indirectamente</t>
  </si>
  <si>
    <t>¿Afectar el cumplimiento de la misión del sector al que pertenece la entidad?</t>
  </si>
  <si>
    <t>2. Periodicidad</t>
  </si>
  <si>
    <t>¿La oportunidad en que se ejecuta el control ayuda a prevenir la mitigación del riesgo o a detectar la materialización del riesgo de manera oportuna?</t>
  </si>
  <si>
    <t>Oportuno</t>
  </si>
  <si>
    <t>No disminuye</t>
  </si>
  <si>
    <t>¿Generar pérdida de confianza de la entidad, afectando su reputación?</t>
  </si>
  <si>
    <t>¿Generar pérdida de recursos económicos?</t>
  </si>
  <si>
    <t>3. Propósito</t>
  </si>
  <si>
    <t>¿Las actividades que se desarrollan en el control realmente buscan por si sola prevenir o detectar las causas que pueden dar origen al riesgo, Ej.: verificar, validar, cotejar, comparar, revisar, etc.?</t>
  </si>
  <si>
    <t>Prevenir</t>
  </si>
  <si>
    <t xml:space="preserve">Moderado </t>
  </si>
  <si>
    <t>¿Afectar la generación de los productos o la prestación de servicios?</t>
  </si>
  <si>
    <t>¿Generar pérdida de información de la entidad?</t>
  </si>
  <si>
    <t>4. Cómo se realiza la actividad de control</t>
  </si>
  <si>
    <t>¿La fuente de información que se utiliza en el desarrollo del control es información confiable que permita mitigar el riesgo?</t>
  </si>
  <si>
    <t>Confiable</t>
  </si>
  <si>
    <t>¿Generar intervención de los órganos de control, de la Fiscalía u otro ente?</t>
  </si>
  <si>
    <t>¿Dar lugar a procesos sancionatorios?</t>
  </si>
  <si>
    <t>5. Qué pasa con las observaciones o desviaciones</t>
  </si>
  <si>
    <t>¿Las observaciones, desviaciones o diferencias identificadas como resultados de la ejecución del control son investigadas y resueltas de manera oportuna?</t>
  </si>
  <si>
    <t xml:space="preserve">Se investigan y resuelven oportunamente  </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</si>
  <si>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</si>
  <si>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</si>
  <si>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¿Dar lugar a procesos disciplinarios?</t>
  </si>
  <si>
    <t>¿Dar lugar a procesos fiscales?</t>
  </si>
  <si>
    <t>¿Dar lugar a procesos penales?</t>
  </si>
  <si>
    <t>6. Evidencia de la ejecución del control</t>
  </si>
  <si>
    <t>¿Se deja evidencia o rastro de la ejecución del control que permita a cualquier tercero con la evidencia llegar a la misma conclusión?</t>
  </si>
  <si>
    <t>Completa</t>
  </si>
  <si>
    <t>¿Generar pérdida de credibilidad del sector?</t>
  </si>
  <si>
    <t>¿Ocasionar lesiones físicas o pérdida de vidas humanas?    (Si está marcada como SI, de una vez es Catastrófico el impacto)</t>
  </si>
  <si>
    <t xml:space="preserve">Sumatoria  individual </t>
  </si>
  <si>
    <t xml:space="preserve">Sumatoria  </t>
  </si>
  <si>
    <t>¿Afectar la imagen regional?</t>
  </si>
  <si>
    <t xml:space="preserve">Resultado solidez individual </t>
  </si>
  <si>
    <t xml:space="preserve">Resultado </t>
  </si>
  <si>
    <t>¿Afectar la imagen nacional?</t>
  </si>
  <si>
    <t>Fuerte: Calificación entre 96 y 100</t>
  </si>
  <si>
    <t>¿Generar daño ambiental?</t>
  </si>
  <si>
    <t>Moderado: Calificación entre 86 y 95</t>
  </si>
  <si>
    <t>solidez conjunta</t>
  </si>
  <si>
    <t xml:space="preserve">Total Si:  </t>
  </si>
  <si>
    <t>Débil: Calificación entre 0 y 85</t>
  </si>
  <si>
    <t xml:space="preserve">Resultado solidez conjunta </t>
  </si>
  <si>
    <t>Amenaza</t>
  </si>
  <si>
    <t xml:space="preserve">Causa / vulnerabilidad </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</si>
  <si>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</si>
  <si>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</si>
  <si>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</si>
  <si>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</si>
  <si>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</si>
  <si>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</si>
  <si>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</si>
  <si>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</si>
  <si>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Análisis del Riesgo Inherete </t>
  </si>
  <si>
    <t>1,1,   CONTROLES</t>
  </si>
  <si>
    <t xml:space="preserve">Sólidez del conjunto de controles  </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</si>
  <si>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</si>
  <si>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2. Menor</t>
  </si>
  <si>
    <t>Aceptar el riesgo</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</si>
  <si>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</si>
  <si>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1,1,    Análisis y diseño del control </t>
  </si>
  <si>
    <t>Controles ayudan a dismunuir la probabilidad</t>
  </si>
  <si>
    <t>Detectar</t>
  </si>
  <si>
    <r>
      <rPr>
        <b/>
        <sz val="10"/>
        <color theme="1"/>
        <rFont val="Calibri"/>
        <family val="2"/>
        <scheme val="minor"/>
      </rPr>
      <t>Nota:</t>
    </r>
    <r>
      <rPr>
        <sz val="10"/>
        <color theme="1"/>
        <rFont val="Calibri"/>
        <family val="2"/>
        <scheme val="minor"/>
      </rPr>
      <t xml:space="preserve"> Si el resultado de las calificaciones del control, o el promedio en el diseño de los
controles, está por debajo de 96%, se debe establecer un plan de acción que permita
tener un control o controles bien diseñados.</t>
    </r>
  </si>
  <si>
    <t>¿Qué puede suceder?</t>
  </si>
  <si>
    <t>¿Cómo puede suceder?</t>
  </si>
  <si>
    <t>¿Cuándo puede suceder?</t>
  </si>
  <si>
    <t>¿Qué consecuencias tendría su materialización?</t>
  </si>
  <si>
    <t>Causas</t>
  </si>
  <si>
    <t>Consecuencias</t>
  </si>
  <si>
    <t>PROCESO</t>
  </si>
  <si>
    <t>TIPO DE PROCESO</t>
  </si>
  <si>
    <t>PLANEACIÓN</t>
  </si>
  <si>
    <t>GESTIÓN DE TALENTO HUMANO</t>
  </si>
  <si>
    <t xml:space="preserve">GESTIÓN DE LAS COMUNICACIONES </t>
  </si>
  <si>
    <t>SERVICIO AL CIUDADANO</t>
  </si>
  <si>
    <t>TRANSFORMACIÓN CULTURAL PARA LA REVITALIZACIÓN DEL CENTRO</t>
  </si>
  <si>
    <t>GESTIÓN DOCUMENTAL</t>
  </si>
  <si>
    <t xml:space="preserve">RECURSOS FISICOS </t>
  </si>
  <si>
    <t>GESTIÓN TIC</t>
  </si>
  <si>
    <t>GESTIÓN FINANCIERAS</t>
  </si>
  <si>
    <t>GESTIÓN JURÍDICA</t>
  </si>
  <si>
    <t>GESTIÓN DE MEJORA</t>
  </si>
  <si>
    <t>EVALUACIÓN INDEPENDIENTE DE LA GESTIÓN</t>
  </si>
  <si>
    <t>PROCESO:</t>
  </si>
  <si>
    <t>PROCESO ESTRATÉGICO</t>
  </si>
  <si>
    <t>PROCESO DE EVALUACIÓN Y MEJORA</t>
  </si>
  <si>
    <t>PROCESO MISIONAL</t>
  </si>
  <si>
    <t>PROCESO TRANSVERSAL</t>
  </si>
  <si>
    <t xml:space="preserve">OBJETIVO ESTRATEGICO ANIDADO </t>
  </si>
  <si>
    <t xml:space="preserve">1. Mejorar la calidad de vida de la ciudadanía al ampliar el acceso a la práctica
y disfrute del arte y la cultura como parte de su cotidianidad en condiciones
de equidad. </t>
  </si>
  <si>
    <t>2. Potenciar a los creadores del Centro que quieran expresarse y ver en el
arte, la cultura y la creatividad una forma de vida.</t>
  </si>
  <si>
    <t xml:space="preserve">3. Impulsar la reactivación física, económica y social del sector del antiguo
Bronx y articularlo con las comunidades y territorios del centro de la ciudad
a partir del arte, la cultura y la creatividad. </t>
  </si>
  <si>
    <t>4. Aumentar la apropiación del centro de la ciudad como un territorio diverso,
de convivencia pacífica, encuentro y desarrollo desde la transformación
cultural.</t>
  </si>
  <si>
    <t>5. Consolidar modelos de gestión, desarrollando capacidades del talento
humano y optimizando los recursos tecnológicos, físicos y financieros para
dar respuesta eficaz a las necesidades de la ciudadanía y grupos de valor.</t>
  </si>
  <si>
    <t>OBJETIVOS ESTRATÉGICOS</t>
  </si>
  <si>
    <t>OBJETIVO</t>
  </si>
  <si>
    <t xml:space="preserve">VERIFICACIÓN  METODOLOGICA CONSTRUCCIÓN DE OBJETIVOS- GUIA DAFP </t>
  </si>
  <si>
    <t>verificación del control</t>
  </si>
  <si>
    <t/>
  </si>
  <si>
    <t>R1</t>
  </si>
  <si>
    <t>R1C1</t>
  </si>
  <si>
    <t>ALTO</t>
  </si>
  <si>
    <t>SI</t>
  </si>
  <si>
    <t>NO</t>
  </si>
  <si>
    <t>MEDIO</t>
  </si>
  <si>
    <t xml:space="preserve">Fuente </t>
  </si>
  <si>
    <t>Descripción del evento</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</si>
  <si>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</si>
  <si>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</si>
  <si>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</si>
  <si>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</si>
  <si>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</si>
  <si>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</si>
  <si>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</si>
  <si>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</si>
  <si>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1. ¿La entidad recibe recursos de entidades privadas?</t>
  </si>
  <si>
    <t>2. ¿La entidad recibe donaciones?</t>
  </si>
  <si>
    <t xml:space="preserve">SI </t>
  </si>
  <si>
    <t>NA</t>
  </si>
  <si>
    <t>Preguntas Cuestionario de autoevaluación del riesgo operativo.</t>
  </si>
  <si>
    <t>Listas</t>
  </si>
  <si>
    <t xml:space="preserve">CONTEO </t>
  </si>
  <si>
    <t>7. ¿Los clientes objetivo de la entidad son personas naturales entre las que se encuentran las personas expuestas políticamente (PEP’s)?</t>
  </si>
  <si>
    <t xml:space="preserve">Maque con una X </t>
  </si>
  <si>
    <t xml:space="preserve">GRADO DE EXPOSICIÓN </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</si>
  <si>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</si>
  <si>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</si>
  <si>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</si>
  <si>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</si>
  <si>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</si>
  <si>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</si>
  <si>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</si>
  <si>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</si>
  <si>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</si>
  <si>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</si>
  <si>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</si>
  <si>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</si>
  <si>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</si>
  <si>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</si>
  <si>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</si>
  <si>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</si>
  <si>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</si>
  <si>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</si>
  <si>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</si>
  <si>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</si>
  <si>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</si>
  <si>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</si>
  <si>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</si>
  <si>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</si>
  <si>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</si>
  <si>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</si>
  <si>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</si>
  <si>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</si>
  <si>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</si>
  <si>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</si>
  <si>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</si>
  <si>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</si>
  <si>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</si>
  <si>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</si>
  <si>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</si>
  <si>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</si>
  <si>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</si>
  <si>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</si>
  <si>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</si>
  <si>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</si>
  <si>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</si>
  <si>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</si>
  <si>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</si>
  <si>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</si>
  <si>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</si>
  <si>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</si>
  <si>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BAJO</t>
  </si>
  <si>
    <t>MODERADO</t>
  </si>
  <si>
    <t>CRITICO</t>
  </si>
  <si>
    <t>Integralmente
Complementar los controles</t>
  </si>
  <si>
    <t>Continuamente 
Monitorear constantemente los riesgos.</t>
  </si>
  <si>
    <t>Oportunamente
Establecer controles que reduzcan el riesgo</t>
  </si>
  <si>
    <t>Prioritariamente
Adoptar un sistema de administracion de riesgos</t>
  </si>
  <si>
    <t>Urgentemente
Implementar un sistema de administración
de riesgos</t>
  </si>
  <si>
    <r>
      <rPr>
        <b/>
        <sz val="11"/>
        <color rgb="FFFF0000"/>
        <rFont val="Calibri"/>
        <family val="2"/>
        <scheme val="minor"/>
      </rPr>
      <t>NO TOCAR</t>
    </r>
    <r>
      <rPr>
        <b/>
        <sz val="11"/>
        <color theme="1"/>
        <rFont val="Calibri"/>
        <family val="2"/>
        <scheme val="minor"/>
      </rPr>
      <t xml:space="preserve">- Listas desplegables </t>
    </r>
  </si>
  <si>
    <t>Herramienta 2. Cuestionario de autoevaluación sobre el control del riesgo de LA/FT.</t>
  </si>
  <si>
    <t>Herramienta 1. Cuestionario de autoevaluación del riesgo operativo</t>
  </si>
  <si>
    <t xml:space="preserve">Numeración </t>
  </si>
  <si>
    <t xml:space="preserve">Afectación </t>
  </si>
  <si>
    <t>PROCESO (Lista desplegable)</t>
  </si>
  <si>
    <t xml:space="preserve">RIESGOS DE GESTIÓN </t>
  </si>
  <si>
    <t xml:space="preserve">CONOCIMIENTO Y ANALISIS DE LA ENTIDAD </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</si>
  <si>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</si>
  <si>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</si>
  <si>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</si>
  <si>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MISIÓN</t>
  </si>
  <si>
    <t>FACTORES DE RIESGO</t>
  </si>
  <si>
    <t>EJEMPLO:</t>
  </si>
  <si>
    <t>LISTAS (NO TOCAR)</t>
  </si>
  <si>
    <t xml:space="preserve">Listas de clasificación de riesgos </t>
  </si>
  <si>
    <t>Ejecución y administración de procesos</t>
  </si>
  <si>
    <t xml:space="preserve">Fraude externo </t>
  </si>
  <si>
    <t>Fraude interno</t>
  </si>
  <si>
    <t>Fallas tecnológicas</t>
  </si>
  <si>
    <t>Relaciones laborales</t>
  </si>
  <si>
    <t>Usuarios, productos y prácticas</t>
  </si>
  <si>
    <t>Daños a activos fijos/ eventos externos</t>
  </si>
  <si>
    <t>Clasificación del Riesgo 
(lista desplegable )</t>
  </si>
  <si>
    <t>Numero de veces que se realiza la actividad al año</t>
  </si>
  <si>
    <t>Criterios de impacto - Afectación economica (¿Cuantos SMLMV?)</t>
  </si>
  <si>
    <r>
      <t xml:space="preserve">Probabilidad Inherente </t>
    </r>
    <r>
      <rPr>
        <b/>
        <sz val="11"/>
        <color rgb="FFFF0000"/>
        <rFont val="Arial"/>
        <family val="2"/>
      </rPr>
      <t xml:space="preserve"> (No tocar)</t>
    </r>
  </si>
  <si>
    <r>
      <t xml:space="preserve">% </t>
    </r>
    <r>
      <rPr>
        <b/>
        <sz val="11"/>
        <color rgb="FFFF0000"/>
        <rFont val="Arial"/>
        <family val="2"/>
      </rPr>
      <t>(No tocar)</t>
    </r>
  </si>
  <si>
    <r>
      <t xml:space="preserve">Impacto 
Inherente  </t>
    </r>
    <r>
      <rPr>
        <b/>
        <sz val="11"/>
        <color rgb="FFFF0000"/>
        <rFont val="Arial"/>
        <family val="2"/>
      </rPr>
      <t>(No tocar)</t>
    </r>
  </si>
  <si>
    <r>
      <t xml:space="preserve">%  </t>
    </r>
    <r>
      <rPr>
        <b/>
        <sz val="11"/>
        <color rgb="FFFF0000"/>
        <rFont val="Arial"/>
        <family val="2"/>
      </rPr>
      <t>(No tocar)</t>
    </r>
  </si>
  <si>
    <r>
      <t xml:space="preserve">Zona de Riesgo Inherente  </t>
    </r>
    <r>
      <rPr>
        <b/>
        <sz val="11"/>
        <color rgb="FFFF0000"/>
        <rFont val="Arial"/>
        <family val="2"/>
      </rPr>
      <t>(No tocar)</t>
    </r>
  </si>
  <si>
    <r>
      <t xml:space="preserve">Probabilidad Residual Final </t>
    </r>
    <r>
      <rPr>
        <b/>
        <sz val="11"/>
        <color rgb="FFFF0000"/>
        <rFont val="Arial"/>
        <family val="2"/>
      </rPr>
      <t>(No tocar)</t>
    </r>
  </si>
  <si>
    <r>
      <t xml:space="preserve">Impacto Residual Final </t>
    </r>
    <r>
      <rPr>
        <b/>
        <sz val="11"/>
        <color rgb="FFFF0000"/>
        <rFont val="Arial"/>
        <family val="2"/>
      </rPr>
      <t>(No tocar)</t>
    </r>
  </si>
  <si>
    <r>
      <t xml:space="preserve">Calificación </t>
    </r>
    <r>
      <rPr>
        <b/>
        <sz val="11"/>
        <color rgb="FFFF0000"/>
        <rFont val="Arial"/>
        <family val="2"/>
      </rPr>
      <t>(No tocar)</t>
    </r>
  </si>
  <si>
    <r>
      <t>%</t>
    </r>
    <r>
      <rPr>
        <b/>
        <sz val="11"/>
        <color rgb="FFFF0000"/>
        <rFont val="Arial"/>
        <family val="2"/>
      </rPr>
      <t xml:space="preserve"> (No tocar)</t>
    </r>
  </si>
  <si>
    <r>
      <t xml:space="preserve">Zona de Riesgo Final </t>
    </r>
    <r>
      <rPr>
        <b/>
        <sz val="11"/>
        <color rgb="FFFF0000"/>
        <rFont val="Arial"/>
        <family val="2"/>
      </rPr>
      <t>(No tocar)</t>
    </r>
  </si>
  <si>
    <t>Tipo (Lista desplegable)</t>
  </si>
  <si>
    <t xml:space="preserve">Automatico </t>
  </si>
  <si>
    <t>Implementación (Lista desplegable)</t>
  </si>
  <si>
    <t xml:space="preserve">Documentado </t>
  </si>
  <si>
    <t>Sin documentar</t>
  </si>
  <si>
    <t>Frecuncia</t>
  </si>
  <si>
    <t xml:space="preserve">Evidencia </t>
  </si>
  <si>
    <t>Con registro</t>
  </si>
  <si>
    <t xml:space="preserve">Implementación </t>
  </si>
  <si>
    <t>Documentación  (Lista desplegable)</t>
  </si>
  <si>
    <t>Frecuencia  (Lista desplegable)</t>
  </si>
  <si>
    <t>Evidencia  (Lista desplegable)</t>
  </si>
  <si>
    <r>
      <t xml:space="preserve">Probabilidad Residual </t>
    </r>
    <r>
      <rPr>
        <b/>
        <sz val="11"/>
        <color rgb="FFFF0000"/>
        <rFont val="Arial"/>
        <family val="2"/>
      </rPr>
      <t>(No tocar)</t>
    </r>
  </si>
  <si>
    <r>
      <t xml:space="preserve">Afectación </t>
    </r>
    <r>
      <rPr>
        <b/>
        <sz val="11"/>
        <color rgb="FFFF0000"/>
        <rFont val="Arial"/>
        <family val="2"/>
      </rPr>
      <t>(No tocar)</t>
    </r>
  </si>
  <si>
    <t>Mitigar</t>
  </si>
  <si>
    <t>Transferir</t>
  </si>
  <si>
    <t>Fecha de finalización</t>
  </si>
  <si>
    <t>RIESGOS DE CORRUPCIÓN</t>
  </si>
  <si>
    <t>Identificación  del riesgo de corrupción</t>
  </si>
  <si>
    <t>Valoración del riesgo</t>
  </si>
  <si>
    <t xml:space="preserve">Valoración del riesgo </t>
  </si>
  <si>
    <t>¿Da lugar al detrimento de calidad de vida de la comunidad por la pérdida del bien, servicios o recursos públicos?</t>
  </si>
  <si>
    <t>SARLAF</t>
  </si>
  <si>
    <t xml:space="preserve">PORCENTAJE </t>
  </si>
  <si>
    <t>MUY BAJA</t>
  </si>
  <si>
    <t>BAJA</t>
  </si>
  <si>
    <t>MEDIA</t>
  </si>
  <si>
    <t>ALTA</t>
  </si>
  <si>
    <t>MUY ALTA</t>
  </si>
  <si>
    <t>LEVE</t>
  </si>
  <si>
    <t>MENOR</t>
  </si>
  <si>
    <t>MAYOR</t>
  </si>
  <si>
    <t>LISTAS PROBABILIDAD (NO TOCAR)</t>
  </si>
  <si>
    <t>LISTAS IMPACTO (NO TOCAR)</t>
  </si>
  <si>
    <t>CATASTRÓFICO</t>
  </si>
  <si>
    <t>Pérdida de la confidencialidad</t>
  </si>
  <si>
    <t>Pérdida de la disponibilidad</t>
  </si>
  <si>
    <t>Pérdida de la integridad</t>
  </si>
  <si>
    <t xml:space="preserve">Identificación del riesgo </t>
  </si>
  <si>
    <t>Activo (Lista desplegable)</t>
  </si>
  <si>
    <t>RIESGOS DE SEGURIDAD DE LA INFORMACIÓN</t>
  </si>
  <si>
    <t>Concecuencias</t>
  </si>
  <si>
    <t>Listas (No tocar)</t>
  </si>
  <si>
    <t>Descripción del riesgo</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</si>
  <si>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</si>
  <si>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rFont val="Arial Narrow"/>
        <family val="2"/>
      </rPr>
      <t>Paso 2: identificación del riesgo</t>
    </r>
    <r>
      <rPr>
        <sz val="11"/>
        <rFont val="Arial Narrow"/>
        <family val="2"/>
      </rPr>
      <t xml:space="preserve">, donde se explica ampliamente las bases para adelanter este análisis.
Así mismo, considere en el </t>
    </r>
    <r>
      <rPr>
        <b/>
        <sz val="11"/>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</si>
  <si>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</si>
  <si>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9"/>
        <rFont val="Arial Narrow"/>
        <family val="2"/>
      </rPr>
      <t>Responsable de ejecutar el control + Acción + Complemento</t>
    </r>
  </si>
  <si>
    <r>
      <t>La matriz automáticamente hará el cálculo, acorde con el control o controles definidos con sus atributos analizados, lo que permitirá establecer el</t>
    </r>
    <r>
      <rPr>
        <b/>
        <sz val="9"/>
        <rFont val="Arial Narrow"/>
        <family val="2"/>
      </rPr>
      <t xml:space="preserve"> nivel de riesgo inherente</t>
    </r>
    <r>
      <rPr>
        <sz val="9"/>
        <rFont val="Arial Narrow"/>
        <family val="2"/>
      </rPr>
      <t xml:space="preserve"> (Columnas Y- Z- AA -AB- AC).</t>
    </r>
  </si>
  <si>
    <t>¿Cómo?
R (RELEVANTE)</t>
  </si>
  <si>
    <t>¿Cuánto?
M (MEDIBLE)</t>
  </si>
  <si>
    <t>¿Qué?
S (ESPECIFICO)</t>
  </si>
  <si>
    <t>¿Para qué?
A (ALCANZABLE)</t>
  </si>
  <si>
    <t>¿Cuándo?
T (PROYECTADO EN EL TIEMPO)</t>
  </si>
  <si>
    <t>Causa Inmediata
(¿Cómo?)</t>
  </si>
  <si>
    <t>Causa Raíz
(¿Por qué?)</t>
  </si>
  <si>
    <t>DESCRIPCIÓN - CAUSAS</t>
  </si>
  <si>
    <t xml:space="preserve"> TIPO DE CAUSA: INMEDIATA O RAIZ</t>
  </si>
  <si>
    <t>INMEDIATA</t>
  </si>
  <si>
    <t>RAIZ</t>
  </si>
  <si>
    <t>Numero de veces que se realiza en promedio la actividad al año</t>
  </si>
  <si>
    <r>
      <t xml:space="preserve">Plan de Acción: </t>
    </r>
    <r>
      <rPr>
        <b/>
        <sz val="11"/>
        <color rgb="FFFF0000"/>
        <rFont val="Arial"/>
        <family val="2"/>
      </rPr>
      <t xml:space="preserve">¿Necesito un nuevo control ? o ¿Cómo mejoro el control existente? </t>
    </r>
  </si>
  <si>
    <t xml:space="preserve">Formula </t>
  </si>
  <si>
    <t xml:space="preserve">Indicadores clave de riesgo </t>
  </si>
  <si>
    <t>El riesgo afecta la imagen de la entidad internamente, de conocimiento general, nivel interno, de junta directiva y accionistas y/o de proveedores</t>
  </si>
  <si>
    <t xml:space="preserve">Corrupción </t>
  </si>
  <si>
    <t>No asignado</t>
  </si>
  <si>
    <t>Adecuado</t>
  </si>
  <si>
    <t>inadecuado</t>
  </si>
  <si>
    <t>Inoportuno</t>
  </si>
  <si>
    <t>No es un control</t>
  </si>
  <si>
    <t>No es confiable</t>
  </si>
  <si>
    <t xml:space="preserve">No se investigan y resuelven oportunamente  </t>
  </si>
  <si>
    <t>Incompleta</t>
  </si>
  <si>
    <t xml:space="preserve">No existe </t>
  </si>
  <si>
    <t xml:space="preserve">El tesorero de la entidad cada vez que se reporte por parte del proceso misional un ingreso por venta y/o aquiler de bienes o servicios revisa y corrobora que los ingresos estén abonados efectivamente en la cuenta de la entidad. En caso de no encontrar el respectivo ingreso, notifica al proceso misional que presta el servicio para que se gestione el abono de los recursos y se deja evidencia por medio de correo electrónico u Orfeo. </t>
  </si>
  <si>
    <t>Falta de comunicación con el área financiera por medios oficiales (correo electrónico, ORFEO) solicitando su concepto para realizar el recibo de recursos externos por diferentes canales de pago.</t>
  </si>
  <si>
    <t>Investigaciones y sanciones
Detrimento patrimonial</t>
  </si>
  <si>
    <t xml:space="preserve">Actualizar el procedimiento de ingresos, ajustando el punto de control del presente riesgo e incluir cuales son los canales de comunicación oficiales en caso de necesitar apoyo del área financiera. </t>
  </si>
  <si>
    <t>Procedimiento de ingresos actualizado</t>
  </si>
  <si>
    <t xml:space="preserve">Tesorero y Subdirectora de gestión corporativa </t>
  </si>
  <si>
    <t>Tesorero</t>
  </si>
  <si>
    <t>total</t>
  </si>
  <si>
    <t>(No tocar)</t>
  </si>
  <si>
    <t xml:space="preserve">Perdida de recursos por falencias en el trámite de recaudo </t>
  </si>
  <si>
    <t>Por falencias en el trámite de recaudo proveniente de la venta y/o alquiler de bienes y servicios</t>
  </si>
  <si>
    <t>En la venta y/o alquiler de bienes y servicios</t>
  </si>
  <si>
    <t>La falta de comunicación con el área financiera por medios oficiales (correo electrónico, ORFEO) solicitando su concepto para realizar el recibo de recursos externos por diferentes canales de pago, puede ocasionar  perdida de recursos por falencias en el trámite de recaudo proveniente de la venta y/o alquiler de bienes y servicios repercutiendo en investigaciones, sanciones y detrimento patrimonial.</t>
  </si>
  <si>
    <t xml:space="preserve">Validar quincenalmente con el proceso misional si los alquileres programados en lo siguientes quince días ya generaron los pagos correspondientes.
</t>
  </si>
  <si>
    <t>Correo y/u  Orfeo y/o acta de reunión con el resultado de la validación de pagos</t>
  </si>
  <si>
    <t xml:space="preserve">Sanciones por entes de control </t>
  </si>
  <si>
    <t>Probable perdida de recursos por falencias en el trámite de recaudo proveniente de la venta y/o alquiler de bienes y servicios para beneficio de un particular o tercero</t>
  </si>
  <si>
    <t>de manera eficaz, transparente y oportuna</t>
  </si>
  <si>
    <t>para la toma de decisiones en cumplimiento de su misión</t>
  </si>
  <si>
    <t>Tecnología</t>
  </si>
  <si>
    <t>Caída de aplicaciones como SAP</t>
  </si>
  <si>
    <t>Errores externos que afectan al proceso en la gestión de sus actividades</t>
  </si>
  <si>
    <t>Daño de equipos</t>
  </si>
  <si>
    <t xml:space="preserve">Equipos lentos para la gestión diaria </t>
  </si>
  <si>
    <t xml:space="preserve">Recursos insuficientes para compra y mantenimiento de nuevos equipos </t>
  </si>
  <si>
    <t>Falta de oportunidad y precisión de solicitudes que atrasan o reprocesan las actividades del proceso</t>
  </si>
  <si>
    <t>Incumplimiento de procedimientos por parte de otras áreas</t>
  </si>
  <si>
    <t>Perdida de información financiera por daños en los servidores de la entidad</t>
  </si>
  <si>
    <t xml:space="preserve">mantenimiento insuficiente de equipos  </t>
  </si>
  <si>
    <t>Informes de cierre presupuestal de la vigencia (A 31 de diciembre)</t>
  </si>
  <si>
    <t>Cargue de ingresos en el sistema SAP BogData de la SHD</t>
  </si>
  <si>
    <t>ejecuciones presupuestales</t>
  </si>
  <si>
    <t xml:space="preserve">Informe SIVICOF </t>
  </si>
  <si>
    <t>Informes de ejecución presupuestal a través del Consolidador de Hacienda e Información Pública CHIP</t>
  </si>
  <si>
    <t>Información de Gestión Contractual - Rendición de cuentas</t>
  </si>
  <si>
    <t xml:space="preserve">RELACIÓN DE INVERSIONES EN TÍTULOS VALORES Y CUENTAS BANCARIAS </t>
  </si>
  <si>
    <t>INFORME RECURSOS LEP E INTERESES</t>
  </si>
  <si>
    <t>RETENCIONES DIAN</t>
  </si>
  <si>
    <t>IMPUESTOS ESTAMPILLAS DISTRITALES</t>
  </si>
  <si>
    <t>IMPUESTOS IVA</t>
  </si>
  <si>
    <t>RETE ICA DISTRITALES</t>
  </si>
  <si>
    <t>INGRESOS Y PATRIMONIO</t>
  </si>
  <si>
    <t>EXOGENA NACIONAL</t>
  </si>
  <si>
    <t>EXOGENA DISTRITAL</t>
  </si>
  <si>
    <t>EXOGENA ESTAMPILLAS</t>
  </si>
  <si>
    <t>INFORMACION CONTABLE CHIP</t>
  </si>
  <si>
    <t>ESTADOS DE SITUACIÓN FINANCIERA Y DE RESULTADOS</t>
  </si>
  <si>
    <t>INFORME SIPROJ</t>
  </si>
  <si>
    <t>Obligaciones Contingentes en contratos Administrativos</t>
  </si>
  <si>
    <t>Crear el punto de control en el procedimiento de gestión contable</t>
  </si>
  <si>
    <t xml:space="preserve">Crear el punto de control en el procedimiento de gestión de pagos </t>
  </si>
  <si>
    <t>Tesorera FUGA</t>
  </si>
  <si>
    <t>Afectación económica</t>
  </si>
  <si>
    <t>La no presentación o presentación extemporánea de la información financiera</t>
  </si>
  <si>
    <t>Posibilidad de afectación económica por sanciones de ente de control debido a la no presentación o presentación extemporánea de la información financiera</t>
  </si>
  <si>
    <t xml:space="preserve">El profesional Especializado de Presupuesto junto con el profesional de apoyo de  presupuesto, mensualmente y antes de los primeros 7 días hábiles del mes, verifican que la información de ejecuciones presupuestales a reportar a entes de control coincida con la información reportada en BogData, a si mismo trimestralmente y en los primeros 15 días del mes correspondiente verifican que la información de la categoría única de la información del presupuesto Ordinario - CUIPO en el sistema CHIP a reportar a la Contraloría General de la Nación coincida con la información reportada en BogData, en caso de encontrar diferencias en los valores reportados se debe realizar el análisis de las cifras para establecer a qué corresponde la desviación encontrada y realizar  los ajustes en el informe correspondiente y en CHIP. Posteriormente las ejecuciones presupuestales se envían firmadas por el profesional de presupuesto en Orfeo a la subdirectora Corporativa y los pantallazos del cargue exitoso del CUIPO en CHIP se envían a la subdirección corporativa por correo electrónico. 
</t>
  </si>
  <si>
    <t xml:space="preserve">Crear un punto de control en los procedimientos de presupuesto, contabilidad y tesorería para que el profesional de apoyo administrativo de la subdirección corporativa trimestralmente revise el cumplimiento del cronograma de informes y reportes GF-FT-13 </t>
  </si>
  <si>
    <t xml:space="preserve">Profesional Especializada de Contabilidad - Profesional Especializada de Presupuesto - Tesorera </t>
  </si>
  <si>
    <t xml:space="preserve">El profesional Universitario de Contabilidad mensualmente y antes de los primeros 10 días del mes revisa con el Tesorero, el contador y el auxiliar de tesorería, la información registrada contablemente, que coincidan con la información de BogData y con los pagos realizados correspondientes a recursos administrados,  se genera la conciliación correspondiente (se hacen ajustes en caso de ser necesario) y dejan evidencia en el formato de conciliación de impuestos GF-FT-09, como evidencia del control se deja un acta de reunión que es firmada por Orfeo.   
</t>
  </si>
  <si>
    <t xml:space="preserve">Profesional Especializada de Contabilidad </t>
  </si>
  <si>
    <t xml:space="preserve">El tesorero mensualmente y antes de los primeros 10 días del mes revisa con el profesional Universitario de Contabilidad, el contador y el auxiliar de tesorería, la información registrada contablemente, que coincidan con la información de BogData y con los pagos realizados correspondientes a recursos administrados,  se genera la conciliación correspondiente (se hacen ajustes en caso de ser necesario) y dejan evidencia en el formato de conciliación de impuestos GF-FT-09, como evidencia del control se deja un acta de reunión que es firmada por Orfeo.   
</t>
  </si>
  <si>
    <t xml:space="preserve">Automático </t>
  </si>
  <si>
    <t>Impacto: Afectación económica o reputacional
(¿Qué?)</t>
  </si>
  <si>
    <t xml:space="preserve">Criterios de impacto - Afectación económica-¿Cuantos SMLMV?- o reputacional </t>
  </si>
  <si>
    <t>Administrar las operaciones financieras y económicas de la FUGA</t>
  </si>
  <si>
    <t>durante la ejecución del plan de desarrollo</t>
  </si>
  <si>
    <t>cumpliendo con el 100% de las solicitudes internas de acuerdo a los procedimientos establecidos</t>
  </si>
  <si>
    <t>Administrar las operaciones financieras y económicas de la FUGA de manera eficaz, transparente y oportuna para la toma de decisiones en cumplimiento de su misión durante la ejecución del plan de desarrollo, cumpliendo con el 100% de  las solicitudes internas de acuerdo a los procedimientos establecidos</t>
  </si>
  <si>
    <t>(Promedio de días en que se presentaron los informes /Promedio de días de vencimiento de los informes)</t>
  </si>
  <si>
    <t xml:space="preserve">Promedio de días en la presentación de informes financieros </t>
  </si>
  <si>
    <t xml:space="preserve">Token de pagos </t>
  </si>
  <si>
    <t xml:space="preserve">Posibilidad de perdida economica por multas  debido a la perdida o vencimiento del token que generaria la no presentación a tiempo de obligaciones por parte de la entidad.   </t>
  </si>
  <si>
    <t>Hardware</t>
  </si>
  <si>
    <t>Hurto del token 
Perdida</t>
  </si>
  <si>
    <t xml:space="preserve">Por perdida o robo </t>
  </si>
  <si>
    <t xml:space="preserve">Multas </t>
  </si>
  <si>
    <t>El tesorero revisa y aplica la guía de seguridad para la tesorería de la FUGA en caso de perdida o robo del token, por lo menos dos veces al año se presentará  un informe ejecutivo que de cuenta de la ejecución de los criterios descritos en la guía con sus respectivas evidencias, el cual será socializado en el Comité de Seguimiento y Control Financiero o Comité de Inversiones.</t>
  </si>
  <si>
    <t xml:space="preserve">No aplica por que la causa se elimina.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</si>
</sst>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9" x14ac:knownFonts="1">
    <font>
      <sz val="11"/>
      <color theme="1"/>
      <name val="Calibri"/>
      <family val="2"/>
      <scheme val="minor"/>
    </font>
    <font>
      <sz val="11"/>
      <color theme="1"/>
      <name val="Arial Narrow"/>
      <family val="2"/>
    </font>
    <font>
      <sz val="11"/>
      <name val="Arial Narrow"/>
      <family val="2"/>
    </font>
    <font>
      <sz val="10"/>
      <color rgb="FF000000"/>
      <name val="Arial Narrow"/>
      <family val="2"/>
    </font>
    <font>
      <b/>
      <sz val="11"/>
      <color theme="1"/>
      <name val="Arial Narrow"/>
      <family val="2"/>
    </font>
    <font>
      <sz val="10"/>
      <color theme="1"/>
      <name val="Calibri"/>
      <family val="2"/>
      <scheme val="minor"/>
    </font>
    <font>
      <sz val="10"/>
      <color theme="1"/>
      <name val="Arial Narrow"/>
      <family val="2"/>
    </font>
    <font>
      <b/>
      <sz val="11"/>
      <color theme="9" tint="-0.249977111117893"/>
      <name val="Arial Narrow"/>
      <family val="2"/>
    </font>
    <font>
      <sz val="14"/>
      <color theme="1"/>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28"/>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b/>
      <sz val="14"/>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12"/>
      <color theme="1"/>
      <name val="Calibri"/>
      <family val="2"/>
      <scheme val="minor"/>
    </font>
    <font>
      <b/>
      <sz val="12"/>
      <name val="Calibri"/>
      <family val="2"/>
      <scheme val="minor"/>
    </font>
    <font>
      <b/>
      <sz val="9"/>
      <color indexed="81"/>
      <name val="Tahoma"/>
      <family val="2"/>
    </font>
    <font>
      <sz val="9"/>
      <color indexed="81"/>
      <name val="Tahoma"/>
      <family val="2"/>
    </font>
    <font>
      <b/>
      <sz val="11"/>
      <color theme="1"/>
      <name val="Calibri"/>
      <family val="2"/>
      <scheme val="minor"/>
    </font>
    <font>
      <b/>
      <sz val="10"/>
      <name val="Arial"/>
      <family val="2"/>
    </font>
    <font>
      <b/>
      <sz val="10"/>
      <color theme="1"/>
      <name val="Calibri"/>
      <family val="2"/>
      <scheme val="minor"/>
    </font>
    <font>
      <b/>
      <sz val="16"/>
      <color theme="1"/>
      <name val="Calibri"/>
      <family val="2"/>
      <scheme val="minor"/>
    </font>
    <font>
      <sz val="18"/>
      <color theme="1"/>
      <name val="Calibri"/>
      <family val="2"/>
      <scheme val="minor"/>
    </font>
    <font>
      <b/>
      <sz val="16"/>
      <color rgb="FF000000"/>
      <name val="Calibri"/>
      <family val="2"/>
    </font>
    <font>
      <b/>
      <sz val="14"/>
      <color rgb="FF000000"/>
      <name val="Calibri"/>
      <family val="2"/>
    </font>
    <font>
      <sz val="14"/>
      <color theme="1"/>
      <name val="Calibri"/>
      <family val="2"/>
      <scheme val="minor"/>
    </font>
    <font>
      <sz val="22"/>
      <color theme="1"/>
      <name val="Calibri"/>
      <family val="2"/>
      <scheme val="minor"/>
    </font>
    <font>
      <b/>
      <sz val="14"/>
      <color theme="1"/>
      <name val="Calibri"/>
      <family val="2"/>
      <scheme val="minor"/>
    </font>
    <font>
      <b/>
      <sz val="11"/>
      <color rgb="FFFF0000"/>
      <name val="Calibri"/>
      <family val="2"/>
      <scheme val="minor"/>
    </font>
    <font>
      <b/>
      <sz val="12"/>
      <color theme="1"/>
      <name val="Arial"/>
      <family val="2"/>
    </font>
    <font>
      <b/>
      <sz val="14"/>
      <color theme="1"/>
      <name val="Arial"/>
      <family val="2"/>
    </font>
    <font>
      <sz val="11"/>
      <color theme="1"/>
      <name val="Arial"/>
      <family val="2"/>
    </font>
    <font>
      <b/>
      <sz val="22"/>
      <color theme="1"/>
      <name val="Arial"/>
      <family val="2"/>
    </font>
    <font>
      <b/>
      <sz val="18"/>
      <color theme="1"/>
      <name val="Arial"/>
      <family val="2"/>
    </font>
    <font>
      <sz val="14"/>
      <color theme="1"/>
      <name val="Arial"/>
      <family val="2"/>
    </font>
    <font>
      <b/>
      <sz val="11"/>
      <color theme="1"/>
      <name val="Arial"/>
      <family val="2"/>
    </font>
    <font>
      <sz val="11"/>
      <name val="Arial"/>
      <family val="2"/>
    </font>
    <font>
      <sz val="10"/>
      <color theme="1"/>
      <name val="Arial"/>
      <family val="2"/>
    </font>
    <font>
      <b/>
      <sz val="11"/>
      <color rgb="FFFF0000"/>
      <name val="Arial"/>
      <family val="2"/>
    </font>
    <font>
      <sz val="16"/>
      <name val="Calibri"/>
      <family val="2"/>
      <scheme val="minor"/>
    </font>
    <font>
      <sz val="14"/>
      <name val="Calibri"/>
      <family val="2"/>
      <scheme val="minor"/>
    </font>
    <font>
      <sz val="11"/>
      <color theme="5" tint="-0.249977111117893"/>
      <name val="Arial"/>
      <family val="2"/>
    </font>
    <font>
      <sz val="11"/>
      <color rgb="FFFF0000"/>
      <name val="Arial"/>
      <family val="2"/>
    </font>
    <font>
      <sz val="11"/>
      <color theme="1"/>
      <name val="Calibri"/>
      <family val="2"/>
    </font>
    <font>
      <b/>
      <sz val="11"/>
      <name val="Arial"/>
      <family val="2"/>
    </font>
    <font>
      <b/>
      <sz val="10"/>
      <color theme="1"/>
      <name val="Arial"/>
      <family val="2"/>
    </font>
  </fonts>
  <fills count="29">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5"/>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6"/>
        <bgColor indexed="64"/>
      </patternFill>
    </fill>
  </fills>
  <borders count="106">
    <border>
      <left/>
      <right/>
      <top/>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right/>
      <top style="dashed">
        <color theme="9" tint="-0.24994659260841701"/>
      </top>
      <bottom style="dashed">
        <color theme="9" tint="-0.24994659260841701"/>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10">
    <xf numFmtId="0" fontId="0" fillId="0" borderId="0"/>
    <xf numFmtId="9" fontId="15" fillId="0" borderId="0" applyFont="0" applyFill="0" applyBorder="0" applyAlignment="0" applyProtection="0"/>
    <xf numFmtId="0" fontId="48" fillId="0" borderId="0"/>
    <xf numFmtId="0" fontId="49" fillId="0" borderId="0"/>
    <xf numFmtId="0" fontId="5" fillId="0" borderId="0"/>
    <xf numFmtId="0" fontId="15" fillId="0" borderId="0"/>
    <xf numFmtId="0" fontId="74" fillId="0" borderId="0"/>
    <xf numFmtId="9" fontId="15" fillId="0" borderId="0" applyFont="0" applyFill="0" applyBorder="0" applyAlignment="0" applyProtection="0"/>
    <xf numFmtId="0" fontId="48" fillId="0" borderId="0"/>
    <xf numFmtId="0" fontId="5" fillId="0" borderId="0"/>
  </cellStyleXfs>
  <cellXfs count="1238">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vertical="center"/>
    </xf>
    <xf numFmtId="0" fontId="4" fillId="2" borderId="0" xfId="0" applyFont="1" applyFill="1" applyAlignment="1">
      <alignment horizontal="center" vertical="center"/>
    </xf>
    <xf numFmtId="0" fontId="1" fillId="0" borderId="0" xfId="0" applyFont="1" applyAlignment="1">
      <alignment horizontal="center"/>
    </xf>
    <xf numFmtId="0" fontId="1" fillId="0" borderId="2" xfId="0" applyFont="1" applyBorder="1" applyAlignment="1">
      <alignment horizontal="center" vertical="center"/>
    </xf>
    <xf numFmtId="0" fontId="4" fillId="2" borderId="2" xfId="0" applyFont="1" applyFill="1" applyBorder="1" applyAlignment="1">
      <alignment horizontal="center" vertical="center" textRotation="90"/>
    </xf>
    <xf numFmtId="0" fontId="1" fillId="3" borderId="0" xfId="0" applyFont="1" applyFill="1"/>
    <xf numFmtId="0" fontId="5" fillId="0" borderId="0" xfId="0" applyFont="1"/>
    <xf numFmtId="0" fontId="3" fillId="0" borderId="1" xfId="0" applyFont="1" applyBorder="1" applyAlignment="1">
      <alignment horizontal="left" vertical="center" wrapText="1" indent="1" readingOrder="1"/>
    </xf>
    <xf numFmtId="0" fontId="9" fillId="0" borderId="0" xfId="0" applyFont="1" applyAlignment="1">
      <alignment horizontal="center" vertical="center" wrapText="1"/>
    </xf>
    <xf numFmtId="0" fontId="10" fillId="6" borderId="0" xfId="0" applyFont="1" applyFill="1" applyAlignment="1">
      <alignment horizontal="center" vertical="center" wrapText="1" readingOrder="1"/>
    </xf>
    <xf numFmtId="0" fontId="11" fillId="5" borderId="11" xfId="0" applyFont="1" applyFill="1" applyBorder="1" applyAlignment="1">
      <alignment horizontal="center" vertical="center" wrapText="1" readingOrder="1"/>
    </xf>
    <xf numFmtId="0" fontId="11" fillId="0" borderId="11" xfId="0" applyFont="1" applyBorder="1" applyAlignment="1">
      <alignment horizontal="justify" vertical="center" wrapText="1" readingOrder="1"/>
    </xf>
    <xf numFmtId="9" fontId="11" fillId="0" borderId="11" xfId="0" applyNumberFormat="1" applyFont="1" applyBorder="1" applyAlignment="1">
      <alignment horizontal="center" vertical="center" wrapText="1" readingOrder="1"/>
    </xf>
    <xf numFmtId="0" fontId="11" fillId="7" borderId="1" xfId="0" applyFont="1" applyFill="1" applyBorder="1" applyAlignment="1">
      <alignment horizontal="center" vertical="center" wrapText="1" readingOrder="1"/>
    </xf>
    <xf numFmtId="0" fontId="11" fillId="0" borderId="1" xfId="0" applyFont="1" applyBorder="1" applyAlignment="1">
      <alignment horizontal="justify" vertical="center" wrapText="1" readingOrder="1"/>
    </xf>
    <xf numFmtId="9" fontId="11" fillId="0" borderId="1" xfId="0" applyNumberFormat="1" applyFont="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1" fillId="8" borderId="1" xfId="0" applyFont="1" applyFill="1" applyBorder="1" applyAlignment="1">
      <alignment horizontal="center" vertical="center" wrapText="1" readingOrder="1"/>
    </xf>
    <xf numFmtId="0" fontId="12" fillId="9" borderId="1" xfId="0" applyFont="1" applyFill="1" applyBorder="1" applyAlignment="1">
      <alignment horizontal="center" vertical="center" wrapText="1" readingOrder="1"/>
    </xf>
    <xf numFmtId="0" fontId="16" fillId="0" borderId="0" xfId="0" applyFont="1"/>
    <xf numFmtId="0" fontId="14" fillId="0" borderId="0" xfId="0" applyFont="1"/>
    <xf numFmtId="0" fontId="4" fillId="0" borderId="0" xfId="0" applyFont="1" applyAlignment="1">
      <alignment horizontal="left" vertical="center"/>
    </xf>
    <xf numFmtId="0" fontId="4" fillId="3" borderId="0" xfId="0" applyFont="1" applyFill="1" applyAlignment="1">
      <alignment horizontal="center" vertical="center"/>
    </xf>
    <xf numFmtId="0" fontId="1" fillId="3" borderId="0" xfId="0" applyFont="1" applyFill="1" applyAlignment="1">
      <alignment vertical="center"/>
    </xf>
    <xf numFmtId="0" fontId="1" fillId="3" borderId="0" xfId="0" applyFont="1" applyFill="1" applyAlignment="1">
      <alignment horizontal="center"/>
    </xf>
    <xf numFmtId="0" fontId="1" fillId="3" borderId="0" xfId="0" applyFont="1" applyFill="1" applyAlignment="1">
      <alignment horizontal="center" vertical="center"/>
    </xf>
    <xf numFmtId="0" fontId="1" fillId="3" borderId="0" xfId="0" applyFont="1" applyFill="1" applyAlignment="1">
      <alignment horizontal="left" vertical="center"/>
    </xf>
    <xf numFmtId="0" fontId="29" fillId="0" borderId="0" xfId="0" applyFont="1" applyAlignment="1">
      <alignment vertical="center"/>
    </xf>
    <xf numFmtId="0" fontId="30" fillId="0" borderId="0" xfId="0" applyFont="1"/>
    <xf numFmtId="0" fontId="28" fillId="0" borderId="0" xfId="0" applyFont="1"/>
    <xf numFmtId="0" fontId="0" fillId="0" borderId="0" xfId="0" pivotButton="1"/>
    <xf numFmtId="0" fontId="13" fillId="0" borderId="0" xfId="0" applyFont="1" applyAlignment="1">
      <alignment horizontal="justify" vertical="center" wrapText="1" readingOrder="1"/>
    </xf>
    <xf numFmtId="0" fontId="31" fillId="0" borderId="0" xfId="0" applyFont="1"/>
    <xf numFmtId="0" fontId="33" fillId="6" borderId="0" xfId="0" applyFont="1" applyFill="1" applyAlignment="1">
      <alignment horizontal="center" vertical="center" wrapText="1" readingOrder="1"/>
    </xf>
    <xf numFmtId="0" fontId="34" fillId="0" borderId="11" xfId="0" applyFont="1" applyBorder="1" applyAlignment="1">
      <alignment horizontal="justify" vertical="center" wrapText="1" readingOrder="1"/>
    </xf>
    <xf numFmtId="0" fontId="34" fillId="0" borderId="1" xfId="0" applyFont="1" applyBorder="1" applyAlignment="1">
      <alignment horizontal="justify" vertical="center" wrapText="1" readingOrder="1"/>
    </xf>
    <xf numFmtId="0" fontId="34" fillId="5" borderId="11" xfId="0" applyFont="1" applyFill="1" applyBorder="1" applyAlignment="1">
      <alignment horizontal="center" vertical="center" wrapText="1" readingOrder="1"/>
    </xf>
    <xf numFmtId="0" fontId="34" fillId="7" borderId="1" xfId="0" applyFont="1" applyFill="1" applyBorder="1" applyAlignment="1">
      <alignment horizontal="center" vertical="center" wrapText="1" readingOrder="1"/>
    </xf>
    <xf numFmtId="0" fontId="34" fillId="4" borderId="1" xfId="0" applyFont="1" applyFill="1" applyBorder="1" applyAlignment="1">
      <alignment horizontal="center" vertical="center" wrapText="1" readingOrder="1"/>
    </xf>
    <xf numFmtId="0" fontId="34" fillId="8" borderId="1" xfId="0" applyFont="1" applyFill="1" applyBorder="1" applyAlignment="1">
      <alignment horizontal="center" vertical="center" wrapText="1" readingOrder="1"/>
    </xf>
    <xf numFmtId="0" fontId="35" fillId="9" borderId="1" xfId="0" applyFont="1" applyFill="1" applyBorder="1" applyAlignment="1">
      <alignment horizontal="center" vertical="center" wrapText="1" readingOrder="1"/>
    </xf>
    <xf numFmtId="0" fontId="34" fillId="0" borderId="11" xfId="0" applyFont="1" applyBorder="1" applyAlignment="1">
      <alignment horizontal="center" vertical="center" wrapText="1" readingOrder="1"/>
    </xf>
    <xf numFmtId="0" fontId="34" fillId="0" borderId="1" xfId="0" applyFont="1" applyBorder="1" applyAlignment="1">
      <alignment horizontal="center" vertical="center" wrapText="1" readingOrder="1"/>
    </xf>
    <xf numFmtId="0" fontId="20" fillId="11" borderId="12" xfId="0" applyFont="1" applyFill="1" applyBorder="1" applyAlignment="1" applyProtection="1">
      <alignment horizontal="center" vertical="center" wrapText="1" readingOrder="1"/>
      <protection hidden="1"/>
    </xf>
    <xf numFmtId="0" fontId="20" fillId="11" borderId="19" xfId="0" applyFont="1" applyFill="1" applyBorder="1" applyAlignment="1" applyProtection="1">
      <alignment horizontal="center" vertical="center" wrapText="1" readingOrder="1"/>
      <protection hidden="1"/>
    </xf>
    <xf numFmtId="0" fontId="20" fillId="11" borderId="13" xfId="0" applyFont="1" applyFill="1" applyBorder="1" applyAlignment="1" applyProtection="1">
      <alignment horizontal="center" vertical="center" wrapText="1" readingOrder="1"/>
      <protection hidden="1"/>
    </xf>
    <xf numFmtId="0" fontId="20" fillId="12" borderId="12" xfId="0" applyFont="1" applyFill="1" applyBorder="1" applyAlignment="1" applyProtection="1">
      <alignment horizontal="center" wrapText="1" readingOrder="1"/>
      <protection hidden="1"/>
    </xf>
    <xf numFmtId="0" fontId="20" fillId="12" borderId="19" xfId="0" applyFont="1" applyFill="1" applyBorder="1" applyAlignment="1" applyProtection="1">
      <alignment horizontal="center" wrapText="1" readingOrder="1"/>
      <protection hidden="1"/>
    </xf>
    <xf numFmtId="0" fontId="20" fillId="12" borderId="13" xfId="0" applyFont="1" applyFill="1" applyBorder="1" applyAlignment="1" applyProtection="1">
      <alignment horizontal="center" wrapText="1" readingOrder="1"/>
      <protection hidden="1"/>
    </xf>
    <xf numFmtId="0" fontId="20" fillId="11" borderId="14" xfId="0" applyFont="1" applyFill="1" applyBorder="1" applyAlignment="1" applyProtection="1">
      <alignment horizontal="center" vertical="center" wrapText="1" readingOrder="1"/>
      <protection hidden="1"/>
    </xf>
    <xf numFmtId="0" fontId="20" fillId="11" borderId="0" xfId="0" applyFont="1" applyFill="1" applyAlignment="1" applyProtection="1">
      <alignment horizontal="center" vertical="center" wrapText="1" readingOrder="1"/>
      <protection hidden="1"/>
    </xf>
    <xf numFmtId="0" fontId="20" fillId="11" borderId="15" xfId="0" applyFont="1" applyFill="1" applyBorder="1" applyAlignment="1" applyProtection="1">
      <alignment horizontal="center" vertical="center" wrapText="1" readingOrder="1"/>
      <protection hidden="1"/>
    </xf>
    <xf numFmtId="0" fontId="20" fillId="12" borderId="14" xfId="0" applyFont="1" applyFill="1" applyBorder="1" applyAlignment="1" applyProtection="1">
      <alignment horizontal="center" wrapText="1" readingOrder="1"/>
      <protection hidden="1"/>
    </xf>
    <xf numFmtId="0" fontId="20" fillId="12" borderId="0" xfId="0" applyFont="1" applyFill="1" applyAlignment="1" applyProtection="1">
      <alignment horizontal="center" wrapText="1" readingOrder="1"/>
      <protection hidden="1"/>
    </xf>
    <xf numFmtId="0" fontId="20" fillId="12" borderId="15" xfId="0" applyFont="1" applyFill="1" applyBorder="1" applyAlignment="1" applyProtection="1">
      <alignment horizontal="center" wrapText="1" readingOrder="1"/>
      <protection hidden="1"/>
    </xf>
    <xf numFmtId="0" fontId="20" fillId="11" borderId="16" xfId="0" applyFont="1" applyFill="1" applyBorder="1" applyAlignment="1" applyProtection="1">
      <alignment horizontal="center" vertical="center" wrapText="1" readingOrder="1"/>
      <protection hidden="1"/>
    </xf>
    <xf numFmtId="0" fontId="20" fillId="11" borderId="18" xfId="0" applyFont="1" applyFill="1" applyBorder="1" applyAlignment="1" applyProtection="1">
      <alignment horizontal="center" vertical="center" wrapText="1" readingOrder="1"/>
      <protection hidden="1"/>
    </xf>
    <xf numFmtId="0" fontId="20" fillId="11" borderId="17" xfId="0" applyFont="1" applyFill="1" applyBorder="1" applyAlignment="1" applyProtection="1">
      <alignment horizontal="center" vertical="center" wrapText="1" readingOrder="1"/>
      <protection hidden="1"/>
    </xf>
    <xf numFmtId="0" fontId="20" fillId="12" borderId="16" xfId="0" applyFont="1" applyFill="1" applyBorder="1" applyAlignment="1" applyProtection="1">
      <alignment horizontal="center" wrapText="1" readingOrder="1"/>
      <protection hidden="1"/>
    </xf>
    <xf numFmtId="0" fontId="20" fillId="12" borderId="18" xfId="0" applyFont="1" applyFill="1" applyBorder="1" applyAlignment="1" applyProtection="1">
      <alignment horizontal="center" wrapText="1" readingOrder="1"/>
      <protection hidden="1"/>
    </xf>
    <xf numFmtId="0" fontId="20" fillId="12" borderId="17" xfId="0" applyFont="1" applyFill="1" applyBorder="1" applyAlignment="1" applyProtection="1">
      <alignment horizontal="center" wrapText="1" readingOrder="1"/>
      <protection hidden="1"/>
    </xf>
    <xf numFmtId="0" fontId="20" fillId="13" borderId="12" xfId="0" applyFont="1" applyFill="1" applyBorder="1" applyAlignment="1" applyProtection="1">
      <alignment horizontal="center" wrapText="1" readingOrder="1"/>
      <protection hidden="1"/>
    </xf>
    <xf numFmtId="0" fontId="20" fillId="13" borderId="19" xfId="0" applyFont="1" applyFill="1" applyBorder="1" applyAlignment="1" applyProtection="1">
      <alignment horizontal="center" wrapText="1" readingOrder="1"/>
      <protection hidden="1"/>
    </xf>
    <xf numFmtId="0" fontId="20" fillId="13" borderId="13" xfId="0" applyFont="1" applyFill="1" applyBorder="1" applyAlignment="1" applyProtection="1">
      <alignment horizontal="center" wrapText="1" readingOrder="1"/>
      <protection hidden="1"/>
    </xf>
    <xf numFmtId="0" fontId="20" fillId="13" borderId="14" xfId="0" applyFont="1" applyFill="1" applyBorder="1" applyAlignment="1" applyProtection="1">
      <alignment horizontal="center" wrapText="1" readingOrder="1"/>
      <protection hidden="1"/>
    </xf>
    <xf numFmtId="0" fontId="20" fillId="13" borderId="0" xfId="0" applyFont="1" applyFill="1" applyAlignment="1" applyProtection="1">
      <alignment horizontal="center" wrapText="1" readingOrder="1"/>
      <protection hidden="1"/>
    </xf>
    <xf numFmtId="0" fontId="20" fillId="13" borderId="15" xfId="0" applyFont="1" applyFill="1" applyBorder="1" applyAlignment="1" applyProtection="1">
      <alignment horizontal="center" wrapText="1" readingOrder="1"/>
      <protection hidden="1"/>
    </xf>
    <xf numFmtId="0" fontId="20" fillId="13" borderId="16" xfId="0" applyFont="1" applyFill="1" applyBorder="1" applyAlignment="1" applyProtection="1">
      <alignment horizontal="center" wrapText="1" readingOrder="1"/>
      <protection hidden="1"/>
    </xf>
    <xf numFmtId="0" fontId="20" fillId="13" borderId="18" xfId="0" applyFont="1" applyFill="1" applyBorder="1" applyAlignment="1" applyProtection="1">
      <alignment horizontal="center" wrapText="1" readingOrder="1"/>
      <protection hidden="1"/>
    </xf>
    <xf numFmtId="0" fontId="20" fillId="13" borderId="17" xfId="0" applyFont="1" applyFill="1" applyBorder="1" applyAlignment="1" applyProtection="1">
      <alignment horizontal="center" wrapText="1" readingOrder="1"/>
      <protection hidden="1"/>
    </xf>
    <xf numFmtId="0" fontId="20" fillId="5" borderId="12" xfId="0" applyFont="1" applyFill="1" applyBorder="1" applyAlignment="1" applyProtection="1">
      <alignment horizontal="center" wrapText="1" readingOrder="1"/>
      <protection hidden="1"/>
    </xf>
    <xf numFmtId="0" fontId="20" fillId="5" borderId="19" xfId="0" applyFont="1" applyFill="1" applyBorder="1" applyAlignment="1" applyProtection="1">
      <alignment horizontal="center" wrapText="1" readingOrder="1"/>
      <protection hidden="1"/>
    </xf>
    <xf numFmtId="0" fontId="20" fillId="5" borderId="13" xfId="0" applyFont="1" applyFill="1" applyBorder="1" applyAlignment="1" applyProtection="1">
      <alignment horizontal="center" wrapText="1" readingOrder="1"/>
      <protection hidden="1"/>
    </xf>
    <xf numFmtId="0" fontId="20" fillId="5" borderId="14" xfId="0" applyFont="1" applyFill="1" applyBorder="1" applyAlignment="1" applyProtection="1">
      <alignment horizontal="center" wrapText="1" readingOrder="1"/>
      <protection hidden="1"/>
    </xf>
    <xf numFmtId="0" fontId="20" fillId="5" borderId="0" xfId="0" applyFont="1" applyFill="1" applyAlignment="1" applyProtection="1">
      <alignment horizontal="center" wrapText="1" readingOrder="1"/>
      <protection hidden="1"/>
    </xf>
    <xf numFmtId="0" fontId="20" fillId="5" borderId="15" xfId="0" applyFont="1" applyFill="1" applyBorder="1" applyAlignment="1" applyProtection="1">
      <alignment horizontal="center" wrapText="1" readingOrder="1"/>
      <protection hidden="1"/>
    </xf>
    <xf numFmtId="0" fontId="20" fillId="5" borderId="16" xfId="0" applyFont="1" applyFill="1" applyBorder="1" applyAlignment="1" applyProtection="1">
      <alignment horizontal="center" wrapText="1" readingOrder="1"/>
      <protection hidden="1"/>
    </xf>
    <xf numFmtId="0" fontId="20" fillId="5" borderId="18" xfId="0" applyFont="1" applyFill="1" applyBorder="1" applyAlignment="1" applyProtection="1">
      <alignment horizontal="center" wrapText="1" readingOrder="1"/>
      <protection hidden="1"/>
    </xf>
    <xf numFmtId="0" fontId="20" fillId="5" borderId="17" xfId="0" applyFont="1" applyFill="1" applyBorder="1" applyAlignment="1" applyProtection="1">
      <alignment horizontal="center" wrapText="1" readingOrder="1"/>
      <protection hidden="1"/>
    </xf>
    <xf numFmtId="0" fontId="24" fillId="13" borderId="19" xfId="0" applyFont="1" applyFill="1" applyBorder="1" applyAlignment="1" applyProtection="1">
      <alignment horizontal="center" wrapText="1" readingOrder="1"/>
      <protection hidden="1"/>
    </xf>
    <xf numFmtId="0" fontId="0" fillId="3" borderId="0" xfId="0" applyFill="1"/>
    <xf numFmtId="0" fontId="50" fillId="3" borderId="51" xfId="2" applyFont="1" applyFill="1" applyBorder="1"/>
    <xf numFmtId="0" fontId="50" fillId="3" borderId="52" xfId="2" applyFont="1" applyFill="1" applyBorder="1"/>
    <xf numFmtId="0" fontId="50" fillId="3" borderId="53" xfId="2" applyFont="1" applyFill="1" applyBorder="1"/>
    <xf numFmtId="0" fontId="17" fillId="3" borderId="0" xfId="0" applyFont="1" applyFill="1" applyAlignment="1">
      <alignment vertical="center"/>
    </xf>
    <xf numFmtId="0" fontId="5" fillId="3" borderId="0" xfId="0" applyFont="1" applyFill="1"/>
    <xf numFmtId="0" fontId="37" fillId="3" borderId="0" xfId="0" applyFont="1" applyFill="1"/>
    <xf numFmtId="0" fontId="38" fillId="3" borderId="34" xfId="0" applyFont="1" applyFill="1" applyBorder="1" applyAlignment="1">
      <alignment horizontal="center" vertical="center" wrapText="1" readingOrder="1"/>
    </xf>
    <xf numFmtId="0" fontId="39" fillId="3" borderId="34" xfId="0" applyFont="1" applyFill="1" applyBorder="1" applyAlignment="1">
      <alignment horizontal="justify" vertical="center" wrapText="1" readingOrder="1"/>
    </xf>
    <xf numFmtId="9" fontId="38" fillId="3" borderId="43" xfId="0" applyNumberFormat="1" applyFont="1" applyFill="1" applyBorder="1" applyAlignment="1">
      <alignment horizontal="center" vertical="center" wrapText="1" readingOrder="1"/>
    </xf>
    <xf numFmtId="0" fontId="38" fillId="3" borderId="33" xfId="0" applyFont="1" applyFill="1" applyBorder="1" applyAlignment="1">
      <alignment horizontal="center" vertical="center" wrapText="1" readingOrder="1"/>
    </xf>
    <xf numFmtId="0" fontId="39" fillId="3" borderId="33" xfId="0" applyFont="1" applyFill="1" applyBorder="1" applyAlignment="1">
      <alignment horizontal="justify" vertical="center" wrapText="1" readingOrder="1"/>
    </xf>
    <xf numFmtId="9" fontId="38" fillId="3" borderId="38" xfId="0" applyNumberFormat="1" applyFont="1" applyFill="1" applyBorder="1" applyAlignment="1">
      <alignment horizontal="center" vertical="center" wrapText="1" readingOrder="1"/>
    </xf>
    <xf numFmtId="0" fontId="39" fillId="3" borderId="38" xfId="0" applyFont="1" applyFill="1" applyBorder="1" applyAlignment="1">
      <alignment horizontal="center" vertical="center" wrapText="1" readingOrder="1"/>
    </xf>
    <xf numFmtId="0" fontId="38" fillId="3" borderId="40" xfId="0" applyFont="1" applyFill="1" applyBorder="1" applyAlignment="1">
      <alignment horizontal="center" vertical="center" wrapText="1" readingOrder="1"/>
    </xf>
    <xf numFmtId="0" fontId="39" fillId="3" borderId="40" xfId="0" applyFont="1" applyFill="1" applyBorder="1" applyAlignment="1">
      <alignment horizontal="justify" vertical="center" wrapText="1" readingOrder="1"/>
    </xf>
    <xf numFmtId="0" fontId="39" fillId="3" borderId="41" xfId="0" applyFont="1" applyFill="1" applyBorder="1" applyAlignment="1">
      <alignment horizontal="center" vertical="center" wrapText="1" readingOrder="1"/>
    </xf>
    <xf numFmtId="0" fontId="47" fillId="3" borderId="0" xfId="0" applyFont="1" applyFill="1"/>
    <xf numFmtId="0" fontId="38" fillId="15" borderId="45" xfId="0" applyFont="1" applyFill="1" applyBorder="1" applyAlignment="1">
      <alignment horizontal="center" vertical="center" wrapText="1" readingOrder="1"/>
    </xf>
    <xf numFmtId="0" fontId="38" fillId="15" borderId="46" xfId="0" applyFont="1" applyFill="1" applyBorder="1" applyAlignment="1">
      <alignment horizontal="center" vertical="center" wrapText="1" readingOrder="1"/>
    </xf>
    <xf numFmtId="0" fontId="14" fillId="3" borderId="0" xfId="0" applyFont="1" applyFill="1"/>
    <xf numFmtId="0" fontId="32" fillId="3" borderId="0" xfId="0" applyFont="1" applyFill="1" applyAlignment="1">
      <alignment horizontal="center" vertical="center" wrapText="1"/>
    </xf>
    <xf numFmtId="0" fontId="13" fillId="3" borderId="0" xfId="0" applyFont="1" applyFill="1" applyAlignment="1">
      <alignment horizontal="justify" vertical="center" wrapText="1" readingOrder="1"/>
    </xf>
    <xf numFmtId="0" fontId="4" fillId="3" borderId="0" xfId="0" applyFont="1" applyFill="1" applyAlignment="1">
      <alignment vertical="center"/>
    </xf>
    <xf numFmtId="0" fontId="16" fillId="3" borderId="0" xfId="0" applyFont="1" applyFill="1"/>
    <xf numFmtId="0" fontId="4" fillId="3" borderId="0" xfId="0" applyFont="1" applyFill="1" applyAlignment="1">
      <alignment horizontal="left" vertical="center"/>
    </xf>
    <xf numFmtId="0" fontId="50" fillId="3" borderId="14" xfId="2" applyFont="1" applyFill="1" applyBorder="1"/>
    <xf numFmtId="0" fontId="55" fillId="3" borderId="0" xfId="0" applyFont="1" applyFill="1" applyAlignment="1">
      <alignment horizontal="left" vertical="center" wrapText="1"/>
    </xf>
    <xf numFmtId="0" fontId="56" fillId="3" borderId="0" xfId="0" applyFont="1" applyFill="1" applyAlignment="1">
      <alignment horizontal="left" vertical="top" wrapText="1"/>
    </xf>
    <xf numFmtId="0" fontId="50" fillId="3" borderId="0" xfId="2" applyFont="1" applyFill="1"/>
    <xf numFmtId="0" fontId="50" fillId="3" borderId="15" xfId="2" applyFont="1" applyFill="1" applyBorder="1"/>
    <xf numFmtId="0" fontId="50" fillId="3" borderId="16" xfId="2" applyFont="1" applyFill="1" applyBorder="1"/>
    <xf numFmtId="0" fontId="50" fillId="3" borderId="18" xfId="2" applyFont="1" applyFill="1" applyBorder="1"/>
    <xf numFmtId="0" fontId="50" fillId="3" borderId="17" xfId="2" applyFont="1" applyFill="1" applyBorder="1"/>
    <xf numFmtId="0" fontId="54" fillId="3" borderId="0" xfId="2" applyFont="1" applyFill="1" applyAlignment="1">
      <alignment horizontal="left" vertical="center" wrapText="1"/>
    </xf>
    <xf numFmtId="0" fontId="50" fillId="3" borderId="0" xfId="2" applyFont="1" applyFill="1" applyAlignment="1">
      <alignment horizontal="left" vertical="center" wrapText="1"/>
    </xf>
    <xf numFmtId="0" fontId="50" fillId="3" borderId="0" xfId="2" quotePrefix="1" applyFont="1" applyFill="1" applyAlignment="1">
      <alignment horizontal="left" vertical="center" wrapText="1"/>
    </xf>
    <xf numFmtId="0" fontId="52" fillId="3" borderId="14" xfId="2" quotePrefix="1" applyFont="1" applyFill="1" applyBorder="1" applyAlignment="1">
      <alignment horizontal="left" vertical="top" wrapText="1"/>
    </xf>
    <xf numFmtId="0" fontId="53" fillId="3" borderId="0" xfId="2" quotePrefix="1" applyFont="1" applyFill="1" applyAlignment="1">
      <alignment horizontal="left" vertical="top" wrapText="1"/>
    </xf>
    <xf numFmtId="0" fontId="53" fillId="3" borderId="15" xfId="2" quotePrefix="1" applyFont="1" applyFill="1" applyBorder="1" applyAlignment="1">
      <alignment horizontal="left" vertical="top" wrapText="1"/>
    </xf>
    <xf numFmtId="0" fontId="1" fillId="0" borderId="2" xfId="0" applyFont="1" applyBorder="1" applyAlignment="1">
      <alignment horizontal="center" vertical="top"/>
    </xf>
    <xf numFmtId="0" fontId="6" fillId="0" borderId="2" xfId="0" applyFont="1" applyBorder="1" applyAlignment="1" applyProtection="1">
      <alignment horizontal="justify" vertical="top" wrapText="1"/>
      <protection locked="0"/>
    </xf>
    <xf numFmtId="0" fontId="1" fillId="0" borderId="2" xfId="0" applyFont="1" applyBorder="1" applyAlignment="1" applyProtection="1">
      <alignment horizontal="center" vertical="top"/>
      <protection hidden="1"/>
    </xf>
    <xf numFmtId="0" fontId="1" fillId="0" borderId="2" xfId="0" applyFont="1" applyBorder="1" applyAlignment="1" applyProtection="1">
      <alignment horizontal="center" vertical="top" textRotation="90"/>
      <protection locked="0"/>
    </xf>
    <xf numFmtId="9" fontId="1" fillId="0" borderId="2" xfId="0" applyNumberFormat="1" applyFont="1" applyBorder="1" applyAlignment="1" applyProtection="1">
      <alignment horizontal="center" vertical="top"/>
      <protection hidden="1"/>
    </xf>
    <xf numFmtId="164" fontId="1" fillId="0" borderId="2" xfId="1" applyNumberFormat="1" applyFont="1" applyBorder="1" applyAlignment="1">
      <alignment horizontal="center" vertical="top"/>
    </xf>
    <xf numFmtId="0" fontId="4" fillId="0" borderId="2" xfId="0" applyFont="1" applyBorder="1" applyAlignment="1" applyProtection="1">
      <alignment horizontal="center" vertical="top" textRotation="90" wrapText="1"/>
      <protection hidden="1"/>
    </xf>
    <xf numFmtId="9" fontId="1" fillId="0" borderId="4" xfId="0" applyNumberFormat="1" applyFont="1" applyBorder="1" applyAlignment="1" applyProtection="1">
      <alignment horizontal="center" vertical="top"/>
      <protection hidden="1"/>
    </xf>
    <xf numFmtId="0" fontId="4" fillId="0" borderId="2" xfId="0" applyFont="1" applyBorder="1" applyAlignment="1" applyProtection="1">
      <alignment horizontal="center" vertical="top" textRotation="90"/>
      <protection hidden="1"/>
    </xf>
    <xf numFmtId="0" fontId="1" fillId="0" borderId="4" xfId="0" applyFont="1" applyBorder="1" applyAlignment="1" applyProtection="1">
      <alignment horizontal="center" vertical="top" textRotation="90"/>
      <protection locked="0"/>
    </xf>
    <xf numFmtId="0" fontId="1" fillId="0" borderId="2" xfId="0" applyFont="1" applyBorder="1" applyAlignment="1" applyProtection="1">
      <alignment horizontal="center" vertical="top" wrapText="1"/>
      <protection locked="0"/>
    </xf>
    <xf numFmtId="0" fontId="1" fillId="0" borderId="2" xfId="0" applyFont="1" applyBorder="1" applyAlignment="1" applyProtection="1">
      <alignment horizontal="center" vertical="top"/>
      <protection locked="0"/>
    </xf>
    <xf numFmtId="14" fontId="1" fillId="0" borderId="2" xfId="0" applyNumberFormat="1" applyFont="1" applyBorder="1" applyAlignment="1" applyProtection="1">
      <alignment horizontal="center" vertical="top"/>
      <protection locked="0"/>
    </xf>
    <xf numFmtId="0" fontId="1" fillId="0" borderId="2" xfId="0" applyFont="1" applyBorder="1" applyAlignment="1" applyProtection="1">
      <alignment horizontal="justify" vertical="top"/>
      <protection locked="0"/>
    </xf>
    <xf numFmtId="164" fontId="1" fillId="9" borderId="2" xfId="1" applyNumberFormat="1" applyFont="1" applyFill="1" applyBorder="1" applyAlignment="1">
      <alignment horizontal="center" vertical="top"/>
    </xf>
    <xf numFmtId="0" fontId="0" fillId="0" borderId="0" xfId="0" applyAlignment="1">
      <alignment vertical="top"/>
    </xf>
    <xf numFmtId="0" fontId="0" fillId="0" borderId="0" xfId="0" applyAlignment="1">
      <alignment horizontal="center" vertical="top" wrapText="1"/>
    </xf>
    <xf numFmtId="0" fontId="0" fillId="0" borderId="0" xfId="0" applyProtection="1">
      <protection locked="0"/>
    </xf>
    <xf numFmtId="0" fontId="0" fillId="0" borderId="76" xfId="0" applyBorder="1" applyProtection="1">
      <protection locked="0"/>
    </xf>
    <xf numFmtId="0" fontId="0" fillId="0" borderId="52" xfId="0" applyBorder="1" applyProtection="1">
      <protection locked="0"/>
    </xf>
    <xf numFmtId="0" fontId="0" fillId="0" borderId="77" xfId="0" applyBorder="1" applyProtection="1">
      <protection locked="0"/>
    </xf>
    <xf numFmtId="0" fontId="0" fillId="0" borderId="78" xfId="0" applyBorder="1" applyProtection="1">
      <protection locked="0"/>
    </xf>
    <xf numFmtId="0" fontId="62" fillId="17" borderId="79" xfId="0" applyFont="1" applyFill="1" applyBorder="1" applyAlignment="1">
      <alignment horizontal="center" vertical="center" wrapText="1"/>
    </xf>
    <xf numFmtId="0" fontId="61" fillId="0" borderId="0" xfId="0" applyFont="1" applyAlignment="1" applyProtection="1">
      <alignment horizontal="center"/>
      <protection locked="0"/>
    </xf>
    <xf numFmtId="0" fontId="0" fillId="0" borderId="33" xfId="0" applyBorder="1" applyAlignment="1" applyProtection="1">
      <alignment vertical="center"/>
      <protection locked="0"/>
    </xf>
    <xf numFmtId="0" fontId="0" fillId="0" borderId="69" xfId="0" applyBorder="1" applyAlignment="1" applyProtection="1">
      <alignment vertical="center"/>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protection locked="0"/>
    </xf>
    <xf numFmtId="0" fontId="61" fillId="0" borderId="80" xfId="0" applyFont="1" applyBorder="1" applyAlignment="1" applyProtection="1">
      <alignment horizontal="center" vertical="center"/>
      <protection locked="0"/>
    </xf>
    <xf numFmtId="0" fontId="61" fillId="0" borderId="81" xfId="0" applyFont="1" applyBorder="1" applyAlignment="1" applyProtection="1">
      <alignment horizontal="center" vertical="center"/>
      <protection locked="0"/>
    </xf>
    <xf numFmtId="0" fontId="61" fillId="0" borderId="33" xfId="0" applyFont="1" applyBorder="1" applyAlignment="1" applyProtection="1">
      <alignment horizontal="center" vertical="center"/>
      <protection locked="0"/>
    </xf>
    <xf numFmtId="0" fontId="61" fillId="0" borderId="0" xfId="0" applyFont="1" applyProtection="1">
      <protection locked="0"/>
    </xf>
    <xf numFmtId="0" fontId="61"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61" fillId="0" borderId="33" xfId="0" applyFont="1" applyBorder="1" applyAlignment="1" applyProtection="1">
      <alignment horizontal="center"/>
      <protection locked="0"/>
    </xf>
    <xf numFmtId="0" fontId="61" fillId="2" borderId="33" xfId="0" applyFont="1" applyFill="1" applyBorder="1" applyAlignment="1" applyProtection="1">
      <alignment horizontal="center"/>
      <protection locked="0"/>
    </xf>
    <xf numFmtId="0" fontId="61" fillId="0" borderId="33" xfId="0" applyFont="1" applyBorder="1" applyAlignment="1" applyProtection="1">
      <alignment horizontal="center" vertical="center" wrapText="1"/>
      <protection locked="0"/>
    </xf>
    <xf numFmtId="0" fontId="0" fillId="13" borderId="33" xfId="0" applyFill="1" applyBorder="1" applyAlignment="1" applyProtection="1">
      <alignment horizontal="center" vertical="center"/>
      <protection locked="0"/>
    </xf>
    <xf numFmtId="0" fontId="61" fillId="0" borderId="0" xfId="0" applyFont="1" applyAlignment="1" applyProtection="1">
      <alignment horizontal="center" vertical="center"/>
      <protection locked="0"/>
    </xf>
    <xf numFmtId="0" fontId="62" fillId="17" borderId="35" xfId="0" applyFont="1" applyFill="1" applyBorder="1" applyAlignment="1">
      <alignment horizontal="center" vertical="center" wrapText="1"/>
    </xf>
    <xf numFmtId="0" fontId="48" fillId="0" borderId="0" xfId="0" applyFont="1" applyAlignment="1">
      <alignment vertical="center"/>
    </xf>
    <xf numFmtId="0" fontId="62" fillId="0" borderId="0" xfId="0" applyFont="1" applyAlignment="1">
      <alignment vertical="center"/>
    </xf>
    <xf numFmtId="0" fontId="48" fillId="0" borderId="0" xfId="0" applyFont="1" applyAlignment="1">
      <alignment vertical="center" wrapText="1"/>
    </xf>
    <xf numFmtId="0" fontId="61" fillId="0" borderId="33" xfId="0" applyFont="1" applyBorder="1" applyAlignment="1" applyProtection="1">
      <alignment vertical="center"/>
      <protection locked="0"/>
    </xf>
    <xf numFmtId="0" fontId="61" fillId="0" borderId="33" xfId="0" applyFont="1"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34" xfId="0" applyBorder="1" applyAlignment="1" applyProtection="1">
      <alignment vertical="center" wrapText="1"/>
      <protection locked="0"/>
    </xf>
    <xf numFmtId="0" fontId="61" fillId="0" borderId="0" xfId="0" applyFont="1" applyAlignment="1" applyProtection="1">
      <alignment horizontal="center" vertical="center" wrapText="1"/>
      <protection locked="0"/>
    </xf>
    <xf numFmtId="0" fontId="0" fillId="20" borderId="33" xfId="0" applyFill="1" applyBorder="1" applyAlignment="1" applyProtection="1">
      <alignment horizontal="center" vertical="center"/>
      <protection locked="0"/>
    </xf>
    <xf numFmtId="0" fontId="61" fillId="0" borderId="33" xfId="0" applyFont="1" applyBorder="1" applyProtection="1">
      <protection locked="0"/>
    </xf>
    <xf numFmtId="0" fontId="0" fillId="20" borderId="33" xfId="0" applyFill="1" applyBorder="1"/>
    <xf numFmtId="0" fontId="0" fillId="20" borderId="33" xfId="0" applyFill="1" applyBorder="1" applyProtection="1">
      <protection locked="0"/>
    </xf>
    <xf numFmtId="0" fontId="0" fillId="0" borderId="33" xfId="0" applyBorder="1" applyProtection="1">
      <protection locked="0"/>
    </xf>
    <xf numFmtId="0" fontId="61" fillId="0" borderId="0" xfId="0" applyFont="1" applyAlignment="1" applyProtection="1">
      <alignment vertical="center"/>
      <protection locked="0"/>
    </xf>
    <xf numFmtId="0" fontId="0" fillId="0" borderId="0" xfId="0" applyAlignment="1" applyProtection="1">
      <alignment vertical="top" wrapText="1"/>
      <protection locked="0"/>
    </xf>
    <xf numFmtId="0" fontId="0" fillId="0" borderId="0" xfId="0" applyAlignment="1">
      <alignment vertical="top" wrapText="1"/>
    </xf>
    <xf numFmtId="0" fontId="17" fillId="0" borderId="0" xfId="0" applyFont="1"/>
    <xf numFmtId="0" fontId="65" fillId="0" borderId="0" xfId="0" applyFont="1"/>
    <xf numFmtId="0" fontId="17" fillId="3" borderId="0" xfId="0" applyFont="1" applyFill="1"/>
    <xf numFmtId="0" fontId="68" fillId="3" borderId="0" xfId="0" applyFont="1" applyFill="1"/>
    <xf numFmtId="0" fontId="68" fillId="0" borderId="0" xfId="0" applyFont="1"/>
    <xf numFmtId="0" fontId="66" fillId="11" borderId="12" xfId="0" applyFont="1" applyFill="1" applyBorder="1" applyAlignment="1" applyProtection="1">
      <alignment horizontal="center" vertical="center" wrapText="1" readingOrder="1"/>
      <protection hidden="1"/>
    </xf>
    <xf numFmtId="0" fontId="66" fillId="11" borderId="19" xfId="0" applyFont="1" applyFill="1" applyBorder="1" applyAlignment="1" applyProtection="1">
      <alignment horizontal="center" vertical="center" wrapText="1" readingOrder="1"/>
      <protection hidden="1"/>
    </xf>
    <xf numFmtId="0" fontId="66" fillId="11" borderId="13" xfId="0" applyFont="1" applyFill="1" applyBorder="1" applyAlignment="1" applyProtection="1">
      <alignment horizontal="center" vertical="center" wrapText="1" readingOrder="1"/>
      <protection hidden="1"/>
    </xf>
    <xf numFmtId="0" fontId="66" fillId="12" borderId="12" xfId="0" applyFont="1" applyFill="1" applyBorder="1" applyAlignment="1" applyProtection="1">
      <alignment horizontal="center" wrapText="1" readingOrder="1"/>
      <protection hidden="1"/>
    </xf>
    <xf numFmtId="0" fontId="66" fillId="12" borderId="19" xfId="0" applyFont="1" applyFill="1" applyBorder="1" applyAlignment="1" applyProtection="1">
      <alignment horizontal="center" wrapText="1" readingOrder="1"/>
      <protection hidden="1"/>
    </xf>
    <xf numFmtId="0" fontId="66" fillId="12" borderId="13" xfId="0" applyFont="1" applyFill="1" applyBorder="1" applyAlignment="1" applyProtection="1">
      <alignment horizontal="center" wrapText="1" readingOrder="1"/>
      <protection hidden="1"/>
    </xf>
    <xf numFmtId="0" fontId="66" fillId="11" borderId="14" xfId="0" applyFont="1" applyFill="1" applyBorder="1" applyAlignment="1" applyProtection="1">
      <alignment horizontal="center" vertical="center" wrapText="1" readingOrder="1"/>
      <protection hidden="1"/>
    </xf>
    <xf numFmtId="0" fontId="66" fillId="11" borderId="0" xfId="0" applyFont="1" applyFill="1" applyAlignment="1" applyProtection="1">
      <alignment horizontal="center" vertical="center" wrapText="1" readingOrder="1"/>
      <protection hidden="1"/>
    </xf>
    <xf numFmtId="0" fontId="66" fillId="11" borderId="15" xfId="0" applyFont="1" applyFill="1" applyBorder="1" applyAlignment="1" applyProtection="1">
      <alignment horizontal="center" vertical="center" wrapText="1" readingOrder="1"/>
      <protection hidden="1"/>
    </xf>
    <xf numFmtId="0" fontId="66" fillId="12" borderId="14" xfId="0" applyFont="1" applyFill="1" applyBorder="1" applyAlignment="1" applyProtection="1">
      <alignment horizontal="center" wrapText="1" readingOrder="1"/>
      <protection hidden="1"/>
    </xf>
    <xf numFmtId="0" fontId="66" fillId="12" borderId="0" xfId="0" applyFont="1" applyFill="1" applyAlignment="1" applyProtection="1">
      <alignment horizontal="center" wrapText="1" readingOrder="1"/>
      <protection hidden="1"/>
    </xf>
    <xf numFmtId="0" fontId="66" fillId="12" borderId="15" xfId="0" applyFont="1" applyFill="1" applyBorder="1" applyAlignment="1" applyProtection="1">
      <alignment horizontal="center" wrapText="1" readingOrder="1"/>
      <protection hidden="1"/>
    </xf>
    <xf numFmtId="0" fontId="66" fillId="11" borderId="16" xfId="0" applyFont="1" applyFill="1" applyBorder="1" applyAlignment="1" applyProtection="1">
      <alignment horizontal="center" vertical="center" wrapText="1" readingOrder="1"/>
      <protection hidden="1"/>
    </xf>
    <xf numFmtId="0" fontId="66" fillId="11" borderId="18" xfId="0" applyFont="1" applyFill="1" applyBorder="1" applyAlignment="1" applyProtection="1">
      <alignment horizontal="center" vertical="center" wrapText="1" readingOrder="1"/>
      <protection hidden="1"/>
    </xf>
    <xf numFmtId="0" fontId="66" fillId="11" borderId="17" xfId="0" applyFont="1" applyFill="1" applyBorder="1" applyAlignment="1" applyProtection="1">
      <alignment horizontal="center" vertical="center" wrapText="1" readingOrder="1"/>
      <protection hidden="1"/>
    </xf>
    <xf numFmtId="0" fontId="66" fillId="12" borderId="16" xfId="0" applyFont="1" applyFill="1" applyBorder="1" applyAlignment="1" applyProtection="1">
      <alignment horizontal="center" wrapText="1" readingOrder="1"/>
      <protection hidden="1"/>
    </xf>
    <xf numFmtId="0" fontId="66" fillId="12" borderId="18" xfId="0" applyFont="1" applyFill="1" applyBorder="1" applyAlignment="1" applyProtection="1">
      <alignment horizontal="center" wrapText="1" readingOrder="1"/>
      <protection hidden="1"/>
    </xf>
    <xf numFmtId="0" fontId="66" fillId="12" borderId="17" xfId="0" applyFont="1" applyFill="1" applyBorder="1" applyAlignment="1" applyProtection="1">
      <alignment horizontal="center" wrapText="1" readingOrder="1"/>
      <protection hidden="1"/>
    </xf>
    <xf numFmtId="0" fontId="66" fillId="13" borderId="12" xfId="0" applyFont="1" applyFill="1" applyBorder="1" applyAlignment="1" applyProtection="1">
      <alignment horizontal="center" wrapText="1" readingOrder="1"/>
      <protection hidden="1"/>
    </xf>
    <xf numFmtId="0" fontId="66" fillId="13" borderId="19" xfId="0" applyFont="1" applyFill="1" applyBorder="1" applyAlignment="1" applyProtection="1">
      <alignment horizontal="center" wrapText="1" readingOrder="1"/>
      <protection hidden="1"/>
    </xf>
    <xf numFmtId="0" fontId="66" fillId="13" borderId="13" xfId="0" applyFont="1" applyFill="1" applyBorder="1" applyAlignment="1" applyProtection="1">
      <alignment horizontal="center" wrapText="1" readingOrder="1"/>
      <protection hidden="1"/>
    </xf>
    <xf numFmtId="0" fontId="66" fillId="13" borderId="14" xfId="0" applyFont="1" applyFill="1" applyBorder="1" applyAlignment="1" applyProtection="1">
      <alignment horizontal="center" wrapText="1" readingOrder="1"/>
      <protection hidden="1"/>
    </xf>
    <xf numFmtId="0" fontId="66" fillId="13" borderId="0" xfId="0" applyFont="1" applyFill="1" applyAlignment="1" applyProtection="1">
      <alignment horizontal="center" wrapText="1" readingOrder="1"/>
      <protection hidden="1"/>
    </xf>
    <xf numFmtId="0" fontId="66" fillId="13" borderId="15" xfId="0" applyFont="1" applyFill="1" applyBorder="1" applyAlignment="1" applyProtection="1">
      <alignment horizontal="center" wrapText="1" readingOrder="1"/>
      <protection hidden="1"/>
    </xf>
    <xf numFmtId="0" fontId="66" fillId="13" borderId="16" xfId="0" applyFont="1" applyFill="1" applyBorder="1" applyAlignment="1" applyProtection="1">
      <alignment horizontal="center" wrapText="1" readingOrder="1"/>
      <protection hidden="1"/>
    </xf>
    <xf numFmtId="0" fontId="66" fillId="13" borderId="18" xfId="0" applyFont="1" applyFill="1" applyBorder="1" applyAlignment="1" applyProtection="1">
      <alignment horizontal="center" wrapText="1" readingOrder="1"/>
      <protection hidden="1"/>
    </xf>
    <xf numFmtId="0" fontId="66" fillId="13" borderId="17" xfId="0" applyFont="1" applyFill="1" applyBorder="1" applyAlignment="1" applyProtection="1">
      <alignment horizontal="center" wrapText="1" readingOrder="1"/>
      <protection hidden="1"/>
    </xf>
    <xf numFmtId="0" fontId="66" fillId="5" borderId="12" xfId="0" applyFont="1" applyFill="1" applyBorder="1" applyAlignment="1" applyProtection="1">
      <alignment horizontal="center" wrapText="1" readingOrder="1"/>
      <protection hidden="1"/>
    </xf>
    <xf numFmtId="0" fontId="66" fillId="5" borderId="19" xfId="0" applyFont="1" applyFill="1" applyBorder="1" applyAlignment="1" applyProtection="1">
      <alignment horizontal="center" wrapText="1" readingOrder="1"/>
      <protection hidden="1"/>
    </xf>
    <xf numFmtId="0" fontId="66" fillId="5" borderId="13" xfId="0" applyFont="1" applyFill="1" applyBorder="1" applyAlignment="1" applyProtection="1">
      <alignment horizontal="center" wrapText="1" readingOrder="1"/>
      <protection hidden="1"/>
    </xf>
    <xf numFmtId="0" fontId="66" fillId="5" borderId="14" xfId="0" applyFont="1" applyFill="1" applyBorder="1" applyAlignment="1" applyProtection="1">
      <alignment horizontal="center" wrapText="1" readingOrder="1"/>
      <protection hidden="1"/>
    </xf>
    <xf numFmtId="0" fontId="66" fillId="5" borderId="0" xfId="0" applyFont="1" applyFill="1" applyAlignment="1" applyProtection="1">
      <alignment horizontal="center" wrapText="1" readingOrder="1"/>
      <protection hidden="1"/>
    </xf>
    <xf numFmtId="0" fontId="66" fillId="5" borderId="15" xfId="0" applyFont="1" applyFill="1" applyBorder="1" applyAlignment="1" applyProtection="1">
      <alignment horizontal="center" wrapText="1" readingOrder="1"/>
      <protection hidden="1"/>
    </xf>
    <xf numFmtId="0" fontId="66" fillId="5" borderId="16" xfId="0" applyFont="1" applyFill="1" applyBorder="1" applyAlignment="1" applyProtection="1">
      <alignment horizontal="center" wrapText="1" readingOrder="1"/>
      <protection hidden="1"/>
    </xf>
    <xf numFmtId="0" fontId="66" fillId="5" borderId="18" xfId="0" applyFont="1" applyFill="1" applyBorder="1" applyAlignment="1" applyProtection="1">
      <alignment horizontal="center" wrapText="1" readingOrder="1"/>
      <protection hidden="1"/>
    </xf>
    <xf numFmtId="0" fontId="66" fillId="5" borderId="17" xfId="0" applyFont="1" applyFill="1" applyBorder="1" applyAlignment="1" applyProtection="1">
      <alignment horizontal="center" wrapText="1" readingOrder="1"/>
      <protection hidden="1"/>
    </xf>
    <xf numFmtId="0" fontId="0" fillId="0" borderId="0" xfId="0" applyAlignment="1">
      <alignment wrapText="1"/>
    </xf>
    <xf numFmtId="0" fontId="61" fillId="0" borderId="0" xfId="0" applyFont="1"/>
    <xf numFmtId="0" fontId="0" fillId="0" borderId="33" xfId="0" applyBorder="1"/>
    <xf numFmtId="0" fontId="0" fillId="0" borderId="89" xfId="0" applyBorder="1"/>
    <xf numFmtId="0" fontId="0" fillId="0" borderId="90" xfId="0" applyBorder="1"/>
    <xf numFmtId="0" fontId="0" fillId="0" borderId="91" xfId="0" applyBorder="1"/>
    <xf numFmtId="0" fontId="0" fillId="0" borderId="37" xfId="0" applyBorder="1" applyAlignment="1">
      <alignment wrapText="1"/>
    </xf>
    <xf numFmtId="0" fontId="0" fillId="0" borderId="38" xfId="0" applyBorder="1" applyAlignment="1">
      <alignment wrapText="1"/>
    </xf>
    <xf numFmtId="0" fontId="0" fillId="0" borderId="39" xfId="0" applyBorder="1" applyAlignment="1">
      <alignment wrapText="1"/>
    </xf>
    <xf numFmtId="0" fontId="0" fillId="0" borderId="41" xfId="0" applyBorder="1" applyAlignment="1">
      <alignment wrapText="1"/>
    </xf>
    <xf numFmtId="0" fontId="61" fillId="0" borderId="89" xfId="0" applyFont="1" applyBorder="1" applyAlignment="1">
      <alignment horizontal="center"/>
    </xf>
    <xf numFmtId="0" fontId="61" fillId="0" borderId="90" xfId="0" applyFont="1" applyBorder="1" applyAlignment="1">
      <alignment horizontal="center"/>
    </xf>
    <xf numFmtId="0" fontId="61" fillId="0" borderId="91" xfId="0" applyFont="1" applyBorder="1" applyAlignment="1">
      <alignment horizontal="center"/>
    </xf>
    <xf numFmtId="0" fontId="0" fillId="0" borderId="92" xfId="0" applyBorder="1" applyAlignment="1">
      <alignment wrapText="1"/>
    </xf>
    <xf numFmtId="0" fontId="61" fillId="0" borderId="35" xfId="0" applyFont="1" applyBorder="1" applyAlignment="1">
      <alignment horizontal="center" wrapText="1"/>
    </xf>
    <xf numFmtId="0" fontId="61" fillId="24" borderId="79" xfId="0" quotePrefix="1" applyFont="1" applyFill="1" applyBorder="1"/>
    <xf numFmtId="0" fontId="61" fillId="0" borderId="94" xfId="0" applyFont="1" applyBorder="1" applyAlignment="1">
      <alignment horizontal="center"/>
    </xf>
    <xf numFmtId="0" fontId="61" fillId="0" borderId="95" xfId="0" applyFont="1" applyBorder="1" applyAlignment="1">
      <alignment horizontal="center"/>
    </xf>
    <xf numFmtId="0" fontId="61" fillId="0" borderId="96" xfId="0" applyFont="1" applyBorder="1" applyAlignment="1">
      <alignment horizontal="center"/>
    </xf>
    <xf numFmtId="0" fontId="0" fillId="0" borderId="37" xfId="0" applyBorder="1"/>
    <xf numFmtId="0" fontId="0" fillId="0" borderId="39" xfId="0" applyBorder="1"/>
    <xf numFmtId="0" fontId="0" fillId="0" borderId="40" xfId="0" applyBorder="1"/>
    <xf numFmtId="0" fontId="0" fillId="23" borderId="33" xfId="0" applyFill="1" applyBorder="1"/>
    <xf numFmtId="0" fontId="0" fillId="23" borderId="38" xfId="0" applyFill="1" applyBorder="1"/>
    <xf numFmtId="0" fontId="0" fillId="23" borderId="40" xfId="0" applyFill="1" applyBorder="1"/>
    <xf numFmtId="0" fontId="0" fillId="23" borderId="41" xfId="0" applyFill="1" applyBorder="1"/>
    <xf numFmtId="0" fontId="0" fillId="0" borderId="91" xfId="0" applyBorder="1" applyAlignment="1">
      <alignment wrapText="1"/>
    </xf>
    <xf numFmtId="0" fontId="0" fillId="13" borderId="89" xfId="0" applyFill="1" applyBorder="1"/>
    <xf numFmtId="0" fontId="0" fillId="25" borderId="37" xfId="0" applyFill="1" applyBorder="1"/>
    <xf numFmtId="0" fontId="0" fillId="26" borderId="37" xfId="0" applyFill="1" applyBorder="1"/>
    <xf numFmtId="0" fontId="0" fillId="2" borderId="37" xfId="0" applyFill="1" applyBorder="1"/>
    <xf numFmtId="0" fontId="0" fillId="9" borderId="39" xfId="0" applyFill="1" applyBorder="1"/>
    <xf numFmtId="0" fontId="69" fillId="0" borderId="0" xfId="0" applyFont="1"/>
    <xf numFmtId="0" fontId="70" fillId="0" borderId="87" xfId="0" applyFont="1" applyBorder="1" applyAlignment="1">
      <alignment horizontal="center" wrapText="1"/>
    </xf>
    <xf numFmtId="0" fontId="70" fillId="0" borderId="35" xfId="0" applyFont="1" applyBorder="1" applyAlignment="1">
      <alignment horizontal="center" vertical="center" wrapText="1"/>
    </xf>
    <xf numFmtId="0" fontId="57" fillId="0" borderId="79" xfId="0" applyFont="1" applyBorder="1" applyAlignment="1">
      <alignment horizontal="center" wrapText="1"/>
    </xf>
    <xf numFmtId="0" fontId="57" fillId="0" borderId="0" xfId="0" applyFont="1" applyAlignment="1">
      <alignment horizontal="center" wrapText="1"/>
    </xf>
    <xf numFmtId="0" fontId="44" fillId="0" borderId="0" xfId="0" applyFont="1" applyAlignment="1">
      <alignment horizontal="center"/>
    </xf>
    <xf numFmtId="0" fontId="17" fillId="23" borderId="33" xfId="0" applyFont="1" applyFill="1" applyBorder="1" applyAlignment="1">
      <alignment wrapText="1"/>
    </xf>
    <xf numFmtId="0" fontId="17" fillId="23" borderId="38" xfId="0" applyFont="1" applyFill="1" applyBorder="1" applyAlignment="1">
      <alignment wrapText="1"/>
    </xf>
    <xf numFmtId="0" fontId="17" fillId="23" borderId="81" xfId="0" applyFont="1" applyFill="1" applyBorder="1" applyAlignment="1">
      <alignment wrapText="1"/>
    </xf>
    <xf numFmtId="0" fontId="17" fillId="23" borderId="93" xfId="0" applyFont="1" applyFill="1" applyBorder="1" applyAlignment="1">
      <alignment wrapText="1"/>
    </xf>
    <xf numFmtId="0" fontId="73" fillId="0" borderId="34" xfId="0" applyFont="1" applyBorder="1" applyAlignment="1" applyProtection="1">
      <alignment horizontal="center" vertical="center"/>
      <protection locked="0"/>
    </xf>
    <xf numFmtId="0" fontId="73" fillId="0" borderId="42" xfId="0" applyFont="1" applyBorder="1" applyAlignment="1">
      <alignment horizontal="center" vertical="center"/>
    </xf>
    <xf numFmtId="0" fontId="0" fillId="27" borderId="79" xfId="0" applyFill="1" applyBorder="1" applyAlignment="1">
      <alignment horizontal="center" vertical="center" wrapText="1"/>
    </xf>
    <xf numFmtId="0" fontId="57" fillId="22" borderId="79" xfId="0" applyFont="1" applyFill="1" applyBorder="1" applyAlignment="1">
      <alignment horizontal="center" vertical="top" wrapText="1"/>
    </xf>
    <xf numFmtId="0" fontId="61" fillId="22" borderId="79" xfId="0" applyFont="1" applyFill="1" applyBorder="1" applyAlignment="1">
      <alignment horizontal="center" vertical="top" wrapText="1"/>
    </xf>
    <xf numFmtId="0" fontId="58" fillId="22" borderId="79" xfId="0" applyFont="1" applyFill="1" applyBorder="1" applyAlignment="1">
      <alignment horizontal="center" vertical="top" wrapText="1"/>
    </xf>
    <xf numFmtId="0" fontId="74" fillId="3" borderId="0" xfId="0" applyFont="1" applyFill="1"/>
    <xf numFmtId="0" fontId="78" fillId="27" borderId="33" xfId="0" applyFont="1" applyFill="1" applyBorder="1" applyAlignment="1">
      <alignment horizontal="center" vertical="center"/>
    </xf>
    <xf numFmtId="0" fontId="74" fillId="0" borderId="0" xfId="0" applyFont="1"/>
    <xf numFmtId="0" fontId="78" fillId="27" borderId="33" xfId="0" applyFont="1" applyFill="1" applyBorder="1" applyAlignment="1">
      <alignment horizontal="center" vertical="center" wrapText="1"/>
    </xf>
    <xf numFmtId="0" fontId="78" fillId="3" borderId="0" xfId="0" applyFont="1" applyFill="1" applyAlignment="1">
      <alignment horizontal="center" vertical="center"/>
    </xf>
    <xf numFmtId="0" fontId="78" fillId="2" borderId="0" xfId="0" applyFont="1" applyFill="1" applyAlignment="1">
      <alignment horizontal="center" vertical="center"/>
    </xf>
    <xf numFmtId="0" fontId="74" fillId="0" borderId="33" xfId="0" applyFont="1" applyBorder="1" applyAlignment="1">
      <alignment horizontal="center" vertical="top"/>
    </xf>
    <xf numFmtId="0" fontId="80" fillId="0" borderId="33" xfId="0" applyFont="1" applyBorder="1" applyAlignment="1" applyProtection="1">
      <alignment horizontal="justify" vertical="top" wrapText="1"/>
      <protection locked="0"/>
    </xf>
    <xf numFmtId="0" fontId="74" fillId="0" borderId="33" xfId="0" applyFont="1" applyBorder="1" applyAlignment="1" applyProtection="1">
      <alignment horizontal="center" vertical="top"/>
      <protection hidden="1"/>
    </xf>
    <xf numFmtId="0" fontId="74" fillId="0" borderId="33" xfId="0" applyFont="1" applyBorder="1" applyAlignment="1" applyProtection="1">
      <alignment horizontal="center" vertical="top" textRotation="90"/>
      <protection locked="0"/>
    </xf>
    <xf numFmtId="9" fontId="74" fillId="0" borderId="33" xfId="0" applyNumberFormat="1" applyFont="1" applyBorder="1" applyAlignment="1" applyProtection="1">
      <alignment horizontal="center" vertical="top"/>
      <protection hidden="1"/>
    </xf>
    <xf numFmtId="164" fontId="74" fillId="0" borderId="33" xfId="1" applyNumberFormat="1" applyFont="1" applyFill="1" applyBorder="1" applyAlignment="1">
      <alignment horizontal="center" vertical="top"/>
    </xf>
    <xf numFmtId="0" fontId="78" fillId="0" borderId="33" xfId="0" applyFont="1" applyBorder="1" applyAlignment="1" applyProtection="1">
      <alignment horizontal="center" vertical="top" textRotation="90" wrapText="1"/>
      <protection hidden="1"/>
    </xf>
    <xf numFmtId="0" fontId="78" fillId="0" borderId="33" xfId="0" applyFont="1" applyBorder="1" applyAlignment="1" applyProtection="1">
      <alignment horizontal="center" vertical="top" textRotation="90"/>
      <protection hidden="1"/>
    </xf>
    <xf numFmtId="0" fontId="74" fillId="0" borderId="33" xfId="0" applyFont="1" applyBorder="1" applyAlignment="1" applyProtection="1">
      <alignment horizontal="center" vertical="top" wrapText="1"/>
      <protection locked="0"/>
    </xf>
    <xf numFmtId="0" fontId="74" fillId="0" borderId="33" xfId="0" applyFont="1" applyBorder="1" applyAlignment="1" applyProtection="1">
      <alignment horizontal="center" vertical="top"/>
      <protection locked="0"/>
    </xf>
    <xf numFmtId="14" fontId="74" fillId="0" borderId="33" xfId="0" applyNumberFormat="1" applyFont="1" applyBorder="1" applyAlignment="1" applyProtection="1">
      <alignment horizontal="center" vertical="top"/>
      <protection locked="0"/>
    </xf>
    <xf numFmtId="0" fontId="74" fillId="27" borderId="33" xfId="0" applyFont="1" applyFill="1" applyBorder="1" applyAlignment="1" applyProtection="1">
      <alignment horizontal="center" vertical="top"/>
      <protection locked="0"/>
    </xf>
    <xf numFmtId="0" fontId="74" fillId="3" borderId="33" xfId="0" applyFont="1" applyFill="1" applyBorder="1" applyAlignment="1">
      <alignment vertical="center"/>
    </xf>
    <xf numFmtId="0" fontId="74" fillId="0" borderId="33" xfId="0" applyFont="1" applyBorder="1" applyAlignment="1">
      <alignment vertical="center"/>
    </xf>
    <xf numFmtId="0" fontId="74" fillId="3" borderId="33" xfId="0" applyFont="1" applyFill="1" applyBorder="1"/>
    <xf numFmtId="0" fontId="74" fillId="0" borderId="33" xfId="0" applyFont="1" applyBorder="1"/>
    <xf numFmtId="0" fontId="78" fillId="27" borderId="81" xfId="0" applyFont="1" applyFill="1" applyBorder="1" applyAlignment="1">
      <alignment horizontal="center" vertical="center" textRotation="90" wrapText="1"/>
    </xf>
    <xf numFmtId="0" fontId="4" fillId="0" borderId="0" xfId="0" applyFont="1"/>
    <xf numFmtId="0" fontId="78" fillId="0" borderId="33" xfId="0" applyFont="1" applyBorder="1" applyAlignment="1">
      <alignment horizontal="center" vertical="center"/>
    </xf>
    <xf numFmtId="0" fontId="61" fillId="0" borderId="85" xfId="0" applyFont="1" applyBorder="1" applyAlignment="1" applyProtection="1">
      <alignment horizontal="center" vertical="center" wrapText="1"/>
      <protection locked="0"/>
    </xf>
    <xf numFmtId="0" fontId="75" fillId="0" borderId="0" xfId="0" applyFont="1" applyAlignment="1">
      <alignment horizontal="center" vertical="center"/>
    </xf>
    <xf numFmtId="0" fontId="75" fillId="0" borderId="0" xfId="0" applyFont="1" applyAlignment="1">
      <alignment vertical="center"/>
    </xf>
    <xf numFmtId="0" fontId="0" fillId="0" borderId="14" xfId="0" applyBorder="1"/>
    <xf numFmtId="0" fontId="0" fillId="0" borderId="15" xfId="0" applyBorder="1"/>
    <xf numFmtId="0" fontId="0" fillId="0" borderId="16" xfId="0" applyBorder="1"/>
    <xf numFmtId="0" fontId="0" fillId="0" borderId="18" xfId="0" applyBorder="1"/>
    <xf numFmtId="0" fontId="0" fillId="0" borderId="17" xfId="0" applyBorder="1"/>
    <xf numFmtId="0" fontId="74" fillId="0" borderId="84" xfId="0" applyFont="1" applyBorder="1" applyAlignment="1">
      <alignment vertical="center"/>
    </xf>
    <xf numFmtId="0" fontId="74" fillId="0" borderId="84" xfId="0" applyFont="1" applyBorder="1"/>
    <xf numFmtId="0" fontId="78" fillId="0" borderId="0" xfId="0" applyFont="1" applyAlignment="1">
      <alignment horizontal="center" vertical="center"/>
    </xf>
    <xf numFmtId="0" fontId="74" fillId="0" borderId="0" xfId="0" applyFont="1" applyAlignment="1">
      <alignment vertical="center"/>
    </xf>
    <xf numFmtId="0" fontId="64" fillId="0" borderId="0" xfId="0" applyFont="1"/>
    <xf numFmtId="0" fontId="17" fillId="0" borderId="79" xfId="0" applyFont="1" applyBorder="1" applyAlignment="1">
      <alignment horizontal="center" vertical="top" wrapText="1"/>
    </xf>
    <xf numFmtId="0" fontId="1" fillId="0" borderId="0" xfId="0" applyFont="1" applyAlignment="1">
      <alignment horizontal="center" vertical="center" wrapText="1"/>
    </xf>
    <xf numFmtId="0" fontId="82" fillId="0" borderId="0" xfId="0" applyFont="1" applyAlignment="1">
      <alignment horizontal="center" vertical="top" wrapText="1"/>
    </xf>
    <xf numFmtId="0" fontId="0" fillId="0" borderId="0" xfId="0" applyAlignment="1">
      <alignment horizontal="center" vertical="center" wrapText="1"/>
    </xf>
    <xf numFmtId="0" fontId="83" fillId="0" borderId="0" xfId="0" applyFont="1" applyAlignment="1">
      <alignment vertical="top" wrapText="1"/>
    </xf>
    <xf numFmtId="9" fontId="1" fillId="0" borderId="0" xfId="0" applyNumberFormat="1" applyFont="1"/>
    <xf numFmtId="0" fontId="61" fillId="0" borderId="80" xfId="0" applyFont="1" applyBorder="1" applyAlignment="1">
      <alignment vertical="center"/>
    </xf>
    <xf numFmtId="0" fontId="61" fillId="0" borderId="33" xfId="0" applyFont="1" applyBorder="1" applyAlignment="1">
      <alignment horizontal="center" wrapText="1"/>
    </xf>
    <xf numFmtId="9" fontId="74" fillId="0" borderId="0" xfId="1" applyFont="1" applyFill="1" applyBorder="1"/>
    <xf numFmtId="0" fontId="74" fillId="0" borderId="0" xfId="1" applyNumberFormat="1" applyFont="1" applyFill="1" applyBorder="1"/>
    <xf numFmtId="0" fontId="82" fillId="27" borderId="79" xfId="0" applyFont="1" applyFill="1" applyBorder="1" applyAlignment="1">
      <alignment vertical="top" wrapText="1"/>
    </xf>
    <xf numFmtId="9" fontId="74" fillId="0" borderId="81" xfId="0" applyNumberFormat="1" applyFont="1" applyBorder="1" applyAlignment="1" applyProtection="1">
      <alignment horizontal="center" vertical="top" wrapText="1"/>
      <protection hidden="1"/>
    </xf>
    <xf numFmtId="0" fontId="1" fillId="13" borderId="0" xfId="0" applyFont="1" applyFill="1"/>
    <xf numFmtId="0" fontId="80" fillId="13" borderId="33" xfId="0" applyFont="1" applyFill="1" applyBorder="1" applyAlignment="1" applyProtection="1">
      <alignment horizontal="justify" vertical="top" wrapText="1"/>
      <protection locked="0"/>
    </xf>
    <xf numFmtId="9" fontId="74" fillId="0" borderId="33" xfId="0" applyNumberFormat="1" applyFont="1" applyBorder="1" applyAlignment="1" applyProtection="1">
      <alignment horizontal="center" vertical="top" wrapText="1"/>
      <protection hidden="1"/>
    </xf>
    <xf numFmtId="0" fontId="74" fillId="0" borderId="81" xfId="0" applyFont="1" applyBorder="1" applyAlignment="1">
      <alignment horizontal="center" vertical="center"/>
    </xf>
    <xf numFmtId="0" fontId="74" fillId="0" borderId="33" xfId="0" applyFont="1" applyBorder="1" applyAlignment="1" applyProtection="1">
      <alignment vertical="center" textRotation="90"/>
      <protection locked="0"/>
    </xf>
    <xf numFmtId="0" fontId="74" fillId="0" borderId="33" xfId="0" applyFont="1" applyBorder="1" applyAlignment="1" applyProtection="1">
      <alignment vertical="center" wrapText="1"/>
      <protection locked="0"/>
    </xf>
    <xf numFmtId="14" fontId="74" fillId="0" borderId="33" xfId="0" applyNumberFormat="1" applyFont="1" applyBorder="1" applyAlignment="1" applyProtection="1">
      <alignment vertical="center" wrapText="1"/>
      <protection locked="0"/>
    </xf>
    <xf numFmtId="0" fontId="78" fillId="0" borderId="33" xfId="0" applyFont="1" applyBorder="1" applyAlignment="1" applyProtection="1">
      <alignment horizontal="center" vertical="top"/>
      <protection hidden="1"/>
    </xf>
    <xf numFmtId="0" fontId="78" fillId="0" borderId="33" xfId="0" applyFont="1" applyBorder="1" applyAlignment="1" applyProtection="1">
      <alignment horizontal="center" vertical="top" wrapText="1"/>
      <protection hidden="1"/>
    </xf>
    <xf numFmtId="0" fontId="79" fillId="0" borderId="33" xfId="0" applyFont="1" applyBorder="1" applyAlignment="1" applyProtection="1">
      <alignment horizontal="center" vertical="top" wrapText="1"/>
      <protection locked="0"/>
    </xf>
    <xf numFmtId="0" fontId="74" fillId="0" borderId="81" xfId="0" applyFont="1" applyBorder="1" applyAlignment="1">
      <alignment horizontal="center" vertical="top"/>
    </xf>
    <xf numFmtId="0" fontId="79" fillId="0" borderId="33" xfId="0" applyFont="1" applyBorder="1" applyAlignment="1" applyProtection="1">
      <alignment horizontal="center" vertical="top" textRotation="90"/>
      <protection locked="0"/>
    </xf>
    <xf numFmtId="0" fontId="48" fillId="0" borderId="33" xfId="0" applyFont="1" applyBorder="1" applyAlignment="1" applyProtection="1">
      <alignment horizontal="justify" vertical="top" wrapText="1"/>
      <protection locked="0"/>
    </xf>
    <xf numFmtId="0" fontId="74" fillId="0" borderId="33" xfId="0" applyFont="1" applyBorder="1" applyAlignment="1">
      <alignment horizontal="center" wrapText="1"/>
    </xf>
    <xf numFmtId="0" fontId="80" fillId="0" borderId="81" xfId="0" applyFont="1" applyBorder="1" applyAlignment="1" applyProtection="1">
      <alignment horizontal="left" vertical="top" wrapText="1"/>
      <protection locked="0"/>
    </xf>
    <xf numFmtId="0" fontId="74" fillId="0" borderId="34" xfId="0" applyFont="1" applyBorder="1" applyAlignment="1">
      <alignment horizontal="center" vertical="center"/>
    </xf>
    <xf numFmtId="0" fontId="0" fillId="0" borderId="33" xfId="0" applyBorder="1" applyAlignment="1" applyProtection="1">
      <alignment horizontal="center" vertical="center"/>
      <protection locked="0"/>
    </xf>
    <xf numFmtId="0" fontId="15" fillId="0" borderId="0" xfId="5" applyProtection="1">
      <protection locked="0"/>
    </xf>
    <xf numFmtId="0" fontId="15" fillId="0" borderId="52" xfId="5" applyBorder="1" applyProtection="1">
      <protection locked="0"/>
    </xf>
    <xf numFmtId="0" fontId="61" fillId="0" borderId="0" xfId="5" applyFont="1" applyAlignment="1" applyProtection="1">
      <alignment horizontal="center"/>
      <protection locked="0"/>
    </xf>
    <xf numFmtId="0" fontId="15" fillId="0" borderId="0" xfId="5" applyAlignment="1" applyProtection="1">
      <alignment vertical="center"/>
      <protection locked="0"/>
    </xf>
    <xf numFmtId="0" fontId="15" fillId="0" borderId="0" xfId="5" applyAlignment="1" applyProtection="1">
      <alignment horizontal="center" vertical="center"/>
      <protection locked="0"/>
    </xf>
    <xf numFmtId="0" fontId="15" fillId="0" borderId="0" xfId="5" applyAlignment="1" applyProtection="1">
      <alignment horizontal="left" vertical="center"/>
      <protection locked="0"/>
    </xf>
    <xf numFmtId="0" fontId="74" fillId="3" borderId="34" xfId="5" applyFont="1" applyFill="1" applyBorder="1"/>
    <xf numFmtId="0" fontId="74" fillId="3" borderId="84" xfId="5" applyFont="1" applyFill="1" applyBorder="1"/>
    <xf numFmtId="0" fontId="74" fillId="3" borderId="33" xfId="5" applyFont="1" applyFill="1" applyBorder="1"/>
    <xf numFmtId="0" fontId="15" fillId="0" borderId="78" xfId="5" applyBorder="1" applyProtection="1">
      <protection locked="0"/>
    </xf>
    <xf numFmtId="0" fontId="61" fillId="0" borderId="0" xfId="5" applyFont="1" applyAlignment="1" applyProtection="1">
      <alignment horizontal="left" vertical="center" wrapText="1"/>
      <protection locked="0"/>
    </xf>
    <xf numFmtId="0" fontId="61" fillId="0" borderId="0" xfId="5" applyFont="1" applyAlignment="1" applyProtection="1">
      <alignment horizontal="center" vertical="center" wrapText="1"/>
      <protection locked="0"/>
    </xf>
    <xf numFmtId="0" fontId="78" fillId="27" borderId="33" xfId="5" applyFont="1" applyFill="1" applyBorder="1" applyAlignment="1">
      <alignment horizontal="center" vertical="center"/>
    </xf>
    <xf numFmtId="0" fontId="78" fillId="27" borderId="33" xfId="5" applyFont="1" applyFill="1" applyBorder="1" applyAlignment="1">
      <alignment horizontal="center" vertical="center" wrapText="1"/>
    </xf>
    <xf numFmtId="0" fontId="61" fillId="0" borderId="0" xfId="5" applyFont="1" applyProtection="1">
      <protection locked="0"/>
    </xf>
    <xf numFmtId="0" fontId="61" fillId="0" borderId="0" xfId="5" applyFont="1" applyAlignment="1" applyProtection="1">
      <alignment vertical="center"/>
      <protection locked="0"/>
    </xf>
    <xf numFmtId="0" fontId="61" fillId="0" borderId="0" xfId="5" applyFont="1" applyAlignment="1" applyProtection="1">
      <alignment horizontal="center" vertical="center"/>
      <protection locked="0"/>
    </xf>
    <xf numFmtId="0" fontId="61" fillId="0" borderId="0" xfId="5" applyFont="1" applyAlignment="1" applyProtection="1">
      <alignment wrapText="1"/>
      <protection locked="0"/>
    </xf>
    <xf numFmtId="0" fontId="61" fillId="0" borderId="0" xfId="5" applyFont="1" applyAlignment="1" applyProtection="1">
      <alignment vertical="center" wrapText="1"/>
      <protection locked="0"/>
    </xf>
    <xf numFmtId="0" fontId="15" fillId="0" borderId="0" xfId="5" applyAlignment="1" applyProtection="1">
      <alignment vertical="center" wrapText="1"/>
      <protection locked="0"/>
    </xf>
    <xf numFmtId="0" fontId="61" fillId="13" borderId="33" xfId="5" applyFont="1" applyFill="1" applyBorder="1" applyAlignment="1" applyProtection="1">
      <alignment horizontal="center" vertical="center" wrapText="1"/>
      <protection locked="0"/>
    </xf>
    <xf numFmtId="0" fontId="78" fillId="27" borderId="81" xfId="5" applyFont="1" applyFill="1" applyBorder="1" applyAlignment="1">
      <alignment horizontal="center" vertical="center" wrapText="1"/>
    </xf>
    <xf numFmtId="0" fontId="78" fillId="27" borderId="33" xfId="5" applyFont="1" applyFill="1" applyBorder="1" applyAlignment="1">
      <alignment vertical="center" wrapText="1"/>
    </xf>
    <xf numFmtId="0" fontId="61" fillId="27" borderId="33" xfId="5" applyFont="1" applyFill="1" applyBorder="1" applyAlignment="1" applyProtection="1">
      <alignment horizontal="center" vertical="center"/>
      <protection locked="0"/>
    </xf>
    <xf numFmtId="0" fontId="78" fillId="27" borderId="81" xfId="5" applyFont="1" applyFill="1" applyBorder="1" applyAlignment="1">
      <alignment horizontal="center" vertical="center" textRotation="90" wrapText="1"/>
    </xf>
    <xf numFmtId="0" fontId="74" fillId="0" borderId="33" xfId="5" applyFont="1" applyBorder="1" applyAlignment="1">
      <alignment horizontal="center" vertical="top"/>
    </xf>
    <xf numFmtId="0" fontId="74" fillId="0" borderId="33" xfId="5" applyFont="1" applyBorder="1" applyAlignment="1" applyProtection="1">
      <alignment horizontal="center" vertical="top"/>
      <protection hidden="1"/>
    </xf>
    <xf numFmtId="0" fontId="74" fillId="0" borderId="33" xfId="5" applyFont="1" applyBorder="1" applyAlignment="1" applyProtection="1">
      <alignment horizontal="center" vertical="top" textRotation="90"/>
      <protection locked="0"/>
    </xf>
    <xf numFmtId="9" fontId="74" fillId="0" borderId="33" xfId="5" applyNumberFormat="1" applyFont="1" applyBorder="1" applyAlignment="1" applyProtection="1">
      <alignment horizontal="center" vertical="top"/>
      <protection hidden="1"/>
    </xf>
    <xf numFmtId="164" fontId="74" fillId="0" borderId="33" xfId="7" applyNumberFormat="1" applyFont="1" applyFill="1" applyBorder="1" applyAlignment="1">
      <alignment horizontal="center" vertical="top"/>
    </xf>
    <xf numFmtId="0" fontId="78" fillId="0" borderId="33" xfId="5" applyFont="1" applyBorder="1" applyAlignment="1" applyProtection="1">
      <alignment horizontal="center" vertical="top" textRotation="90" wrapText="1"/>
      <protection hidden="1"/>
    </xf>
    <xf numFmtId="0" fontId="78" fillId="0" borderId="33" xfId="5" applyFont="1" applyBorder="1" applyAlignment="1" applyProtection="1">
      <alignment horizontal="center" vertical="top" textRotation="90"/>
      <protection hidden="1"/>
    </xf>
    <xf numFmtId="14" fontId="74" fillId="0" borderId="33" xfId="5" applyNumberFormat="1" applyFont="1" applyBorder="1" applyAlignment="1" applyProtection="1">
      <alignment horizontal="center" vertical="top"/>
      <protection locked="0"/>
    </xf>
    <xf numFmtId="0" fontId="74" fillId="0" borderId="33" xfId="5" applyFont="1" applyBorder="1" applyAlignment="1" applyProtection="1">
      <alignment horizontal="center" vertical="top" wrapText="1"/>
      <protection locked="0"/>
    </xf>
    <xf numFmtId="0" fontId="74" fillId="0" borderId="33" xfId="5" applyFont="1" applyBorder="1" applyAlignment="1" applyProtection="1">
      <alignment horizontal="center" vertical="top"/>
      <protection locked="0"/>
    </xf>
    <xf numFmtId="0" fontId="15" fillId="0" borderId="33" xfId="5" applyBorder="1" applyAlignment="1">
      <alignment vertical="center"/>
    </xf>
    <xf numFmtId="0" fontId="71" fillId="0" borderId="33" xfId="5" applyFont="1" applyBorder="1" applyAlignment="1">
      <alignment vertical="center"/>
    </xf>
    <xf numFmtId="164" fontId="15" fillId="0" borderId="33" xfId="5" applyNumberFormat="1" applyBorder="1" applyAlignment="1" applyProtection="1">
      <alignment vertical="center"/>
      <protection locked="0"/>
    </xf>
    <xf numFmtId="0" fontId="15" fillId="0" borderId="33" xfId="5" applyBorder="1" applyAlignment="1" applyProtection="1">
      <alignment vertical="center" wrapText="1"/>
      <protection locked="0"/>
    </xf>
    <xf numFmtId="0" fontId="15" fillId="0" borderId="33" xfId="5" applyBorder="1" applyProtection="1">
      <protection locked="0"/>
    </xf>
    <xf numFmtId="9" fontId="15" fillId="0" borderId="33" xfId="5" applyNumberFormat="1" applyBorder="1" applyProtection="1">
      <protection locked="0"/>
    </xf>
    <xf numFmtId="9" fontId="15" fillId="0" borderId="0" xfId="5" applyNumberFormat="1" applyProtection="1">
      <protection locked="0"/>
    </xf>
    <xf numFmtId="0" fontId="15" fillId="0" borderId="33" xfId="5" applyBorder="1" applyAlignment="1" applyProtection="1">
      <alignment vertical="center"/>
      <protection locked="0"/>
    </xf>
    <xf numFmtId="0" fontId="15" fillId="0" borderId="0" xfId="5" applyAlignment="1">
      <alignment vertical="top" wrapText="1"/>
    </xf>
    <xf numFmtId="0" fontId="15" fillId="0" borderId="0" xfId="5" applyAlignment="1">
      <alignment vertical="center"/>
    </xf>
    <xf numFmtId="0" fontId="15" fillId="0" borderId="0" xfId="5" applyAlignment="1" applyProtection="1">
      <alignment wrapText="1"/>
      <protection locked="0"/>
    </xf>
    <xf numFmtId="0" fontId="61" fillId="0" borderId="81" xfId="5" applyFont="1" applyBorder="1" applyAlignment="1" applyProtection="1">
      <alignment horizontal="center" vertical="center"/>
      <protection locked="0"/>
    </xf>
    <xf numFmtId="0" fontId="61" fillId="0" borderId="81" xfId="5" applyFont="1" applyBorder="1" applyAlignment="1" applyProtection="1">
      <alignment horizontal="center" vertical="center" wrapText="1"/>
      <protection locked="0"/>
    </xf>
    <xf numFmtId="0" fontId="61" fillId="0" borderId="33" xfId="5" applyFont="1" applyBorder="1" applyAlignment="1" applyProtection="1">
      <alignment horizontal="center" vertical="center"/>
      <protection locked="0"/>
    </xf>
    <xf numFmtId="0" fontId="61" fillId="0" borderId="34" xfId="5" applyFont="1" applyBorder="1" applyAlignment="1" applyProtection="1">
      <alignment horizontal="center" vertical="center"/>
      <protection locked="0"/>
    </xf>
    <xf numFmtId="0" fontId="61" fillId="0" borderId="34" xfId="5" applyFont="1" applyBorder="1" applyAlignment="1" applyProtection="1">
      <alignment horizontal="center" vertical="center" wrapText="1"/>
      <protection locked="0"/>
    </xf>
    <xf numFmtId="0" fontId="61" fillId="13" borderId="33" xfId="5" applyFont="1" applyFill="1" applyBorder="1" applyAlignment="1" applyProtection="1">
      <alignment horizontal="center" vertical="center"/>
      <protection locked="0"/>
    </xf>
    <xf numFmtId="0" fontId="15" fillId="0" borderId="77" xfId="5" applyBorder="1" applyAlignment="1" applyProtection="1">
      <alignment horizontal="center" vertical="center"/>
      <protection locked="0"/>
    </xf>
    <xf numFmtId="0" fontId="15" fillId="0" borderId="85" xfId="5" applyBorder="1" applyAlignment="1" applyProtection="1">
      <alignment horizontal="left" vertical="center" wrapText="1"/>
      <protection locked="0"/>
    </xf>
    <xf numFmtId="0" fontId="15" fillId="0" borderId="0" xfId="5" applyAlignment="1" applyProtection="1">
      <alignment horizontal="center" wrapText="1"/>
      <protection locked="0"/>
    </xf>
    <xf numFmtId="0" fontId="28" fillId="0" borderId="77" xfId="5" applyFont="1" applyBorder="1" applyAlignment="1" applyProtection="1">
      <alignment horizontal="center" vertical="center"/>
      <protection locked="0"/>
    </xf>
    <xf numFmtId="0" fontId="28" fillId="0" borderId="85" xfId="5" applyFont="1" applyBorder="1" applyAlignment="1" applyProtection="1">
      <alignment horizontal="left" vertical="center" wrapText="1"/>
      <protection locked="0"/>
    </xf>
    <xf numFmtId="0" fontId="15" fillId="0" borderId="85" xfId="5" applyBorder="1" applyAlignment="1" applyProtection="1">
      <alignment vertical="center" wrapText="1"/>
      <protection locked="0"/>
    </xf>
    <xf numFmtId="0" fontId="15" fillId="0" borderId="86" xfId="5" applyBorder="1" applyAlignment="1" applyProtection="1">
      <alignment horizontal="center" vertical="center"/>
      <protection locked="0"/>
    </xf>
    <xf numFmtId="0" fontId="15" fillId="0" borderId="34" xfId="5" applyBorder="1" applyAlignment="1" applyProtection="1">
      <alignment vertical="center" wrapText="1"/>
      <protection locked="0"/>
    </xf>
    <xf numFmtId="0" fontId="15" fillId="0" borderId="0" xfId="5" applyAlignment="1" applyProtection="1">
      <alignment horizontal="center" vertical="center" wrapText="1"/>
      <protection locked="0"/>
    </xf>
    <xf numFmtId="0" fontId="61" fillId="0" borderId="33" xfId="5" applyFont="1" applyBorder="1" applyAlignment="1">
      <alignment horizontal="center" vertical="center"/>
    </xf>
    <xf numFmtId="0" fontId="15" fillId="0" borderId="34" xfId="5" applyBorder="1" applyAlignment="1" applyProtection="1">
      <alignment horizontal="center" vertical="center" wrapText="1"/>
      <protection locked="0"/>
    </xf>
    <xf numFmtId="0" fontId="61" fillId="28" borderId="33" xfId="5" applyFont="1" applyFill="1" applyBorder="1" applyAlignment="1" applyProtection="1">
      <alignment horizontal="left"/>
      <protection locked="0"/>
    </xf>
    <xf numFmtId="9" fontId="61" fillId="28" borderId="33" xfId="5" applyNumberFormat="1" applyFont="1" applyFill="1" applyBorder="1" applyAlignment="1" applyProtection="1">
      <alignment horizontal="center"/>
      <protection locked="0"/>
    </xf>
    <xf numFmtId="9" fontId="61" fillId="28" borderId="0" xfId="5" applyNumberFormat="1" applyFont="1" applyFill="1" applyAlignment="1" applyProtection="1">
      <alignment horizontal="center"/>
      <protection locked="0"/>
    </xf>
    <xf numFmtId="0" fontId="1" fillId="0" borderId="0" xfId="5" applyFont="1"/>
    <xf numFmtId="0" fontId="1" fillId="0" borderId="0" xfId="5" applyFont="1" applyAlignment="1">
      <alignment horizontal="center"/>
    </xf>
    <xf numFmtId="0" fontId="4" fillId="0" borderId="0" xfId="5" applyFont="1"/>
    <xf numFmtId="0" fontId="61" fillId="13" borderId="33" xfId="5" applyFont="1" applyFill="1" applyBorder="1" applyAlignment="1" applyProtection="1">
      <alignment horizontal="left"/>
      <protection locked="0"/>
    </xf>
    <xf numFmtId="9" fontId="61" fillId="13" borderId="33" xfId="5" applyNumberFormat="1" applyFont="1" applyFill="1" applyBorder="1" applyAlignment="1" applyProtection="1">
      <alignment horizontal="center"/>
      <protection locked="0"/>
    </xf>
    <xf numFmtId="9" fontId="61" fillId="13" borderId="0" xfId="5" applyNumberFormat="1" applyFont="1" applyFill="1" applyAlignment="1" applyProtection="1">
      <alignment horizontal="center"/>
      <protection locked="0"/>
    </xf>
    <xf numFmtId="0" fontId="15" fillId="0" borderId="0" xfId="5"/>
    <xf numFmtId="0" fontId="61" fillId="26" borderId="33" xfId="5" applyFont="1" applyFill="1" applyBorder="1" applyAlignment="1" applyProtection="1">
      <alignment horizontal="left"/>
      <protection locked="0"/>
    </xf>
    <xf numFmtId="9" fontId="61" fillId="26" borderId="33" xfId="5" applyNumberFormat="1" applyFont="1" applyFill="1" applyBorder="1" applyAlignment="1" applyProtection="1">
      <alignment horizontal="center"/>
      <protection locked="0"/>
    </xf>
    <xf numFmtId="9" fontId="61" fillId="26" borderId="0" xfId="5" applyNumberFormat="1" applyFont="1" applyFill="1" applyAlignment="1" applyProtection="1">
      <alignment horizontal="center"/>
      <protection locked="0"/>
    </xf>
    <xf numFmtId="0" fontId="61" fillId="5" borderId="33" xfId="5" applyFont="1" applyFill="1" applyBorder="1" applyAlignment="1" applyProtection="1">
      <alignment horizontal="left"/>
      <protection locked="0"/>
    </xf>
    <xf numFmtId="9" fontId="61" fillId="5" borderId="33" xfId="5" applyNumberFormat="1" applyFont="1" applyFill="1" applyBorder="1" applyAlignment="1" applyProtection="1">
      <alignment horizontal="center"/>
      <protection locked="0"/>
    </xf>
    <xf numFmtId="9" fontId="61" fillId="5" borderId="0" xfId="5" applyNumberFormat="1" applyFont="1" applyFill="1" applyAlignment="1" applyProtection="1">
      <alignment horizontal="center"/>
      <protection locked="0"/>
    </xf>
    <xf numFmtId="0" fontId="61" fillId="9" borderId="33" xfId="5" applyFont="1" applyFill="1" applyBorder="1" applyAlignment="1" applyProtection="1">
      <alignment horizontal="left"/>
      <protection locked="0"/>
    </xf>
    <xf numFmtId="9" fontId="61" fillId="9" borderId="33" xfId="5" applyNumberFormat="1" applyFont="1" applyFill="1" applyBorder="1" applyAlignment="1" applyProtection="1">
      <alignment horizontal="center"/>
      <protection locked="0"/>
    </xf>
    <xf numFmtId="9" fontId="61" fillId="9" borderId="0" xfId="5" applyNumberFormat="1" applyFont="1" applyFill="1" applyAlignment="1" applyProtection="1">
      <alignment horizontal="center"/>
      <protection locked="0"/>
    </xf>
    <xf numFmtId="0" fontId="15" fillId="0" borderId="69" xfId="5" applyBorder="1" applyProtection="1">
      <protection locked="0"/>
    </xf>
    <xf numFmtId="0" fontId="15" fillId="0" borderId="77" xfId="5" applyBorder="1" applyProtection="1">
      <protection locked="0"/>
    </xf>
    <xf numFmtId="0" fontId="15" fillId="0" borderId="86" xfId="5" applyBorder="1" applyProtection="1">
      <protection locked="0"/>
    </xf>
    <xf numFmtId="0" fontId="0" fillId="0" borderId="34" xfId="0" applyBorder="1" applyAlignment="1" applyProtection="1">
      <alignment vertical="center"/>
      <protection locked="0"/>
    </xf>
    <xf numFmtId="0" fontId="0" fillId="0" borderId="33" xfId="0" applyBorder="1" applyAlignment="1" applyProtection="1">
      <alignment vertical="top" wrapText="1"/>
      <protection locked="0"/>
    </xf>
    <xf numFmtId="0" fontId="74" fillId="0" borderId="33" xfId="0" applyFont="1" applyBorder="1" applyAlignment="1">
      <alignment vertical="center" wrapText="1"/>
    </xf>
    <xf numFmtId="0" fontId="15" fillId="0" borderId="0" xfId="5" applyAlignment="1" applyProtection="1">
      <alignment horizontal="left" vertical="top" wrapText="1"/>
      <protection locked="0"/>
    </xf>
    <xf numFmtId="0" fontId="15" fillId="0" borderId="0" xfId="5" applyAlignment="1">
      <alignment horizontal="center" vertical="center"/>
    </xf>
    <xf numFmtId="0" fontId="37" fillId="0" borderId="33" xfId="0" applyFont="1" applyBorder="1" applyAlignment="1">
      <alignment horizontal="left" vertical="top" wrapText="1"/>
    </xf>
    <xf numFmtId="9" fontId="74" fillId="0" borderId="33" xfId="0" applyNumberFormat="1" applyFont="1" applyBorder="1" applyAlignment="1" applyProtection="1">
      <alignment horizontal="center" vertical="top" wrapText="1"/>
      <protection locked="0"/>
    </xf>
    <xf numFmtId="0" fontId="15" fillId="0" borderId="34" xfId="5" applyBorder="1" applyAlignment="1" applyProtection="1">
      <alignment vertical="center"/>
      <protection locked="0"/>
    </xf>
    <xf numFmtId="0" fontId="16" fillId="3" borderId="33" xfId="4" applyFont="1" applyFill="1" applyBorder="1" applyAlignment="1">
      <alignment horizontal="center" vertical="center" wrapText="1"/>
    </xf>
    <xf numFmtId="0" fontId="16" fillId="3" borderId="33" xfId="0" applyFont="1" applyFill="1" applyBorder="1" applyAlignment="1">
      <alignment vertical="center" wrapText="1"/>
    </xf>
    <xf numFmtId="14" fontId="16" fillId="3" borderId="33" xfId="4" applyNumberFormat="1" applyFont="1" applyFill="1" applyBorder="1" applyAlignment="1">
      <alignment horizontal="center" vertical="center" wrapText="1"/>
    </xf>
    <xf numFmtId="0" fontId="15" fillId="0" borderId="34" xfId="5" applyBorder="1" applyAlignment="1">
      <alignment vertical="center"/>
    </xf>
    <xf numFmtId="0" fontId="16" fillId="3" borderId="33" xfId="9" applyFont="1" applyFill="1" applyBorder="1" applyAlignment="1">
      <alignment vertical="top" wrapText="1"/>
    </xf>
    <xf numFmtId="0" fontId="57" fillId="0" borderId="33" xfId="0" applyFont="1" applyBorder="1" applyAlignment="1">
      <alignment vertical="top" wrapText="1"/>
    </xf>
    <xf numFmtId="0" fontId="74" fillId="17" borderId="33" xfId="0" applyFont="1" applyFill="1" applyBorder="1" applyAlignment="1" applyProtection="1">
      <alignment horizontal="center" vertical="top" wrapText="1"/>
      <protection locked="0"/>
    </xf>
    <xf numFmtId="0" fontId="88" fillId="17" borderId="33" xfId="0" applyFont="1" applyFill="1" applyBorder="1" applyAlignment="1" applyProtection="1">
      <alignment horizontal="justify" vertical="top" wrapText="1"/>
      <protection locked="0"/>
    </xf>
    <xf numFmtId="0" fontId="16" fillId="17" borderId="33" xfId="0" applyFont="1" applyFill="1" applyBorder="1" applyAlignment="1">
      <alignment horizontal="left" vertical="top" wrapText="1"/>
    </xf>
    <xf numFmtId="0" fontId="0" fillId="0" borderId="12" xfId="0" applyBorder="1" applyAlignment="1">
      <alignment horizontal="center"/>
    </xf>
    <xf numFmtId="0" fontId="0" fillId="0" borderId="19"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0" fontId="28" fillId="0" borderId="33" xfId="0" applyFont="1" applyBorder="1" applyAlignment="1">
      <alignment horizontal="center" wrapText="1"/>
    </xf>
    <xf numFmtId="0" fontId="0" fillId="0" borderId="33" xfId="0" applyBorder="1" applyAlignment="1">
      <alignment horizontal="center"/>
    </xf>
    <xf numFmtId="0" fontId="0" fillId="0" borderId="33" xfId="0" applyBorder="1" applyAlignment="1">
      <alignment horizontal="center" vertical="center" wrapText="1"/>
    </xf>
    <xf numFmtId="0" fontId="0" fillId="0" borderId="0" xfId="0" applyAlignment="1">
      <alignment horizontal="center" vertical="top"/>
    </xf>
    <xf numFmtId="0" fontId="28" fillId="0" borderId="0" xfId="0" applyFont="1" applyAlignment="1">
      <alignment horizontal="center" vertical="top"/>
    </xf>
    <xf numFmtId="0" fontId="0" fillId="0" borderId="75" xfId="0" applyBorder="1" applyAlignment="1">
      <alignment horizontal="center" wrapText="1"/>
    </xf>
    <xf numFmtId="0" fontId="0" fillId="0" borderId="84" xfId="0" applyBorder="1" applyAlignment="1">
      <alignment horizontal="center" wrapText="1"/>
    </xf>
    <xf numFmtId="0" fontId="16" fillId="0" borderId="33" xfId="0" applyFont="1" applyBorder="1" applyAlignment="1">
      <alignment horizontal="center" wrapText="1"/>
    </xf>
    <xf numFmtId="0" fontId="16" fillId="0" borderId="33" xfId="0" applyFont="1" applyBorder="1" applyAlignment="1">
      <alignment horizontal="center"/>
    </xf>
    <xf numFmtId="0" fontId="0" fillId="0" borderId="33" xfId="0" applyBorder="1" applyAlignment="1">
      <alignment horizontal="center" wrapText="1"/>
    </xf>
    <xf numFmtId="0" fontId="16" fillId="0" borderId="75" xfId="0" applyFont="1" applyBorder="1" applyAlignment="1">
      <alignment horizontal="center" vertical="center" wrapText="1"/>
    </xf>
    <xf numFmtId="0" fontId="16" fillId="0" borderId="84"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82" xfId="0" applyFont="1" applyBorder="1" applyAlignment="1">
      <alignment horizontal="center" vertical="center" wrapText="1"/>
    </xf>
    <xf numFmtId="0" fontId="16" fillId="0" borderId="77" xfId="0" applyFont="1" applyBorder="1" applyAlignment="1">
      <alignment horizontal="center" vertical="center" wrapText="1"/>
    </xf>
    <xf numFmtId="0" fontId="16" fillId="0" borderId="78" xfId="0" applyFont="1" applyBorder="1" applyAlignment="1">
      <alignment horizontal="center" vertical="center" wrapText="1"/>
    </xf>
    <xf numFmtId="0" fontId="16" fillId="0" borderId="86" xfId="0" applyFont="1" applyBorder="1" applyAlignment="1">
      <alignment horizontal="center" vertical="center" wrapText="1"/>
    </xf>
    <xf numFmtId="0" fontId="16" fillId="0" borderId="80" xfId="0" applyFont="1" applyBorder="1" applyAlignment="1">
      <alignment horizontal="center" vertical="center" wrapText="1"/>
    </xf>
    <xf numFmtId="0" fontId="0" fillId="0" borderId="76" xfId="0" applyBorder="1" applyAlignment="1">
      <alignment horizontal="center" wrapText="1"/>
    </xf>
    <xf numFmtId="0" fontId="0" fillId="0" borderId="82" xfId="0" applyBorder="1" applyAlignment="1">
      <alignment horizontal="center" wrapText="1"/>
    </xf>
    <xf numFmtId="0" fontId="61" fillId="0" borderId="33" xfId="0" applyFont="1" applyBorder="1" applyAlignment="1">
      <alignment horizontal="center" vertical="center"/>
    </xf>
    <xf numFmtId="0" fontId="64" fillId="22" borderId="35" xfId="0" applyFont="1" applyFill="1" applyBorder="1" applyAlignment="1">
      <alignment horizontal="center"/>
    </xf>
    <xf numFmtId="0" fontId="64" fillId="22" borderId="36" xfId="0" applyFont="1" applyFill="1" applyBorder="1" applyAlignment="1">
      <alignment horizontal="center"/>
    </xf>
    <xf numFmtId="0" fontId="64" fillId="22" borderId="47" xfId="0" applyFont="1" applyFill="1" applyBorder="1" applyAlignment="1">
      <alignment horizontal="center"/>
    </xf>
    <xf numFmtId="0" fontId="61" fillId="0" borderId="86" xfId="0" applyFont="1" applyBorder="1" applyAlignment="1">
      <alignment horizontal="center" vertical="center"/>
    </xf>
    <xf numFmtId="0" fontId="61" fillId="0" borderId="69" xfId="0" applyFont="1" applyBorder="1" applyAlignment="1">
      <alignment horizontal="center" vertical="center"/>
    </xf>
    <xf numFmtId="0" fontId="70" fillId="0" borderId="94" xfId="0" applyFont="1" applyBorder="1" applyAlignment="1">
      <alignment horizontal="center" vertical="center"/>
    </xf>
    <xf numFmtId="0" fontId="70" fillId="0" borderId="95" xfId="0" applyFont="1" applyBorder="1" applyAlignment="1">
      <alignment horizontal="center" vertical="center"/>
    </xf>
    <xf numFmtId="0" fontId="70" fillId="0" borderId="96" xfId="0" applyFont="1" applyBorder="1" applyAlignment="1">
      <alignment horizontal="center" vertical="center"/>
    </xf>
    <xf numFmtId="0" fontId="64" fillId="22" borderId="35" xfId="0" applyFont="1" applyFill="1" applyBorder="1" applyAlignment="1">
      <alignment horizontal="center" vertical="top"/>
    </xf>
    <xf numFmtId="0" fontId="64" fillId="22" borderId="36" xfId="0" applyFont="1" applyFill="1" applyBorder="1" applyAlignment="1">
      <alignment horizontal="center" vertical="top"/>
    </xf>
    <xf numFmtId="0" fontId="64" fillId="22" borderId="47" xfId="0" applyFont="1" applyFill="1" applyBorder="1" applyAlignment="1">
      <alignment horizontal="center" vertical="top"/>
    </xf>
    <xf numFmtId="0" fontId="0" fillId="0" borderId="98" xfId="0" applyBorder="1" applyAlignment="1">
      <alignment horizontal="center" vertical="top" wrapText="1"/>
    </xf>
    <xf numFmtId="0" fontId="0" fillId="0" borderId="99" xfId="0" applyBorder="1" applyAlignment="1">
      <alignment horizontal="center" vertical="top" wrapText="1"/>
    </xf>
    <xf numFmtId="0" fontId="61" fillId="0" borderId="44" xfId="0" applyFont="1" applyBorder="1" applyAlignment="1">
      <alignment horizontal="center" vertical="center"/>
    </xf>
    <xf numFmtId="0" fontId="61" fillId="0" borderId="45" xfId="0" applyFont="1" applyBorder="1" applyAlignment="1">
      <alignment horizontal="center" vertical="center"/>
    </xf>
    <xf numFmtId="0" fontId="61" fillId="0" borderId="46" xfId="0" applyFont="1" applyBorder="1" applyAlignment="1">
      <alignment horizontal="center" vertical="center"/>
    </xf>
    <xf numFmtId="0" fontId="0" fillId="0" borderId="100" xfId="0" applyBorder="1" applyAlignment="1">
      <alignment horizontal="center" vertical="top" wrapText="1"/>
    </xf>
    <xf numFmtId="0" fontId="64" fillId="0" borderId="35" xfId="0" applyFont="1" applyBorder="1" applyAlignment="1">
      <alignment horizontal="center"/>
    </xf>
    <xf numFmtId="0" fontId="64" fillId="0" borderId="36" xfId="0" applyFont="1" applyBorder="1" applyAlignment="1">
      <alignment horizontal="center"/>
    </xf>
    <xf numFmtId="0" fontId="64" fillId="0" borderId="47" xfId="0" applyFont="1" applyBorder="1" applyAlignment="1">
      <alignment horizontal="center"/>
    </xf>
    <xf numFmtId="0" fontId="28" fillId="0" borderId="33" xfId="0" applyFont="1" applyBorder="1" applyAlignment="1">
      <alignment horizontal="center" vertical="center" wrapText="1"/>
    </xf>
    <xf numFmtId="0" fontId="16" fillId="0" borderId="75" xfId="0" applyFont="1" applyBorder="1" applyAlignment="1">
      <alignment horizontal="center" wrapText="1"/>
    </xf>
    <xf numFmtId="0" fontId="16" fillId="0" borderId="84" xfId="0" applyFont="1" applyBorder="1" applyAlignment="1">
      <alignment horizontal="center" wrapText="1"/>
    </xf>
    <xf numFmtId="0" fontId="0" fillId="0" borderId="76" xfId="0" applyBorder="1" applyAlignment="1">
      <alignment horizontal="center" vertical="center" wrapText="1"/>
    </xf>
    <xf numFmtId="0" fontId="0" fillId="0" borderId="82" xfId="0" applyBorder="1" applyAlignment="1">
      <alignment horizontal="center" vertical="center" wrapText="1"/>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0" fillId="0" borderId="86" xfId="0" applyBorder="1" applyAlignment="1">
      <alignment horizontal="center" vertical="center" wrapText="1"/>
    </xf>
    <xf numFmtId="0" fontId="0" fillId="0" borderId="80" xfId="0" applyBorder="1" applyAlignment="1">
      <alignment horizontal="center" vertical="center" wrapText="1"/>
    </xf>
    <xf numFmtId="0" fontId="55" fillId="3" borderId="58" xfId="3" applyFont="1" applyFill="1" applyBorder="1" applyAlignment="1">
      <alignment horizontal="left" vertical="top" wrapText="1" readingOrder="1"/>
    </xf>
    <xf numFmtId="0" fontId="55" fillId="3" borderId="59" xfId="3" applyFont="1" applyFill="1" applyBorder="1" applyAlignment="1">
      <alignment horizontal="left" vertical="top" wrapText="1" readingOrder="1"/>
    </xf>
    <xf numFmtId="0" fontId="56" fillId="3" borderId="60" xfId="2" applyFont="1" applyFill="1" applyBorder="1" applyAlignment="1">
      <alignment horizontal="justify" vertical="center" wrapText="1"/>
    </xf>
    <xf numFmtId="0" fontId="56" fillId="3" borderId="61" xfId="2" applyFont="1" applyFill="1" applyBorder="1" applyAlignment="1">
      <alignment horizontal="justify" vertical="center" wrapText="1"/>
    </xf>
    <xf numFmtId="0" fontId="56" fillId="3" borderId="64" xfId="2" applyFont="1" applyFill="1" applyBorder="1" applyAlignment="1">
      <alignment horizontal="justify" vertical="center" wrapText="1"/>
    </xf>
    <xf numFmtId="0" fontId="56" fillId="3" borderId="65" xfId="2" applyFont="1" applyFill="1" applyBorder="1" applyAlignment="1">
      <alignment horizontal="justify" vertical="center" wrapText="1"/>
    </xf>
    <xf numFmtId="0" fontId="55" fillId="3" borderId="62" xfId="0" applyFont="1" applyFill="1" applyBorder="1" applyAlignment="1">
      <alignment horizontal="left" vertical="center" wrapText="1"/>
    </xf>
    <xf numFmtId="0" fontId="55" fillId="3" borderId="63" xfId="0" applyFont="1" applyFill="1" applyBorder="1" applyAlignment="1">
      <alignment horizontal="left" vertical="center" wrapText="1"/>
    </xf>
    <xf numFmtId="0" fontId="55" fillId="3" borderId="71" xfId="0" applyFont="1" applyFill="1" applyBorder="1" applyAlignment="1">
      <alignment horizontal="left" vertical="center" wrapText="1"/>
    </xf>
    <xf numFmtId="0" fontId="55" fillId="3" borderId="72" xfId="0" applyFont="1" applyFill="1" applyBorder="1" applyAlignment="1">
      <alignment horizontal="left" vertical="center" wrapText="1"/>
    </xf>
    <xf numFmtId="0" fontId="55" fillId="3" borderId="73" xfId="0" applyFont="1" applyFill="1" applyBorder="1" applyAlignment="1">
      <alignment horizontal="left" vertical="center" wrapText="1"/>
    </xf>
    <xf numFmtId="0" fontId="55" fillId="3" borderId="74" xfId="0" applyFont="1" applyFill="1" applyBorder="1" applyAlignment="1">
      <alignment horizontal="left" vertical="center" wrapText="1"/>
    </xf>
    <xf numFmtId="0" fontId="56" fillId="3" borderId="66" xfId="0" applyFont="1" applyFill="1" applyBorder="1" applyAlignment="1">
      <alignment horizontal="justify" vertical="center" wrapText="1"/>
    </xf>
    <xf numFmtId="0" fontId="56" fillId="3" borderId="67" xfId="0" applyFont="1" applyFill="1" applyBorder="1" applyAlignment="1">
      <alignment horizontal="justify" vertical="center" wrapText="1"/>
    </xf>
    <xf numFmtId="0" fontId="51" fillId="27" borderId="48" xfId="2" applyFont="1" applyFill="1" applyBorder="1" applyAlignment="1">
      <alignment horizontal="center" vertical="center" wrapText="1"/>
    </xf>
    <xf numFmtId="0" fontId="51" fillId="27" borderId="49" xfId="2" applyFont="1" applyFill="1" applyBorder="1" applyAlignment="1">
      <alignment horizontal="center" vertical="center" wrapText="1"/>
    </xf>
    <xf numFmtId="0" fontId="51" fillId="27" borderId="50" xfId="2" applyFont="1" applyFill="1" applyBorder="1" applyAlignment="1">
      <alignment horizontal="center" vertical="center" wrapText="1"/>
    </xf>
    <xf numFmtId="0" fontId="50" fillId="0" borderId="14" xfId="2" quotePrefix="1" applyFont="1" applyBorder="1" applyAlignment="1">
      <alignment horizontal="left" vertical="center" wrapText="1"/>
    </xf>
    <xf numFmtId="0" fontId="50" fillId="0" borderId="0" xfId="2" quotePrefix="1" applyFont="1" applyAlignment="1">
      <alignment horizontal="left" vertical="center" wrapText="1"/>
    </xf>
    <xf numFmtId="0" fontId="50" fillId="0" borderId="15" xfId="2" quotePrefix="1" applyFont="1" applyBorder="1" applyAlignment="1">
      <alignment horizontal="left" vertical="center" wrapText="1"/>
    </xf>
    <xf numFmtId="0" fontId="50" fillId="0" borderId="68" xfId="2" quotePrefix="1" applyFont="1" applyBorder="1" applyAlignment="1">
      <alignment horizontal="left" vertical="center" wrapText="1"/>
    </xf>
    <xf numFmtId="0" fontId="50" fillId="0" borderId="69" xfId="2" quotePrefix="1" applyFont="1" applyBorder="1" applyAlignment="1">
      <alignment horizontal="left" vertical="center" wrapText="1"/>
    </xf>
    <xf numFmtId="0" fontId="50" fillId="0" borderId="70" xfId="2" quotePrefix="1" applyFont="1" applyBorder="1" applyAlignment="1">
      <alignment horizontal="left" vertical="center" wrapText="1"/>
    </xf>
    <xf numFmtId="0" fontId="52" fillId="3" borderId="51" xfId="2" quotePrefix="1" applyFont="1" applyFill="1" applyBorder="1" applyAlignment="1">
      <alignment horizontal="left" vertical="top" wrapText="1"/>
    </xf>
    <xf numFmtId="0" fontId="53" fillId="3" borderId="52" xfId="2" quotePrefix="1" applyFont="1" applyFill="1" applyBorder="1" applyAlignment="1">
      <alignment horizontal="left" vertical="top" wrapText="1"/>
    </xf>
    <xf numFmtId="0" fontId="53" fillId="3" borderId="53" xfId="2" quotePrefix="1" applyFont="1" applyFill="1" applyBorder="1" applyAlignment="1">
      <alignment horizontal="left" vertical="top" wrapText="1"/>
    </xf>
    <xf numFmtId="0" fontId="50" fillId="0" borderId="14" xfId="2" quotePrefix="1" applyFont="1" applyBorder="1" applyAlignment="1">
      <alignment horizontal="left" vertical="top" wrapText="1"/>
    </xf>
    <xf numFmtId="0" fontId="50" fillId="0" borderId="0" xfId="2" quotePrefix="1" applyFont="1" applyAlignment="1">
      <alignment horizontal="left" vertical="top" wrapText="1"/>
    </xf>
    <xf numFmtId="0" fontId="50" fillId="0" borderId="15" xfId="2" quotePrefix="1" applyFont="1" applyBorder="1" applyAlignment="1">
      <alignment horizontal="left" vertical="top" wrapText="1"/>
    </xf>
    <xf numFmtId="0" fontId="55" fillId="27" borderId="54" xfId="3" applyFont="1" applyFill="1" applyBorder="1" applyAlignment="1">
      <alignment horizontal="center" vertical="center" wrapText="1"/>
    </xf>
    <xf numFmtId="0" fontId="55" fillId="27" borderId="55" xfId="3" applyFont="1" applyFill="1" applyBorder="1" applyAlignment="1">
      <alignment horizontal="center" vertical="center" wrapText="1"/>
    </xf>
    <xf numFmtId="0" fontId="55" fillId="27" borderId="56" xfId="2" applyFont="1" applyFill="1" applyBorder="1" applyAlignment="1">
      <alignment horizontal="center" vertical="center"/>
    </xf>
    <xf numFmtId="0" fontId="55" fillId="27" borderId="57" xfId="2" applyFont="1" applyFill="1" applyBorder="1" applyAlignment="1">
      <alignment horizontal="center" vertical="center"/>
    </xf>
    <xf numFmtId="0" fontId="2" fillId="3" borderId="68" xfId="2" quotePrefix="1" applyFont="1" applyFill="1" applyBorder="1" applyAlignment="1">
      <alignment horizontal="justify" vertical="center" wrapText="1"/>
    </xf>
    <xf numFmtId="0" fontId="2" fillId="3" borderId="69" xfId="2" quotePrefix="1" applyFont="1" applyFill="1" applyBorder="1" applyAlignment="1">
      <alignment horizontal="justify" vertical="center" wrapText="1"/>
    </xf>
    <xf numFmtId="0" fontId="2" fillId="3" borderId="70" xfId="2" quotePrefix="1" applyFont="1" applyFill="1" applyBorder="1" applyAlignment="1">
      <alignment horizontal="justify" vertical="center" wrapText="1"/>
    </xf>
    <xf numFmtId="0" fontId="78" fillId="27" borderId="33" xfId="0" applyFont="1" applyFill="1" applyBorder="1" applyAlignment="1">
      <alignment horizontal="center" vertical="center"/>
    </xf>
    <xf numFmtId="0" fontId="78" fillId="27" borderId="33" xfId="0" applyFont="1" applyFill="1" applyBorder="1" applyAlignment="1">
      <alignment horizontal="center" vertical="center" wrapText="1"/>
    </xf>
    <xf numFmtId="0" fontId="78" fillId="24" borderId="33" xfId="0" applyFont="1" applyFill="1" applyBorder="1" applyAlignment="1">
      <alignment horizontal="center" vertical="center" wrapText="1"/>
    </xf>
    <xf numFmtId="0" fontId="75" fillId="27" borderId="89" xfId="0" applyFont="1" applyFill="1" applyBorder="1" applyAlignment="1">
      <alignment horizontal="center" vertical="center"/>
    </xf>
    <xf numFmtId="0" fontId="75" fillId="27" borderId="90" xfId="0" applyFont="1" applyFill="1" applyBorder="1" applyAlignment="1">
      <alignment horizontal="center" vertical="center"/>
    </xf>
    <xf numFmtId="0" fontId="75" fillId="27" borderId="91" xfId="0" applyFont="1" applyFill="1" applyBorder="1" applyAlignment="1">
      <alignment horizontal="center" vertical="center"/>
    </xf>
    <xf numFmtId="0" fontId="75" fillId="27" borderId="92" xfId="0" applyFont="1" applyFill="1" applyBorder="1" applyAlignment="1">
      <alignment horizontal="center" vertical="center"/>
    </xf>
    <xf numFmtId="0" fontId="75" fillId="27" borderId="81" xfId="0" applyFont="1" applyFill="1" applyBorder="1" applyAlignment="1">
      <alignment horizontal="center" vertical="center"/>
    </xf>
    <xf numFmtId="0" fontId="75" fillId="27" borderId="40" xfId="0" applyFont="1" applyFill="1" applyBorder="1" applyAlignment="1">
      <alignment horizontal="center" vertical="center"/>
    </xf>
    <xf numFmtId="0" fontId="75" fillId="27" borderId="41" xfId="0" applyFont="1" applyFill="1" applyBorder="1" applyAlignment="1">
      <alignment horizontal="center" vertical="center"/>
    </xf>
    <xf numFmtId="0" fontId="76" fillId="27" borderId="33" xfId="0" applyFont="1" applyFill="1" applyBorder="1" applyAlignment="1">
      <alignment horizontal="left" vertical="center"/>
    </xf>
    <xf numFmtId="0" fontId="77" fillId="22" borderId="33" xfId="0" applyFont="1" applyFill="1" applyBorder="1" applyAlignment="1" applyProtection="1">
      <alignment horizontal="left" vertical="center"/>
      <protection locked="0"/>
    </xf>
    <xf numFmtId="0" fontId="74" fillId="3" borderId="0" xfId="0" applyFont="1" applyFill="1" applyAlignment="1">
      <alignment horizontal="left" vertical="center"/>
    </xf>
    <xf numFmtId="0" fontId="78" fillId="27" borderId="81" xfId="0" applyFont="1" applyFill="1" applyBorder="1" applyAlignment="1">
      <alignment horizontal="center" vertical="center" wrapText="1"/>
    </xf>
    <xf numFmtId="0" fontId="78" fillId="27" borderId="34" xfId="0" applyFont="1" applyFill="1" applyBorder="1" applyAlignment="1">
      <alignment horizontal="center" vertical="center" wrapText="1"/>
    </xf>
    <xf numFmtId="0" fontId="78" fillId="13" borderId="33" xfId="0" applyFont="1" applyFill="1" applyBorder="1" applyAlignment="1">
      <alignment horizontal="center" vertical="center" wrapText="1"/>
    </xf>
    <xf numFmtId="0" fontId="78" fillId="24" borderId="81" xfId="0" applyFont="1" applyFill="1" applyBorder="1" applyAlignment="1">
      <alignment horizontal="center" vertical="center" wrapText="1"/>
    </xf>
    <xf numFmtId="0" fontId="78" fillId="24" borderId="34" xfId="0" applyFont="1" applyFill="1" applyBorder="1" applyAlignment="1">
      <alignment horizontal="center" vertical="center" wrapText="1"/>
    </xf>
    <xf numFmtId="0" fontId="78" fillId="27" borderId="33" xfId="0" applyFont="1" applyFill="1" applyBorder="1" applyAlignment="1">
      <alignment horizontal="center" vertical="center" textRotation="90" wrapText="1"/>
    </xf>
    <xf numFmtId="0" fontId="78" fillId="0" borderId="33" xfId="0" applyFont="1" applyBorder="1" applyAlignment="1" applyProtection="1">
      <alignment horizontal="center" vertical="top"/>
      <protection hidden="1"/>
    </xf>
    <xf numFmtId="9" fontId="74" fillId="0" borderId="33" xfId="0" applyNumberFormat="1" applyFont="1" applyBorder="1" applyAlignment="1" applyProtection="1">
      <alignment horizontal="center" vertical="top" wrapText="1"/>
      <protection hidden="1"/>
    </xf>
    <xf numFmtId="0" fontId="74" fillId="0" borderId="33" xfId="0" applyFont="1" applyBorder="1" applyAlignment="1">
      <alignment horizontal="center" vertical="top"/>
    </xf>
    <xf numFmtId="0" fontId="74" fillId="0" borderId="33" xfId="0" applyFont="1" applyBorder="1" applyAlignment="1" applyProtection="1">
      <alignment horizontal="center" vertical="top" wrapText="1"/>
      <protection locked="0"/>
    </xf>
    <xf numFmtId="0" fontId="79" fillId="0" borderId="33" xfId="0" applyFont="1" applyBorder="1" applyAlignment="1" applyProtection="1">
      <alignment horizontal="center" vertical="top" wrapText="1"/>
      <protection locked="0"/>
    </xf>
    <xf numFmtId="0" fontId="74" fillId="0" borderId="33" xfId="0" applyFont="1" applyBorder="1" applyAlignment="1" applyProtection="1">
      <alignment horizontal="center" vertical="top"/>
      <protection locked="0"/>
    </xf>
    <xf numFmtId="0" fontId="78" fillId="0" borderId="33" xfId="0" applyFont="1" applyBorder="1" applyAlignment="1" applyProtection="1">
      <alignment horizontal="center" vertical="top" wrapText="1"/>
      <protection hidden="1"/>
    </xf>
    <xf numFmtId="0" fontId="74" fillId="0" borderId="81" xfId="0" applyFont="1" applyBorder="1" applyAlignment="1" applyProtection="1">
      <alignment horizontal="center" vertical="top"/>
      <protection locked="0"/>
    </xf>
    <xf numFmtId="0" fontId="74" fillId="0" borderId="34" xfId="0" applyFont="1" applyBorder="1" applyAlignment="1" applyProtection="1">
      <alignment horizontal="center" vertical="top"/>
      <protection locked="0"/>
    </xf>
    <xf numFmtId="0" fontId="0" fillId="0" borderId="33" xfId="0" applyBorder="1" applyAlignment="1" applyProtection="1">
      <alignment horizontal="center"/>
      <protection locked="0"/>
    </xf>
    <xf numFmtId="0" fontId="78" fillId="27" borderId="75" xfId="0" applyFont="1" applyFill="1" applyBorder="1" applyAlignment="1">
      <alignment horizontal="center" vertical="center" wrapText="1"/>
    </xf>
    <xf numFmtId="0" fontId="78" fillId="27" borderId="83" xfId="0" applyFont="1" applyFill="1" applyBorder="1" applyAlignment="1">
      <alignment horizontal="center" vertical="center" wrapText="1"/>
    </xf>
    <xf numFmtId="0" fontId="78" fillId="27" borderId="84" xfId="0" applyFont="1" applyFill="1" applyBorder="1" applyAlignment="1">
      <alignment horizontal="center" vertical="center" wrapText="1"/>
    </xf>
    <xf numFmtId="0" fontId="1" fillId="0" borderId="0" xfId="0" applyFont="1" applyAlignment="1">
      <alignment horizontal="center"/>
    </xf>
    <xf numFmtId="0" fontId="76" fillId="24" borderId="89" xfId="0" applyFont="1" applyFill="1" applyBorder="1" applyAlignment="1">
      <alignment horizontal="center" vertical="center"/>
    </xf>
    <xf numFmtId="0" fontId="76" fillId="24" borderId="90" xfId="0" applyFont="1" applyFill="1" applyBorder="1" applyAlignment="1">
      <alignment horizontal="center" vertical="center"/>
    </xf>
    <xf numFmtId="0" fontId="76" fillId="0" borderId="0" xfId="0" applyFont="1" applyAlignment="1">
      <alignment horizontal="center" vertical="center"/>
    </xf>
    <xf numFmtId="0" fontId="76" fillId="0" borderId="78" xfId="0" applyFont="1" applyBorder="1" applyAlignment="1">
      <alignment horizontal="center" vertical="center"/>
    </xf>
    <xf numFmtId="0" fontId="61" fillId="0" borderId="0" xfId="0" applyFont="1" applyAlignment="1" applyProtection="1">
      <alignment horizontal="center" vertical="center" wrapText="1"/>
      <protection locked="0"/>
    </xf>
    <xf numFmtId="0" fontId="61" fillId="0" borderId="33" xfId="0" applyFont="1" applyBorder="1" applyAlignment="1" applyProtection="1">
      <alignment horizontal="center" vertical="center"/>
      <protection locked="0"/>
    </xf>
    <xf numFmtId="0" fontId="1" fillId="0" borderId="33" xfId="0" applyFont="1" applyBorder="1" applyAlignment="1">
      <alignment horizontal="center"/>
    </xf>
    <xf numFmtId="0" fontId="78" fillId="0" borderId="33" xfId="0" applyFont="1" applyBorder="1" applyAlignment="1">
      <alignment horizontal="center" vertical="center"/>
    </xf>
    <xf numFmtId="0" fontId="1" fillId="0" borderId="75" xfId="0" applyFont="1" applyBorder="1" applyAlignment="1">
      <alignment horizontal="center"/>
    </xf>
    <xf numFmtId="0" fontId="1" fillId="0" borderId="84" xfId="0" applyFont="1" applyBorder="1" applyAlignment="1">
      <alignment horizontal="center"/>
    </xf>
    <xf numFmtId="0" fontId="61" fillId="0" borderId="75" xfId="0" applyFont="1" applyBorder="1" applyAlignment="1" applyProtection="1">
      <alignment horizontal="center" vertical="center"/>
      <protection locked="0"/>
    </xf>
    <xf numFmtId="0" fontId="61" fillId="0" borderId="84" xfId="0" applyFont="1" applyBorder="1" applyAlignment="1" applyProtection="1">
      <alignment horizontal="center" vertical="center"/>
      <protection locked="0"/>
    </xf>
    <xf numFmtId="0" fontId="78" fillId="0" borderId="75" xfId="0" applyFont="1" applyBorder="1" applyAlignment="1">
      <alignment horizontal="center" vertical="center"/>
    </xf>
    <xf numFmtId="0" fontId="78" fillId="0" borderId="84" xfId="0" applyFont="1" applyBorder="1" applyAlignment="1">
      <alignment horizontal="center" vertical="center"/>
    </xf>
    <xf numFmtId="0" fontId="8" fillId="3" borderId="6"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protection locked="0"/>
    </xf>
    <xf numFmtId="0" fontId="8" fillId="3" borderId="7" xfId="0" applyFont="1" applyFill="1" applyBorder="1" applyAlignment="1" applyProtection="1">
      <alignment horizontal="left" vertical="center"/>
      <protection locked="0"/>
    </xf>
    <xf numFmtId="0" fontId="1" fillId="3" borderId="0" xfId="0" applyFont="1" applyFill="1" applyAlignment="1">
      <alignment horizontal="left" vertical="center"/>
    </xf>
    <xf numFmtId="0" fontId="26" fillId="2" borderId="28"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30" xfId="0" applyFont="1" applyFill="1" applyBorder="1" applyAlignment="1">
      <alignment horizontal="center" vertical="center"/>
    </xf>
    <xf numFmtId="0" fontId="26" fillId="2" borderId="3" xfId="0" applyFont="1" applyFill="1" applyBorder="1" applyAlignment="1">
      <alignment horizontal="center" vertical="center"/>
    </xf>
    <xf numFmtId="0" fontId="26" fillId="2" borderId="31" xfId="0" applyFont="1" applyFill="1" applyBorder="1" applyAlignment="1">
      <alignment horizontal="center" vertical="center"/>
    </xf>
    <xf numFmtId="0" fontId="26"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7" xfId="0" applyFont="1" applyFill="1" applyBorder="1" applyAlignment="1">
      <alignment horizontal="center" vertical="center"/>
    </xf>
    <xf numFmtId="0" fontId="1" fillId="0" borderId="6" xfId="0" applyFont="1" applyBorder="1" applyAlignment="1">
      <alignment horizontal="left" vertical="center" wrapText="1"/>
    </xf>
    <xf numFmtId="0" fontId="1" fillId="0" borderId="10" xfId="0" applyFont="1" applyBorder="1" applyAlignment="1">
      <alignment horizontal="left" vertical="center" wrapText="1"/>
    </xf>
    <xf numFmtId="0" fontId="1" fillId="0" borderId="7" xfId="0" applyFont="1" applyBorder="1" applyAlignment="1">
      <alignment horizontal="left" vertical="center" wrapText="1"/>
    </xf>
    <xf numFmtId="9" fontId="1" fillId="0" borderId="4" xfId="0" applyNumberFormat="1" applyFont="1" applyBorder="1" applyAlignment="1" applyProtection="1">
      <alignment horizontal="center" vertical="top" wrapText="1"/>
      <protection hidden="1"/>
    </xf>
    <xf numFmtId="9" fontId="1" fillId="0" borderId="8" xfId="0" applyNumberFormat="1" applyFont="1" applyBorder="1" applyAlignment="1" applyProtection="1">
      <alignment horizontal="center" vertical="top" wrapText="1"/>
      <protection hidden="1"/>
    </xf>
    <xf numFmtId="9" fontId="1" fillId="0" borderId="5" xfId="0" applyNumberFormat="1" applyFont="1" applyBorder="1" applyAlignment="1" applyProtection="1">
      <alignment horizontal="center" vertical="top" wrapText="1"/>
      <protection hidden="1"/>
    </xf>
    <xf numFmtId="0" fontId="4" fillId="0" borderId="4" xfId="0" applyFont="1" applyBorder="1" applyAlignment="1" applyProtection="1">
      <alignment horizontal="center" vertical="top"/>
      <protection hidden="1"/>
    </xf>
    <xf numFmtId="0" fontId="4" fillId="0" borderId="8" xfId="0" applyFont="1" applyBorder="1" applyAlignment="1" applyProtection="1">
      <alignment horizontal="center" vertical="top"/>
      <protection hidden="1"/>
    </xf>
    <xf numFmtId="0" fontId="4" fillId="0" borderId="5" xfId="0" applyFont="1" applyBorder="1" applyAlignment="1" applyProtection="1">
      <alignment horizontal="center" vertical="top"/>
      <protection hidden="1"/>
    </xf>
    <xf numFmtId="0" fontId="1" fillId="0" borderId="4" xfId="0" applyFont="1" applyBorder="1" applyAlignment="1">
      <alignment horizontal="center" vertical="top"/>
    </xf>
    <xf numFmtId="0" fontId="1" fillId="0" borderId="8" xfId="0" applyFont="1" applyBorder="1" applyAlignment="1">
      <alignment horizontal="center" vertical="top"/>
    </xf>
    <xf numFmtId="0" fontId="1" fillId="0" borderId="5" xfId="0" applyFont="1" applyBorder="1" applyAlignment="1">
      <alignment horizontal="center" vertical="top"/>
    </xf>
    <xf numFmtId="0" fontId="1" fillId="0" borderId="4" xfId="0" applyFont="1" applyBorder="1" applyAlignment="1" applyProtection="1">
      <alignment horizontal="center" vertical="top" wrapText="1"/>
      <protection locked="0"/>
    </xf>
    <xf numFmtId="0" fontId="1" fillId="0" borderId="8" xfId="0" applyFont="1" applyBorder="1" applyAlignment="1" applyProtection="1">
      <alignment horizontal="center" vertical="top" wrapText="1"/>
      <protection locked="0"/>
    </xf>
    <xf numFmtId="0" fontId="1" fillId="0" borderId="5" xfId="0" applyFont="1" applyBorder="1" applyAlignment="1" applyProtection="1">
      <alignment horizontal="center" vertical="top" wrapText="1"/>
      <protection locked="0"/>
    </xf>
    <xf numFmtId="0" fontId="2" fillId="0" borderId="4" xfId="0" applyFont="1" applyBorder="1" applyAlignment="1" applyProtection="1">
      <alignment horizontal="center" vertical="top" wrapText="1"/>
      <protection locked="0"/>
    </xf>
    <xf numFmtId="0" fontId="2" fillId="0" borderId="8" xfId="0" applyFont="1" applyBorder="1" applyAlignment="1" applyProtection="1">
      <alignment horizontal="center" vertical="top" wrapText="1"/>
      <protection locked="0"/>
    </xf>
    <xf numFmtId="0" fontId="2" fillId="0" borderId="5" xfId="0" applyFont="1" applyBorder="1" applyAlignment="1" applyProtection="1">
      <alignment horizontal="center" vertical="top" wrapText="1"/>
      <protection locked="0"/>
    </xf>
    <xf numFmtId="0" fontId="1" fillId="0" borderId="4" xfId="0" applyFont="1" applyBorder="1" applyAlignment="1" applyProtection="1">
      <alignment horizontal="center" vertical="top"/>
      <protection locked="0"/>
    </xf>
    <xf numFmtId="0" fontId="1" fillId="0" borderId="8" xfId="0" applyFont="1" applyBorder="1" applyAlignment="1" applyProtection="1">
      <alignment horizontal="center" vertical="top"/>
      <protection locked="0"/>
    </xf>
    <xf numFmtId="0" fontId="1" fillId="0" borderId="5" xfId="0" applyFont="1" applyBorder="1" applyAlignment="1" applyProtection="1">
      <alignment horizontal="center" vertical="top"/>
      <protection locked="0"/>
    </xf>
    <xf numFmtId="0" fontId="4" fillId="0" borderId="4" xfId="0" applyFont="1" applyBorder="1" applyAlignment="1" applyProtection="1">
      <alignment horizontal="center" vertical="top" wrapText="1"/>
      <protection hidden="1"/>
    </xf>
    <xf numFmtId="0" fontId="4" fillId="0" borderId="8" xfId="0" applyFont="1" applyBorder="1" applyAlignment="1" applyProtection="1">
      <alignment horizontal="center" vertical="top" wrapText="1"/>
      <protection hidden="1"/>
    </xf>
    <xf numFmtId="0" fontId="4" fillId="0" borderId="5" xfId="0" applyFont="1" applyBorder="1" applyAlignment="1" applyProtection="1">
      <alignment horizontal="center" vertical="top" wrapText="1"/>
      <protection hidden="1"/>
    </xf>
    <xf numFmtId="9" fontId="1" fillId="0" borderId="4" xfId="0" applyNumberFormat="1" applyFont="1" applyBorder="1" applyAlignment="1" applyProtection="1">
      <alignment horizontal="center" vertical="top" wrapText="1"/>
      <protection locked="0"/>
    </xf>
    <xf numFmtId="9" fontId="1" fillId="0" borderId="8" xfId="0" applyNumberFormat="1" applyFont="1" applyBorder="1" applyAlignment="1" applyProtection="1">
      <alignment horizontal="center" vertical="top" wrapText="1"/>
      <protection locked="0"/>
    </xf>
    <xf numFmtId="9" fontId="1" fillId="0" borderId="5" xfId="0" applyNumberFormat="1" applyFont="1" applyBorder="1" applyAlignment="1" applyProtection="1">
      <alignment horizontal="center" vertical="top" wrapText="1"/>
      <protection locked="0"/>
    </xf>
    <xf numFmtId="0" fontId="4" fillId="2" borderId="2" xfId="0" applyFont="1" applyFill="1" applyBorder="1" applyAlignment="1">
      <alignment horizontal="center" vertical="center" wrapText="1"/>
    </xf>
    <xf numFmtId="0" fontId="25" fillId="2" borderId="6" xfId="0" applyFont="1" applyFill="1" applyBorder="1" applyAlignment="1">
      <alignment horizontal="left" vertical="center"/>
    </xf>
    <xf numFmtId="0" fontId="25" fillId="2" borderId="7" xfId="0" applyFont="1" applyFill="1" applyBorder="1" applyAlignment="1">
      <alignment horizontal="left" vertical="center"/>
    </xf>
    <xf numFmtId="0" fontId="27" fillId="2" borderId="4" xfId="0" applyFont="1" applyFill="1" applyBorder="1" applyAlignment="1">
      <alignment horizontal="center" vertical="center" textRotation="90"/>
    </xf>
    <xf numFmtId="0" fontId="27" fillId="2" borderId="5" xfId="0" applyFont="1" applyFill="1" applyBorder="1" applyAlignment="1">
      <alignment horizontal="center" vertical="center" textRotation="90"/>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textRotation="90" wrapText="1"/>
    </xf>
    <xf numFmtId="0" fontId="4" fillId="2" borderId="5" xfId="0" applyFont="1" applyFill="1" applyBorder="1" applyAlignment="1">
      <alignment horizontal="center" vertical="center" textRotation="90" wrapText="1"/>
    </xf>
    <xf numFmtId="0" fontId="8" fillId="3" borderId="6" xfId="0" applyFont="1" applyFill="1" applyBorder="1" applyAlignment="1" applyProtection="1">
      <alignment horizontal="left" vertical="center" wrapText="1"/>
      <protection locked="0"/>
    </xf>
    <xf numFmtId="0" fontId="8" fillId="3" borderId="10" xfId="0" applyFont="1" applyFill="1" applyBorder="1" applyAlignment="1" applyProtection="1">
      <alignment horizontal="left" vertical="center" wrapText="1"/>
      <protection locked="0"/>
    </xf>
    <xf numFmtId="0" fontId="8" fillId="3" borderId="7" xfId="0" applyFont="1" applyFill="1" applyBorder="1" applyAlignment="1" applyProtection="1">
      <alignment horizontal="left" vertical="center" wrapText="1"/>
      <protection locked="0"/>
    </xf>
    <xf numFmtId="0" fontId="4" fillId="2" borderId="2" xfId="0" applyFont="1" applyFill="1" applyBorder="1" applyAlignment="1">
      <alignment horizontal="center" vertical="center" textRotation="90"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9" xfId="0" applyFont="1" applyFill="1" applyBorder="1" applyAlignment="1">
      <alignment horizontal="center" vertical="center" wrapText="1"/>
    </xf>
    <xf numFmtId="0" fontId="78" fillId="0" borderId="81" xfId="0" applyFont="1" applyBorder="1" applyAlignment="1" applyProtection="1">
      <alignment horizontal="center" vertical="top"/>
      <protection hidden="1"/>
    </xf>
    <xf numFmtId="0" fontId="78" fillId="0" borderId="85" xfId="0" applyFont="1" applyBorder="1" applyAlignment="1" applyProtection="1">
      <alignment horizontal="center" vertical="top"/>
      <protection hidden="1"/>
    </xf>
    <xf numFmtId="0" fontId="78" fillId="0" borderId="34" xfId="0" applyFont="1" applyBorder="1" applyAlignment="1" applyProtection="1">
      <alignment horizontal="center" vertical="top"/>
      <protection hidden="1"/>
    </xf>
    <xf numFmtId="9" fontId="74" fillId="0" borderId="81" xfId="0" applyNumberFormat="1" applyFont="1" applyBorder="1" applyAlignment="1" applyProtection="1">
      <alignment horizontal="center" vertical="top" wrapText="1"/>
      <protection hidden="1"/>
    </xf>
    <xf numFmtId="9" fontId="74" fillId="0" borderId="85" xfId="0" applyNumberFormat="1" applyFont="1" applyBorder="1" applyAlignment="1" applyProtection="1">
      <alignment horizontal="center" vertical="top" wrapText="1"/>
      <protection hidden="1"/>
    </xf>
    <xf numFmtId="9" fontId="74" fillId="0" borderId="34" xfId="0" applyNumberFormat="1" applyFont="1" applyBorder="1" applyAlignment="1" applyProtection="1">
      <alignment horizontal="center" vertical="top" wrapText="1"/>
      <protection hidden="1"/>
    </xf>
    <xf numFmtId="0" fontId="78" fillId="0" borderId="81" xfId="0" applyFont="1" applyBorder="1" applyAlignment="1" applyProtection="1">
      <alignment horizontal="center" vertical="top" wrapText="1"/>
      <protection hidden="1"/>
    </xf>
    <xf numFmtId="0" fontId="78" fillId="0" borderId="85" xfId="0" applyFont="1" applyBorder="1" applyAlignment="1" applyProtection="1">
      <alignment horizontal="center" vertical="top" wrapText="1"/>
      <protection hidden="1"/>
    </xf>
    <xf numFmtId="0" fontId="78" fillId="0" borderId="34" xfId="0" applyFont="1" applyBorder="1" applyAlignment="1" applyProtection="1">
      <alignment horizontal="center" vertical="top" wrapText="1"/>
      <protection hidden="1"/>
    </xf>
    <xf numFmtId="9" fontId="85" fillId="0" borderId="81" xfId="0" applyNumberFormat="1" applyFont="1" applyBorder="1" applyAlignment="1" applyProtection="1">
      <alignment horizontal="center" vertical="top" wrapText="1"/>
      <protection locked="0"/>
    </xf>
    <xf numFmtId="0" fontId="85" fillId="0" borderId="85" xfId="0" applyFont="1" applyBorder="1" applyAlignment="1" applyProtection="1">
      <alignment horizontal="center" vertical="top" wrapText="1"/>
      <protection locked="0"/>
    </xf>
    <xf numFmtId="0" fontId="85" fillId="0" borderId="34" xfId="0" applyFont="1" applyBorder="1" applyAlignment="1" applyProtection="1">
      <alignment horizontal="center" vertical="top" wrapText="1"/>
      <protection locked="0"/>
    </xf>
    <xf numFmtId="14" fontId="74" fillId="0" borderId="81" xfId="0" applyNumberFormat="1" applyFont="1" applyBorder="1" applyAlignment="1" applyProtection="1">
      <alignment horizontal="center" vertical="top" wrapText="1"/>
      <protection locked="0"/>
    </xf>
    <xf numFmtId="14" fontId="74" fillId="0" borderId="85" xfId="0" applyNumberFormat="1" applyFont="1" applyBorder="1" applyAlignment="1" applyProtection="1">
      <alignment horizontal="center" vertical="top" wrapText="1"/>
      <protection locked="0"/>
    </xf>
    <xf numFmtId="14" fontId="74" fillId="0" borderId="34" xfId="0" applyNumberFormat="1" applyFont="1" applyBorder="1" applyAlignment="1" applyProtection="1">
      <alignment horizontal="center" vertical="top" wrapText="1"/>
      <protection locked="0"/>
    </xf>
    <xf numFmtId="0" fontId="74" fillId="0" borderId="81" xfId="0" applyFont="1" applyBorder="1" applyAlignment="1">
      <alignment horizontal="center" vertical="center"/>
    </xf>
    <xf numFmtId="0" fontId="74" fillId="0" borderId="85" xfId="0" applyFont="1" applyBorder="1" applyAlignment="1">
      <alignment horizontal="center" vertical="center"/>
    </xf>
    <xf numFmtId="0" fontId="74" fillId="0" borderId="34" xfId="0" applyFont="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85" xfId="0" applyFont="1" applyBorder="1" applyAlignment="1" applyProtection="1">
      <alignment horizontal="center" vertical="center" wrapText="1"/>
      <protection locked="0"/>
    </xf>
    <xf numFmtId="0" fontId="79" fillId="0" borderId="81" xfId="0" applyFont="1" applyBorder="1" applyAlignment="1" applyProtection="1">
      <alignment horizontal="center" vertical="center" wrapText="1"/>
      <protection locked="0"/>
    </xf>
    <xf numFmtId="0" fontId="79" fillId="0" borderId="85" xfId="0" applyFont="1" applyBorder="1" applyAlignment="1" applyProtection="1">
      <alignment horizontal="center" vertical="center" wrapText="1"/>
      <protection locked="0"/>
    </xf>
    <xf numFmtId="0" fontId="87" fillId="0" borderId="81" xfId="0" applyFont="1" applyBorder="1" applyAlignment="1" applyProtection="1">
      <alignment horizontal="center" vertical="center" wrapText="1"/>
      <protection locked="0"/>
    </xf>
    <xf numFmtId="0" fontId="87" fillId="0" borderId="85" xfId="0" applyFont="1" applyBorder="1" applyAlignment="1" applyProtection="1">
      <alignment horizontal="center" vertical="center" wrapText="1"/>
      <protection locked="0"/>
    </xf>
    <xf numFmtId="0" fontId="74" fillId="0" borderId="34" xfId="0" applyFont="1" applyBorder="1" applyAlignment="1" applyProtection="1">
      <alignment horizontal="center" vertical="center" wrapText="1"/>
      <protection locked="0"/>
    </xf>
    <xf numFmtId="0" fontId="79" fillId="0" borderId="81" xfId="0" applyFont="1" applyBorder="1" applyAlignment="1" applyProtection="1">
      <alignment horizontal="center" vertical="top"/>
      <protection locked="0"/>
    </xf>
    <xf numFmtId="0" fontId="79" fillId="0" borderId="85" xfId="0" applyFont="1" applyBorder="1" applyAlignment="1" applyProtection="1">
      <alignment horizontal="center" vertical="top"/>
      <protection locked="0"/>
    </xf>
    <xf numFmtId="0" fontId="79" fillId="0" borderId="34" xfId="0" applyFont="1" applyBorder="1" applyAlignment="1" applyProtection="1">
      <alignment horizontal="center" vertical="top"/>
      <protection locked="0"/>
    </xf>
    <xf numFmtId="0" fontId="79" fillId="0" borderId="81" xfId="0" applyFont="1" applyBorder="1" applyAlignment="1" applyProtection="1">
      <alignment horizontal="center" vertical="top" wrapText="1"/>
      <protection locked="0"/>
    </xf>
    <xf numFmtId="0" fontId="79" fillId="0" borderId="85" xfId="0" applyFont="1" applyBorder="1" applyAlignment="1" applyProtection="1">
      <alignment horizontal="center" vertical="top" wrapText="1"/>
      <protection locked="0"/>
    </xf>
    <xf numFmtId="0" fontId="79" fillId="0" borderId="34" xfId="0" applyFont="1" applyBorder="1" applyAlignment="1" applyProtection="1">
      <alignment horizontal="center" vertical="top" wrapText="1"/>
      <protection locked="0"/>
    </xf>
    <xf numFmtId="0" fontId="78" fillId="24" borderId="33" xfId="0" applyFont="1" applyFill="1" applyBorder="1" applyAlignment="1">
      <alignment horizontal="center" vertical="center"/>
    </xf>
    <xf numFmtId="0" fontId="74" fillId="0" borderId="81" xfId="0" applyFont="1" applyBorder="1" applyAlignment="1">
      <alignment horizontal="center" vertical="top"/>
    </xf>
    <xf numFmtId="0" fontId="74" fillId="0" borderId="85" xfId="0" applyFont="1" applyBorder="1" applyAlignment="1">
      <alignment horizontal="center" vertical="top"/>
    </xf>
    <xf numFmtId="0" fontId="74" fillId="0" borderId="34" xfId="0" applyFont="1" applyBorder="1" applyAlignment="1">
      <alignment horizontal="center" vertical="top"/>
    </xf>
    <xf numFmtId="0" fontId="75" fillId="27" borderId="39" xfId="0" applyFont="1" applyFill="1" applyBorder="1" applyAlignment="1">
      <alignment horizontal="center" vertical="center"/>
    </xf>
    <xf numFmtId="0" fontId="76" fillId="27" borderId="81" xfId="0" applyFont="1" applyFill="1" applyBorder="1" applyAlignment="1">
      <alignment horizontal="left" vertical="center"/>
    </xf>
    <xf numFmtId="0" fontId="77" fillId="22" borderId="81" xfId="0" applyFont="1" applyFill="1" applyBorder="1" applyAlignment="1" applyProtection="1">
      <alignment horizontal="left" vertical="center" wrapText="1"/>
      <protection locked="0"/>
    </xf>
    <xf numFmtId="0" fontId="78" fillId="0" borderId="33" xfId="0" applyFont="1" applyBorder="1" applyAlignment="1">
      <alignment horizontal="center" vertical="center" wrapText="1"/>
    </xf>
    <xf numFmtId="0" fontId="73" fillId="27" borderId="33" xfId="0" applyFont="1" applyFill="1" applyBorder="1" applyAlignment="1">
      <alignment horizontal="center" vertical="center" textRotation="90"/>
    </xf>
    <xf numFmtId="0" fontId="78" fillId="24" borderId="75" xfId="0" applyFont="1" applyFill="1" applyBorder="1" applyAlignment="1">
      <alignment horizontal="center" vertical="center"/>
    </xf>
    <xf numFmtId="0" fontId="78" fillId="24" borderId="83" xfId="0" applyFont="1" applyFill="1" applyBorder="1" applyAlignment="1">
      <alignment horizontal="center" vertical="center"/>
    </xf>
    <xf numFmtId="0" fontId="78" fillId="24" borderId="84" xfId="0" applyFont="1" applyFill="1" applyBorder="1" applyAlignment="1">
      <alignment horizontal="center" vertical="center"/>
    </xf>
    <xf numFmtId="0" fontId="74" fillId="0" borderId="85" xfId="0" applyFont="1" applyBorder="1" applyAlignment="1" applyProtection="1">
      <alignment horizontal="center" vertical="top"/>
      <protection locked="0"/>
    </xf>
    <xf numFmtId="0" fontId="74" fillId="0" borderId="81" xfId="0" applyFont="1" applyBorder="1" applyAlignment="1" applyProtection="1">
      <alignment horizontal="center" vertical="top" wrapText="1"/>
      <protection locked="0"/>
    </xf>
    <xf numFmtId="0" fontId="74" fillId="0" borderId="85" xfId="0" applyFont="1" applyBorder="1" applyAlignment="1" applyProtection="1">
      <alignment horizontal="center" vertical="top" wrapText="1"/>
      <protection locked="0"/>
    </xf>
    <xf numFmtId="9" fontId="84" fillId="0" borderId="81" xfId="0" applyNumberFormat="1" applyFont="1" applyBorder="1" applyAlignment="1" applyProtection="1">
      <alignment horizontal="center" vertical="top" wrapText="1"/>
      <protection hidden="1"/>
    </xf>
    <xf numFmtId="9" fontId="84" fillId="0" borderId="85" xfId="0" applyNumberFormat="1" applyFont="1" applyBorder="1" applyAlignment="1" applyProtection="1">
      <alignment horizontal="center" vertical="top" wrapText="1"/>
      <protection hidden="1"/>
    </xf>
    <xf numFmtId="9" fontId="84" fillId="0" borderId="34" xfId="0" applyNumberFormat="1" applyFont="1" applyBorder="1" applyAlignment="1" applyProtection="1">
      <alignment horizontal="center" vertical="top" wrapText="1"/>
      <protection hidden="1"/>
    </xf>
    <xf numFmtId="0" fontId="74" fillId="0" borderId="34" xfId="0" applyFont="1" applyBorder="1" applyAlignment="1" applyProtection="1">
      <alignment horizontal="center" vertical="top" wrapText="1"/>
      <protection locked="0"/>
    </xf>
    <xf numFmtId="9" fontId="74" fillId="0" borderId="81" xfId="0" applyNumberFormat="1" applyFont="1" applyBorder="1" applyAlignment="1" applyProtection="1">
      <alignment horizontal="center" vertical="top" wrapText="1"/>
      <protection locked="0"/>
    </xf>
    <xf numFmtId="9" fontId="74" fillId="0" borderId="85" xfId="0" applyNumberFormat="1" applyFont="1" applyBorder="1" applyAlignment="1" applyProtection="1">
      <alignment horizontal="center" vertical="top" wrapText="1"/>
      <protection locked="0"/>
    </xf>
    <xf numFmtId="9" fontId="74" fillId="0" borderId="34" xfId="0" applyNumberFormat="1" applyFont="1" applyBorder="1" applyAlignment="1" applyProtection="1">
      <alignment horizontal="center" vertical="top" wrapText="1"/>
      <protection locked="0"/>
    </xf>
    <xf numFmtId="0" fontId="74" fillId="13" borderId="33" xfId="0" applyFont="1" applyFill="1" applyBorder="1" applyAlignment="1" applyProtection="1">
      <alignment horizontal="center" vertical="top" wrapText="1"/>
      <protection locked="0"/>
    </xf>
    <xf numFmtId="0" fontId="79" fillId="13" borderId="33" xfId="0" applyFont="1" applyFill="1" applyBorder="1" applyAlignment="1" applyProtection="1">
      <alignment horizontal="center" vertical="top" wrapText="1"/>
      <protection locked="0"/>
    </xf>
    <xf numFmtId="9" fontId="74" fillId="0" borderId="33" xfId="0" applyNumberFormat="1" applyFont="1" applyBorder="1" applyAlignment="1" applyProtection="1">
      <alignment horizontal="center" vertical="top" wrapText="1"/>
      <protection locked="0"/>
    </xf>
    <xf numFmtId="14" fontId="74" fillId="0" borderId="81" xfId="0" applyNumberFormat="1" applyFont="1" applyBorder="1" applyAlignment="1" applyProtection="1">
      <alignment horizontal="center" vertical="top"/>
      <protection locked="0"/>
    </xf>
    <xf numFmtId="14" fontId="74" fillId="0" borderId="34" xfId="0" applyNumberFormat="1" applyFont="1" applyBorder="1" applyAlignment="1" applyProtection="1">
      <alignment horizontal="center" vertical="top"/>
      <protection locked="0"/>
    </xf>
    <xf numFmtId="0" fontId="48" fillId="0" borderId="81" xfId="0" applyFont="1" applyBorder="1" applyAlignment="1" applyProtection="1">
      <alignment horizontal="left" vertical="top" wrapText="1"/>
      <protection locked="0"/>
    </xf>
    <xf numFmtId="0" fontId="48" fillId="0" borderId="34" xfId="0" applyFont="1" applyBorder="1" applyAlignment="1" applyProtection="1">
      <alignment horizontal="left" vertical="top" wrapText="1"/>
      <protection locked="0"/>
    </xf>
    <xf numFmtId="0" fontId="74" fillId="0" borderId="81" xfId="0" applyFont="1" applyBorder="1" applyAlignment="1" applyProtection="1">
      <alignment horizontal="center" vertical="top" textRotation="90"/>
      <protection locked="0"/>
    </xf>
    <xf numFmtId="0" fontId="74" fillId="0" borderId="34" xfId="0" applyFont="1" applyBorder="1" applyAlignment="1" applyProtection="1">
      <alignment horizontal="center" vertical="top" textRotation="90"/>
      <protection locked="0"/>
    </xf>
    <xf numFmtId="0" fontId="78" fillId="0" borderId="81" xfId="0" applyFont="1" applyBorder="1" applyAlignment="1" applyProtection="1">
      <alignment horizontal="center" vertical="top" textRotation="90" wrapText="1"/>
      <protection hidden="1"/>
    </xf>
    <xf numFmtId="0" fontId="78" fillId="0" borderId="34" xfId="0" applyFont="1" applyBorder="1" applyAlignment="1" applyProtection="1">
      <alignment horizontal="center" vertical="top" textRotation="90" wrapText="1"/>
      <protection hidden="1"/>
    </xf>
    <xf numFmtId="164" fontId="74" fillId="0" borderId="81" xfId="1" applyNumberFormat="1" applyFont="1" applyFill="1" applyBorder="1" applyAlignment="1">
      <alignment horizontal="center" vertical="top"/>
    </xf>
    <xf numFmtId="164" fontId="74" fillId="0" borderId="34" xfId="1" applyNumberFormat="1" applyFont="1" applyFill="1" applyBorder="1" applyAlignment="1">
      <alignment horizontal="center" vertical="top"/>
    </xf>
    <xf numFmtId="9" fontId="85" fillId="0" borderId="85" xfId="0" applyNumberFormat="1" applyFont="1" applyBorder="1" applyAlignment="1" applyProtection="1">
      <alignment horizontal="center" vertical="top" wrapText="1"/>
      <protection locked="0"/>
    </xf>
    <xf numFmtId="0" fontId="79" fillId="0" borderId="33" xfId="0" applyFont="1" applyBorder="1" applyAlignment="1" applyProtection="1">
      <alignment horizontal="center" vertical="top"/>
      <protection locked="0"/>
    </xf>
    <xf numFmtId="9" fontId="85" fillId="0" borderId="33" xfId="0" applyNumberFormat="1" applyFont="1" applyBorder="1" applyAlignment="1" applyProtection="1">
      <alignment horizontal="center" vertical="top" wrapText="1"/>
      <protection locked="0"/>
    </xf>
    <xf numFmtId="0" fontId="85" fillId="0" borderId="33" xfId="0" applyFont="1" applyBorder="1" applyAlignment="1" applyProtection="1">
      <alignment horizontal="center" vertical="top" wrapText="1"/>
      <protection locked="0"/>
    </xf>
    <xf numFmtId="9" fontId="74" fillId="0" borderId="81" xfId="0" applyNumberFormat="1" applyFont="1" applyBorder="1" applyAlignment="1" applyProtection="1">
      <alignment horizontal="center" vertical="top"/>
      <protection hidden="1"/>
    </xf>
    <xf numFmtId="9" fontId="74" fillId="0" borderId="34" xfId="0" applyNumberFormat="1" applyFont="1" applyBorder="1" applyAlignment="1" applyProtection="1">
      <alignment horizontal="center" vertical="top"/>
      <protection hidden="1"/>
    </xf>
    <xf numFmtId="0" fontId="78" fillId="0" borderId="81" xfId="0" applyFont="1" applyBorder="1" applyAlignment="1" applyProtection="1">
      <alignment horizontal="center" vertical="top" textRotation="90"/>
      <protection hidden="1"/>
    </xf>
    <xf numFmtId="0" fontId="78" fillId="0" borderId="34" xfId="0" applyFont="1" applyBorder="1" applyAlignment="1" applyProtection="1">
      <alignment horizontal="center" vertical="top" textRotation="90"/>
      <protection hidden="1"/>
    </xf>
    <xf numFmtId="0" fontId="74" fillId="0" borderId="81" xfId="0" applyFont="1" applyBorder="1" applyAlignment="1" applyProtection="1">
      <alignment horizontal="center" vertical="top"/>
      <protection hidden="1"/>
    </xf>
    <xf numFmtId="0" fontId="74" fillId="0" borderId="34" xfId="0" applyFont="1" applyBorder="1" applyAlignment="1" applyProtection="1">
      <alignment horizontal="center" vertical="top"/>
      <protection hidden="1"/>
    </xf>
    <xf numFmtId="0" fontId="79" fillId="0" borderId="81" xfId="0" applyFont="1" applyBorder="1" applyAlignment="1" applyProtection="1">
      <alignment horizontal="center" vertical="top" textRotation="90"/>
      <protection locked="0"/>
    </xf>
    <xf numFmtId="0" fontId="79" fillId="0" borderId="34" xfId="0" applyFont="1" applyBorder="1" applyAlignment="1" applyProtection="1">
      <alignment horizontal="center" vertical="top" textRotation="90"/>
      <protection locked="0"/>
    </xf>
    <xf numFmtId="0" fontId="61" fillId="0" borderId="33" xfId="5" applyFont="1" applyBorder="1" applyAlignment="1" applyProtection="1">
      <alignment horizontal="center"/>
      <protection locked="0"/>
    </xf>
    <xf numFmtId="0" fontId="1" fillId="0" borderId="0" xfId="5" applyFont="1" applyAlignment="1">
      <alignment horizontal="center"/>
    </xf>
    <xf numFmtId="0" fontId="15" fillId="0" borderId="0" xfId="5" applyAlignment="1" applyProtection="1">
      <alignment horizontal="center" vertical="center"/>
      <protection locked="0"/>
    </xf>
    <xf numFmtId="0" fontId="15" fillId="0" borderId="0" xfId="5" applyAlignment="1">
      <alignment horizontal="center" vertical="center"/>
    </xf>
    <xf numFmtId="0" fontId="15" fillId="0" borderId="0" xfId="5" applyAlignment="1" applyProtection="1">
      <alignment horizontal="center" vertical="center" wrapText="1"/>
      <protection locked="0"/>
    </xf>
    <xf numFmtId="0" fontId="15" fillId="0" borderId="0" xfId="5" applyAlignment="1">
      <alignment horizontal="center" vertical="center" wrapText="1"/>
    </xf>
    <xf numFmtId="0" fontId="15" fillId="0" borderId="0" xfId="5" applyAlignment="1" applyProtection="1">
      <alignment horizontal="center" wrapText="1"/>
      <protection locked="0"/>
    </xf>
    <xf numFmtId="0" fontId="15" fillId="0" borderId="0" xfId="5" applyAlignment="1" applyProtection="1">
      <alignment horizontal="left" vertical="top" wrapText="1"/>
      <protection locked="0"/>
    </xf>
    <xf numFmtId="0" fontId="15" fillId="0" borderId="0" xfId="5" applyAlignment="1" applyProtection="1">
      <alignment horizontal="left" vertical="center" wrapText="1"/>
      <protection locked="0"/>
    </xf>
    <xf numFmtId="0" fontId="15" fillId="0" borderId="0" xfId="5" applyAlignment="1" applyProtection="1">
      <alignment horizontal="left" vertical="center"/>
      <protection locked="0"/>
    </xf>
    <xf numFmtId="0" fontId="61" fillId="0" borderId="0" xfId="5" applyFont="1" applyAlignment="1" applyProtection="1">
      <alignment horizontal="center" wrapText="1"/>
      <protection locked="0"/>
    </xf>
    <xf numFmtId="0" fontId="61" fillId="21" borderId="33" xfId="5" applyFont="1" applyFill="1" applyBorder="1" applyAlignment="1" applyProtection="1">
      <alignment horizontal="center"/>
      <protection locked="0"/>
    </xf>
    <xf numFmtId="0" fontId="61" fillId="0" borderId="0" xfId="5" applyFont="1" applyAlignment="1" applyProtection="1">
      <alignment horizontal="center"/>
      <protection locked="0"/>
    </xf>
    <xf numFmtId="0" fontId="61" fillId="0" borderId="81" xfId="5" applyFont="1" applyBorder="1" applyAlignment="1" applyProtection="1">
      <alignment horizontal="center" vertical="center"/>
      <protection locked="0"/>
    </xf>
    <xf numFmtId="0" fontId="61" fillId="0" borderId="34" xfId="5" applyFont="1" applyBorder="1" applyAlignment="1" applyProtection="1">
      <alignment horizontal="center" vertical="center"/>
      <protection locked="0"/>
    </xf>
    <xf numFmtId="0" fontId="61" fillId="0" borderId="81" xfId="5" applyFont="1" applyBorder="1" applyAlignment="1" applyProtection="1">
      <alignment horizontal="center" vertical="center" wrapText="1"/>
      <protection locked="0"/>
    </xf>
    <xf numFmtId="0" fontId="61" fillId="0" borderId="34" xfId="5" applyFont="1" applyBorder="1" applyAlignment="1" applyProtection="1">
      <alignment horizontal="center" vertical="center" wrapText="1"/>
      <protection locked="0"/>
    </xf>
    <xf numFmtId="0" fontId="61" fillId="0" borderId="0" xfId="5" applyFont="1" applyAlignment="1" applyProtection="1">
      <alignment horizontal="center" vertical="center"/>
      <protection locked="0"/>
    </xf>
    <xf numFmtId="0" fontId="61" fillId="0" borderId="0" xfId="5" applyFont="1" applyAlignment="1" applyProtection="1">
      <alignment horizontal="center" vertical="center" wrapText="1"/>
      <protection locked="0"/>
    </xf>
    <xf numFmtId="0" fontId="61" fillId="27" borderId="33" xfId="5" applyFont="1" applyFill="1" applyBorder="1" applyAlignment="1" applyProtection="1">
      <alignment horizontal="center" vertical="center"/>
      <protection locked="0"/>
    </xf>
    <xf numFmtId="0" fontId="15" fillId="0" borderId="81" xfId="5" applyBorder="1" applyAlignment="1" applyProtection="1">
      <alignment horizontal="center" vertical="center"/>
      <protection locked="0"/>
    </xf>
    <xf numFmtId="0" fontId="15" fillId="0" borderId="85" xfId="5" applyBorder="1" applyAlignment="1" applyProtection="1">
      <alignment horizontal="center" vertical="center"/>
      <protection locked="0"/>
    </xf>
    <xf numFmtId="0" fontId="78" fillId="0" borderId="81" xfId="5" applyFont="1" applyBorder="1" applyAlignment="1" applyProtection="1">
      <alignment horizontal="center" vertical="center" wrapText="1"/>
      <protection hidden="1"/>
    </xf>
    <xf numFmtId="0" fontId="78" fillId="0" borderId="85" xfId="5" applyFont="1" applyBorder="1" applyAlignment="1" applyProtection="1">
      <alignment horizontal="center" vertical="center" wrapText="1"/>
      <protection hidden="1"/>
    </xf>
    <xf numFmtId="9" fontId="78" fillId="0" borderId="81" xfId="5" applyNumberFormat="1" applyFont="1" applyBorder="1" applyAlignment="1">
      <alignment horizontal="center" vertical="center" wrapText="1"/>
    </xf>
    <xf numFmtId="9" fontId="78" fillId="0" borderId="85" xfId="5" applyNumberFormat="1" applyFont="1" applyBorder="1" applyAlignment="1">
      <alignment horizontal="center" vertical="center" wrapText="1"/>
    </xf>
    <xf numFmtId="9" fontId="78" fillId="0" borderId="34" xfId="5" applyNumberFormat="1" applyFont="1" applyBorder="1" applyAlignment="1">
      <alignment horizontal="center" vertical="center" wrapText="1"/>
    </xf>
    <xf numFmtId="0" fontId="61" fillId="0" borderId="33" xfId="5" applyFont="1" applyBorder="1" applyAlignment="1" applyProtection="1">
      <alignment horizontal="center" vertical="center"/>
      <protection locked="0"/>
    </xf>
    <xf numFmtId="9" fontId="61" fillId="0" borderId="81" xfId="7" applyFont="1" applyBorder="1" applyAlignment="1" applyProtection="1">
      <alignment horizontal="center" vertical="center"/>
      <protection locked="0"/>
    </xf>
    <xf numFmtId="9" fontId="61" fillId="0" borderId="85" xfId="7" applyFont="1" applyBorder="1" applyAlignment="1" applyProtection="1">
      <alignment horizontal="center" vertical="center"/>
      <protection locked="0"/>
    </xf>
    <xf numFmtId="9" fontId="61" fillId="0" borderId="34" xfId="7" applyFont="1" applyBorder="1" applyAlignment="1" applyProtection="1">
      <alignment horizontal="center" vertical="center"/>
      <protection locked="0"/>
    </xf>
    <xf numFmtId="0" fontId="61" fillId="0" borderId="75" xfId="5" applyFont="1" applyBorder="1" applyAlignment="1" applyProtection="1">
      <alignment horizontal="center" vertical="center"/>
      <protection locked="0"/>
    </xf>
    <xf numFmtId="0" fontId="78" fillId="27" borderId="33" xfId="5" applyFont="1" applyFill="1" applyBorder="1" applyAlignment="1">
      <alignment horizontal="center" vertical="center" wrapText="1"/>
    </xf>
    <xf numFmtId="0" fontId="15" fillId="0" borderId="33" xfId="5" applyBorder="1" applyAlignment="1" applyProtection="1">
      <alignment horizontal="center" vertical="center" wrapText="1"/>
      <protection locked="0"/>
    </xf>
    <xf numFmtId="0" fontId="75" fillId="24" borderId="77" xfId="5" applyFont="1" applyFill="1" applyBorder="1" applyAlignment="1">
      <alignment horizontal="center" vertical="center"/>
    </xf>
    <xf numFmtId="0" fontId="75" fillId="24" borderId="0" xfId="5" applyFont="1" applyFill="1" applyAlignment="1">
      <alignment horizontal="center" vertical="center"/>
    </xf>
    <xf numFmtId="0" fontId="61" fillId="27" borderId="75" xfId="5" applyFont="1" applyFill="1" applyBorder="1" applyAlignment="1" applyProtection="1">
      <alignment horizontal="center" vertical="center"/>
      <protection locked="0"/>
    </xf>
    <xf numFmtId="0" fontId="61" fillId="27" borderId="83" xfId="5" applyFont="1" applyFill="1" applyBorder="1" applyAlignment="1" applyProtection="1">
      <alignment horizontal="center" vertical="center"/>
      <protection locked="0"/>
    </xf>
    <xf numFmtId="0" fontId="61" fillId="27" borderId="84" xfId="5" applyFont="1" applyFill="1" applyBorder="1" applyAlignment="1" applyProtection="1">
      <alignment horizontal="center" vertical="center"/>
      <protection locked="0"/>
    </xf>
    <xf numFmtId="0" fontId="78" fillId="27" borderId="33" xfId="5" applyFont="1" applyFill="1" applyBorder="1" applyAlignment="1">
      <alignment horizontal="center" vertical="center"/>
    </xf>
    <xf numFmtId="0" fontId="78" fillId="27" borderId="33" xfId="5" applyFont="1" applyFill="1" applyBorder="1" applyAlignment="1">
      <alignment horizontal="center" vertical="center" textRotation="90" wrapText="1"/>
    </xf>
    <xf numFmtId="0" fontId="78" fillId="27" borderId="81" xfId="5" applyFont="1" applyFill="1" applyBorder="1" applyAlignment="1">
      <alignment horizontal="center" vertical="center" wrapText="1"/>
    </xf>
    <xf numFmtId="0" fontId="78" fillId="27" borderId="85" xfId="5" applyFont="1" applyFill="1" applyBorder="1" applyAlignment="1">
      <alignment horizontal="center" vertical="center" wrapText="1"/>
    </xf>
    <xf numFmtId="0" fontId="78" fillId="24" borderId="33" xfId="5" applyFont="1" applyFill="1" applyBorder="1" applyAlignment="1">
      <alignment horizontal="center" vertical="center" wrapText="1"/>
    </xf>
    <xf numFmtId="0" fontId="61" fillId="0" borderId="34" xfId="5" applyFont="1" applyBorder="1" applyAlignment="1" applyProtection="1">
      <alignment horizontal="left" vertical="center" wrapText="1"/>
      <protection locked="0"/>
    </xf>
    <xf numFmtId="0" fontId="15" fillId="0" borderId="34" xfId="5" applyBorder="1" applyAlignment="1" applyProtection="1">
      <alignment horizontal="center" vertical="center"/>
      <protection locked="0"/>
    </xf>
    <xf numFmtId="0" fontId="75" fillId="24" borderId="78" xfId="5" applyFont="1" applyFill="1" applyBorder="1" applyAlignment="1">
      <alignment horizontal="center" vertical="center"/>
    </xf>
    <xf numFmtId="0" fontId="78" fillId="27" borderId="75" xfId="5" applyFont="1" applyFill="1" applyBorder="1" applyAlignment="1">
      <alignment horizontal="center" vertical="center" wrapText="1"/>
    </xf>
    <xf numFmtId="0" fontId="78" fillId="27" borderId="84" xfId="5" applyFont="1" applyFill="1" applyBorder="1" applyAlignment="1">
      <alignment horizontal="center" vertical="center" wrapText="1"/>
    </xf>
    <xf numFmtId="0" fontId="86" fillId="0" borderId="104" xfId="6" applyFont="1" applyBorder="1" applyAlignment="1">
      <alignment horizontal="center" vertical="center" wrapText="1"/>
    </xf>
    <xf numFmtId="0" fontId="79" fillId="0" borderId="105" xfId="6" applyFont="1" applyBorder="1" applyAlignment="1">
      <alignment vertical="center"/>
    </xf>
    <xf numFmtId="0" fontId="15" fillId="0" borderId="76" xfId="5" applyBorder="1" applyAlignment="1" applyProtection="1">
      <alignment horizontal="center" vertical="center" wrapText="1"/>
      <protection locked="0"/>
    </xf>
    <xf numFmtId="0" fontId="15" fillId="0" borderId="82" xfId="5" applyBorder="1" applyAlignment="1" applyProtection="1">
      <alignment horizontal="center" vertical="center" wrapText="1"/>
      <protection locked="0"/>
    </xf>
    <xf numFmtId="0" fontId="15" fillId="0" borderId="82" xfId="5" applyBorder="1" applyAlignment="1" applyProtection="1">
      <alignment horizontal="center" vertical="center"/>
      <protection locked="0"/>
    </xf>
    <xf numFmtId="0" fontId="75" fillId="27" borderId="89" xfId="5" applyFont="1" applyFill="1" applyBorder="1" applyAlignment="1">
      <alignment horizontal="center" vertical="center"/>
    </xf>
    <xf numFmtId="0" fontId="75" fillId="27" borderId="90" xfId="5" applyFont="1" applyFill="1" applyBorder="1" applyAlignment="1">
      <alignment horizontal="center" vertical="center"/>
    </xf>
    <xf numFmtId="0" fontId="75" fillId="27" borderId="91" xfId="5" applyFont="1" applyFill="1" applyBorder="1" applyAlignment="1">
      <alignment horizontal="center" vertical="center"/>
    </xf>
    <xf numFmtId="0" fontId="75" fillId="27" borderId="39" xfId="5" applyFont="1" applyFill="1" applyBorder="1" applyAlignment="1">
      <alignment horizontal="center" vertical="center"/>
    </xf>
    <xf numFmtId="0" fontId="75" fillId="27" borderId="40" xfId="5" applyFont="1" applyFill="1" applyBorder="1" applyAlignment="1">
      <alignment horizontal="center" vertical="center"/>
    </xf>
    <xf numFmtId="0" fontId="75" fillId="27" borderId="41" xfId="5" applyFont="1" applyFill="1" applyBorder="1" applyAlignment="1">
      <alignment horizontal="center" vertical="center"/>
    </xf>
    <xf numFmtId="0" fontId="76" fillId="27" borderId="44" xfId="5" applyFont="1" applyFill="1" applyBorder="1" applyAlignment="1">
      <alignment horizontal="center" vertical="center"/>
    </xf>
    <xf numFmtId="0" fontId="76" fillId="27" borderId="45" xfId="5" applyFont="1" applyFill="1" applyBorder="1" applyAlignment="1">
      <alignment horizontal="center" vertical="center"/>
    </xf>
    <xf numFmtId="0" fontId="76" fillId="27" borderId="103" xfId="5" applyFont="1" applyFill="1" applyBorder="1" applyAlignment="1">
      <alignment horizontal="center" vertical="center"/>
    </xf>
    <xf numFmtId="0" fontId="76" fillId="27" borderId="46" xfId="5" applyFont="1" applyFill="1" applyBorder="1" applyAlignment="1">
      <alignment horizontal="center" vertical="center"/>
    </xf>
    <xf numFmtId="0" fontId="77" fillId="22" borderId="35" xfId="5" applyFont="1" applyFill="1" applyBorder="1" applyAlignment="1" applyProtection="1">
      <alignment horizontal="left" vertical="center"/>
      <protection locked="0"/>
    </xf>
    <xf numFmtId="0" fontId="77" fillId="22" borderId="36" xfId="5" applyFont="1" applyFill="1" applyBorder="1" applyAlignment="1" applyProtection="1">
      <alignment horizontal="left" vertical="center"/>
      <protection locked="0"/>
    </xf>
    <xf numFmtId="0" fontId="77" fillId="22" borderId="47" xfId="5" applyFont="1" applyFill="1" applyBorder="1" applyAlignment="1" applyProtection="1">
      <alignment horizontal="left" vertical="center"/>
      <protection locked="0"/>
    </xf>
    <xf numFmtId="0" fontId="74" fillId="3" borderId="80" xfId="5" applyFont="1" applyFill="1" applyBorder="1" applyAlignment="1">
      <alignment horizontal="left" vertical="center"/>
    </xf>
    <xf numFmtId="0" fontId="74" fillId="3" borderId="34" xfId="5" applyFont="1" applyFill="1" applyBorder="1" applyAlignment="1">
      <alignment horizontal="left" vertical="center"/>
    </xf>
    <xf numFmtId="0" fontId="78" fillId="0" borderId="33" xfId="0" applyFont="1" applyBorder="1" applyAlignment="1" applyProtection="1">
      <alignment horizontal="center" vertical="top" wrapText="1"/>
      <protection locked="0"/>
    </xf>
    <xf numFmtId="0" fontId="61" fillId="27" borderId="81" xfId="0" applyFont="1" applyFill="1" applyBorder="1" applyAlignment="1" applyProtection="1">
      <alignment horizontal="center" vertical="center"/>
      <protection locked="0"/>
    </xf>
    <xf numFmtId="0" fontId="61" fillId="27" borderId="34" xfId="0" applyFont="1" applyFill="1" applyBorder="1" applyAlignment="1" applyProtection="1">
      <alignment horizontal="center" vertical="center"/>
      <protection locked="0"/>
    </xf>
    <xf numFmtId="0" fontId="61" fillId="27" borderId="81" xfId="0" applyFont="1" applyFill="1" applyBorder="1" applyAlignment="1" applyProtection="1">
      <alignment horizontal="center" vertical="center" wrapText="1"/>
      <protection locked="0"/>
    </xf>
    <xf numFmtId="0" fontId="61" fillId="27" borderId="34" xfId="0" applyFont="1" applyFill="1" applyBorder="1" applyAlignment="1" applyProtection="1">
      <alignment horizontal="center" vertical="center" wrapText="1"/>
      <protection locked="0"/>
    </xf>
    <xf numFmtId="0" fontId="77" fillId="22" borderId="81" xfId="0" applyFont="1" applyFill="1" applyBorder="1" applyAlignment="1" applyProtection="1">
      <alignment horizontal="left" vertical="center"/>
      <protection locked="0"/>
    </xf>
    <xf numFmtId="0" fontId="0" fillId="3" borderId="12" xfId="0" applyFill="1" applyBorder="1" applyAlignment="1">
      <alignment horizontal="center" vertical="center"/>
    </xf>
    <xf numFmtId="0" fontId="0" fillId="3" borderId="19" xfId="0" applyFill="1" applyBorder="1" applyAlignment="1">
      <alignment horizontal="center" vertical="center"/>
    </xf>
    <xf numFmtId="0" fontId="0" fillId="3" borderId="16" xfId="0" applyFill="1" applyBorder="1" applyAlignment="1">
      <alignment horizontal="center" vertical="center"/>
    </xf>
    <xf numFmtId="0" fontId="0" fillId="3" borderId="18" xfId="0" applyFill="1" applyBorder="1" applyAlignment="1">
      <alignment horizontal="center" vertical="center"/>
    </xf>
    <xf numFmtId="0" fontId="48" fillId="3" borderId="44" xfId="0" applyFont="1" applyFill="1" applyBorder="1" applyAlignment="1">
      <alignment horizontal="center" vertical="center"/>
    </xf>
    <xf numFmtId="0" fontId="48" fillId="3" borderId="45" xfId="0" applyFont="1" applyFill="1" applyBorder="1" applyAlignment="1">
      <alignment horizontal="center" vertical="center"/>
    </xf>
    <xf numFmtId="0" fontId="48" fillId="3" borderId="46" xfId="0" applyFont="1" applyFill="1" applyBorder="1" applyAlignment="1">
      <alignment horizontal="center" vertical="center"/>
    </xf>
    <xf numFmtId="0" fontId="48" fillId="3" borderId="16"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17" xfId="0" applyFont="1" applyFill="1" applyBorder="1" applyAlignment="1">
      <alignment horizontal="center" vertical="center" wrapText="1"/>
    </xf>
    <xf numFmtId="0" fontId="62" fillId="17" borderId="35" xfId="0" applyFont="1" applyFill="1" applyBorder="1" applyAlignment="1">
      <alignment horizontal="center" vertical="center"/>
    </xf>
    <xf numFmtId="0" fontId="62" fillId="17" borderId="36" xfId="0" applyFont="1" applyFill="1" applyBorder="1" applyAlignment="1">
      <alignment horizontal="center" vertical="center"/>
    </xf>
    <xf numFmtId="0" fontId="48" fillId="3" borderId="45" xfId="0" applyFont="1" applyFill="1" applyBorder="1" applyAlignment="1">
      <alignment horizontal="center" vertical="center" wrapText="1"/>
    </xf>
    <xf numFmtId="0" fontId="48" fillId="3" borderId="46" xfId="0" applyFont="1" applyFill="1" applyBorder="1" applyAlignment="1">
      <alignment horizontal="center" vertical="center" wrapText="1"/>
    </xf>
    <xf numFmtId="0" fontId="62" fillId="17" borderId="47" xfId="0" applyFont="1" applyFill="1" applyBorder="1" applyAlignment="1">
      <alignment horizontal="center" vertical="center"/>
    </xf>
    <xf numFmtId="0" fontId="48" fillId="3" borderId="35" xfId="0" applyFont="1" applyFill="1" applyBorder="1" applyAlignment="1">
      <alignment horizontal="center" vertical="center" wrapText="1"/>
    </xf>
    <xf numFmtId="0" fontId="48" fillId="3" borderId="36" xfId="0" applyFont="1" applyFill="1" applyBorder="1" applyAlignment="1">
      <alignment horizontal="center" vertical="center" wrapText="1"/>
    </xf>
    <xf numFmtId="0" fontId="48" fillId="3" borderId="47" xfId="0" applyFont="1" applyFill="1" applyBorder="1" applyAlignment="1">
      <alignment horizontal="center" vertical="center" wrapText="1"/>
    </xf>
    <xf numFmtId="0" fontId="76" fillId="27" borderId="44" xfId="0" applyFont="1" applyFill="1" applyBorder="1" applyAlignment="1">
      <alignment horizontal="left" vertical="center"/>
    </xf>
    <xf numFmtId="0" fontId="76" fillId="27" borderId="46" xfId="0" applyFont="1" applyFill="1" applyBorder="1" applyAlignment="1">
      <alignment horizontal="left" vertical="center"/>
    </xf>
    <xf numFmtId="0" fontId="75" fillId="27" borderId="12" xfId="0" applyFont="1" applyFill="1" applyBorder="1" applyAlignment="1">
      <alignment horizontal="center" vertical="center"/>
    </xf>
    <xf numFmtId="0" fontId="75" fillId="27" borderId="19" xfId="0" applyFont="1" applyFill="1" applyBorder="1" applyAlignment="1">
      <alignment horizontal="center" vertical="center"/>
    </xf>
    <xf numFmtId="0" fontId="75" fillId="27" borderId="101" xfId="0" applyFont="1" applyFill="1" applyBorder="1" applyAlignment="1">
      <alignment horizontal="center" vertical="center"/>
    </xf>
    <xf numFmtId="0" fontId="75" fillId="27" borderId="16" xfId="0" applyFont="1" applyFill="1" applyBorder="1" applyAlignment="1">
      <alignment horizontal="center" vertical="center"/>
    </xf>
    <xf numFmtId="0" fontId="75" fillId="27" borderId="18" xfId="0" applyFont="1" applyFill="1" applyBorder="1" applyAlignment="1">
      <alignment horizontal="center" vertical="center"/>
    </xf>
    <xf numFmtId="0" fontId="75" fillId="27" borderId="102" xfId="0" applyFont="1" applyFill="1" applyBorder="1" applyAlignment="1">
      <alignment horizontal="center" vertical="center"/>
    </xf>
    <xf numFmtId="0" fontId="77" fillId="22" borderId="35" xfId="0" applyFont="1" applyFill="1" applyBorder="1" applyAlignment="1" applyProtection="1">
      <alignment horizontal="left" vertical="center"/>
      <protection locked="0"/>
    </xf>
    <xf numFmtId="0" fontId="77" fillId="22" borderId="36" xfId="0" applyFont="1" applyFill="1" applyBorder="1" applyAlignment="1" applyProtection="1">
      <alignment horizontal="left" vertical="center"/>
      <protection locked="0"/>
    </xf>
    <xf numFmtId="0" fontId="77" fillId="22" borderId="47" xfId="0" applyFont="1" applyFill="1" applyBorder="1" applyAlignment="1" applyProtection="1">
      <alignment horizontal="left" vertical="center"/>
      <protection locked="0"/>
    </xf>
    <xf numFmtId="0" fontId="77" fillId="22" borderId="16" xfId="0" applyFont="1" applyFill="1" applyBorder="1" applyAlignment="1" applyProtection="1">
      <alignment horizontal="left" vertical="center"/>
      <protection locked="0"/>
    </xf>
    <xf numFmtId="0" fontId="77" fillId="22" borderId="18" xfId="0" applyFont="1" applyFill="1" applyBorder="1" applyAlignment="1" applyProtection="1">
      <alignment horizontal="left" vertical="center"/>
      <protection locked="0"/>
    </xf>
    <xf numFmtId="0" fontId="77" fillId="22" borderId="17" xfId="0" applyFont="1" applyFill="1" applyBorder="1" applyAlignment="1" applyProtection="1">
      <alignment horizontal="left" vertical="center"/>
      <protection locked="0"/>
    </xf>
    <xf numFmtId="0" fontId="61" fillId="0" borderId="34" xfId="0" applyFont="1" applyBorder="1" applyAlignment="1" applyProtection="1">
      <alignment horizontal="left" vertical="center" wrapText="1"/>
      <protection locked="0"/>
    </xf>
    <xf numFmtId="0" fontId="0" fillId="0" borderId="34" xfId="0" applyBorder="1" applyAlignment="1" applyProtection="1">
      <alignment horizontal="center" vertical="center"/>
      <protection locked="0"/>
    </xf>
    <xf numFmtId="0" fontId="61" fillId="27" borderId="33" xfId="0" applyFont="1" applyFill="1" applyBorder="1" applyAlignment="1" applyProtection="1">
      <alignment horizontal="center"/>
      <protection locked="0"/>
    </xf>
    <xf numFmtId="0" fontId="61" fillId="18" borderId="33" xfId="0" applyFont="1" applyFill="1" applyBorder="1" applyAlignment="1" applyProtection="1">
      <alignment horizontal="center"/>
      <protection locked="0"/>
    </xf>
    <xf numFmtId="0" fontId="61" fillId="19" borderId="33" xfId="0" applyFont="1" applyFill="1" applyBorder="1" applyAlignment="1" applyProtection="1">
      <alignment horizontal="center" vertical="center"/>
      <protection locked="0"/>
    </xf>
    <xf numFmtId="0" fontId="0" fillId="0" borderId="33" xfId="0" applyBorder="1" applyAlignment="1" applyProtection="1">
      <alignment horizontal="center" vertical="center"/>
      <protection locked="0"/>
    </xf>
    <xf numFmtId="0" fontId="0" fillId="0" borderId="81" xfId="0" applyBorder="1" applyAlignment="1" applyProtection="1">
      <alignment horizontal="center" vertical="center" wrapText="1"/>
      <protection locked="0"/>
    </xf>
    <xf numFmtId="0" fontId="0" fillId="0" borderId="85"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76" xfId="0" applyBorder="1" applyAlignment="1" applyProtection="1">
      <alignment horizontal="center" vertical="center" wrapText="1"/>
      <protection locked="0"/>
    </xf>
    <xf numFmtId="0" fontId="0" fillId="0" borderId="52" xfId="0" applyBorder="1" applyAlignment="1" applyProtection="1">
      <alignment horizontal="center" vertical="center"/>
      <protection locked="0"/>
    </xf>
    <xf numFmtId="0" fontId="0" fillId="0" borderId="82"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78" xfId="0" applyBorder="1" applyAlignment="1" applyProtection="1">
      <alignment horizontal="center" vertical="center"/>
      <protection locked="0"/>
    </xf>
    <xf numFmtId="0" fontId="0" fillId="0" borderId="86" xfId="0"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0" fillId="0" borderId="75" xfId="0" applyBorder="1" applyAlignment="1" applyProtection="1">
      <alignment horizontal="left" vertical="center" wrapText="1"/>
      <protection locked="0"/>
    </xf>
    <xf numFmtId="0" fontId="0" fillId="0" borderId="83" xfId="0" applyBorder="1" applyAlignment="1" applyProtection="1">
      <alignment horizontal="left" vertical="center" wrapText="1"/>
      <protection locked="0"/>
    </xf>
    <xf numFmtId="0" fontId="0" fillId="0" borderId="84" xfId="0" applyBorder="1" applyAlignment="1" applyProtection="1">
      <alignment horizontal="left" vertical="center" wrapText="1"/>
      <protection locked="0"/>
    </xf>
    <xf numFmtId="0" fontId="0" fillId="0" borderId="33" xfId="0" applyBorder="1" applyAlignment="1" applyProtection="1">
      <alignment horizontal="center" vertical="center" wrapText="1"/>
      <protection locked="0"/>
    </xf>
    <xf numFmtId="0" fontId="0" fillId="0" borderId="33" xfId="0" applyBorder="1" applyAlignment="1" applyProtection="1">
      <alignment horizontal="left" vertical="center"/>
      <protection locked="0"/>
    </xf>
    <xf numFmtId="0" fontId="61" fillId="0" borderId="34" xfId="0" applyFont="1" applyBorder="1" applyAlignment="1" applyProtection="1">
      <alignment horizontal="center" vertical="center"/>
      <protection locked="0"/>
    </xf>
    <xf numFmtId="0" fontId="0" fillId="0" borderId="33" xfId="0" applyBorder="1" applyAlignment="1" applyProtection="1">
      <alignment horizontal="left" vertical="center" wrapText="1"/>
      <protection locked="0"/>
    </xf>
    <xf numFmtId="0" fontId="0" fillId="0" borderId="81" xfId="0" applyBorder="1" applyAlignment="1" applyProtection="1">
      <alignment horizontal="center" vertical="top" wrapText="1"/>
      <protection locked="0"/>
    </xf>
    <xf numFmtId="0" fontId="0" fillId="0" borderId="85" xfId="0" applyBorder="1" applyAlignment="1" applyProtection="1">
      <alignment horizontal="center" vertical="top" wrapText="1"/>
      <protection locked="0"/>
    </xf>
    <xf numFmtId="0" fontId="0" fillId="0" borderId="34" xfId="0" applyBorder="1" applyAlignment="1" applyProtection="1">
      <alignment horizontal="center" vertical="top" wrapText="1"/>
      <protection locked="0"/>
    </xf>
    <xf numFmtId="0" fontId="61" fillId="16" borderId="77" xfId="0" applyFont="1" applyFill="1" applyBorder="1" applyAlignment="1" applyProtection="1">
      <alignment horizontal="center"/>
      <protection locked="0"/>
    </xf>
    <xf numFmtId="0" fontId="61" fillId="16" borderId="0" xfId="0" applyFont="1" applyFill="1" applyAlignment="1" applyProtection="1">
      <alignment horizontal="center"/>
      <protection locked="0"/>
    </xf>
    <xf numFmtId="0" fontId="61" fillId="2" borderId="33" xfId="0" applyFont="1" applyFill="1" applyBorder="1" applyAlignment="1" applyProtection="1">
      <alignment horizontal="center" vertical="center"/>
      <protection locked="0"/>
    </xf>
    <xf numFmtId="0" fontId="61" fillId="14" borderId="75" xfId="0" applyFont="1" applyFill="1" applyBorder="1" applyAlignment="1" applyProtection="1">
      <alignment horizontal="center" vertical="center"/>
      <protection locked="0"/>
    </xf>
    <xf numFmtId="0" fontId="61" fillId="14" borderId="83" xfId="0" applyFont="1" applyFill="1" applyBorder="1" applyAlignment="1" applyProtection="1">
      <alignment horizontal="center" vertical="center"/>
      <protection locked="0"/>
    </xf>
    <xf numFmtId="0" fontId="61" fillId="14" borderId="84" xfId="0" applyFont="1" applyFill="1" applyBorder="1" applyAlignment="1" applyProtection="1">
      <alignment horizontal="center" vertical="center"/>
      <protection locked="0"/>
    </xf>
    <xf numFmtId="0" fontId="61" fillId="2" borderId="76" xfId="0" applyFont="1" applyFill="1" applyBorder="1" applyAlignment="1" applyProtection="1">
      <alignment horizontal="center" vertical="center"/>
      <protection locked="0"/>
    </xf>
    <xf numFmtId="0" fontId="61" fillId="2" borderId="52" xfId="0" applyFont="1" applyFill="1" applyBorder="1" applyAlignment="1" applyProtection="1">
      <alignment horizontal="center" vertical="center"/>
      <protection locked="0"/>
    </xf>
    <xf numFmtId="0" fontId="61" fillId="2" borderId="82" xfId="0" applyFont="1" applyFill="1" applyBorder="1" applyAlignment="1" applyProtection="1">
      <alignment horizontal="center" vertical="center"/>
      <protection locked="0"/>
    </xf>
    <xf numFmtId="0" fontId="61" fillId="2" borderId="86" xfId="0" applyFont="1" applyFill="1" applyBorder="1" applyAlignment="1" applyProtection="1">
      <alignment horizontal="center" vertical="center"/>
      <protection locked="0"/>
    </xf>
    <xf numFmtId="0" fontId="61" fillId="2" borderId="69" xfId="0" applyFont="1" applyFill="1" applyBorder="1" applyAlignment="1" applyProtection="1">
      <alignment horizontal="center" vertical="center"/>
      <protection locked="0"/>
    </xf>
    <xf numFmtId="0" fontId="61" fillId="2" borderId="80" xfId="0" applyFont="1" applyFill="1" applyBorder="1" applyAlignment="1" applyProtection="1">
      <alignment horizontal="center" vertical="center"/>
      <protection locked="0"/>
    </xf>
    <xf numFmtId="0" fontId="61" fillId="16" borderId="33" xfId="0" applyFont="1" applyFill="1" applyBorder="1" applyAlignment="1" applyProtection="1">
      <alignment horizontal="center"/>
      <protection locked="0"/>
    </xf>
    <xf numFmtId="0" fontId="61" fillId="2" borderId="84" xfId="0" applyFont="1" applyFill="1" applyBorder="1" applyAlignment="1" applyProtection="1">
      <alignment horizontal="center" vertical="center"/>
      <protection locked="0"/>
    </xf>
    <xf numFmtId="0" fontId="61" fillId="2" borderId="33" xfId="0" applyFont="1" applyFill="1" applyBorder="1" applyAlignment="1" applyProtection="1">
      <alignment horizontal="center" wrapText="1"/>
      <protection locked="0"/>
    </xf>
    <xf numFmtId="0" fontId="61" fillId="2" borderId="75" xfId="0" applyFont="1" applyFill="1" applyBorder="1" applyAlignment="1" applyProtection="1">
      <alignment horizontal="center" wrapText="1"/>
      <protection locked="0"/>
    </xf>
    <xf numFmtId="0" fontId="61" fillId="2" borderId="83" xfId="0" applyFont="1" applyFill="1" applyBorder="1" applyAlignment="1" applyProtection="1">
      <alignment horizontal="center" wrapText="1"/>
      <protection locked="0"/>
    </xf>
    <xf numFmtId="0" fontId="61" fillId="2" borderId="84" xfId="0" applyFont="1" applyFill="1" applyBorder="1" applyAlignment="1" applyProtection="1">
      <alignment horizontal="center" wrapText="1"/>
      <protection locked="0"/>
    </xf>
    <xf numFmtId="0" fontId="61" fillId="2" borderId="33" xfId="0" applyFont="1" applyFill="1" applyBorder="1" applyAlignment="1" applyProtection="1">
      <alignment horizontal="center" vertical="center" wrapText="1"/>
      <protection locked="0"/>
    </xf>
    <xf numFmtId="0" fontId="61" fillId="0" borderId="33" xfId="0" applyFont="1" applyBorder="1" applyAlignment="1" applyProtection="1">
      <alignment horizontal="center" vertical="center" wrapText="1"/>
      <protection locked="0"/>
    </xf>
    <xf numFmtId="0" fontId="61" fillId="0" borderId="33" xfId="0" applyFont="1" applyBorder="1" applyAlignment="1" applyProtection="1">
      <alignment horizontal="center"/>
      <protection locked="0"/>
    </xf>
    <xf numFmtId="0" fontId="0" fillId="0" borderId="81" xfId="0" applyBorder="1" applyAlignment="1" applyProtection="1">
      <alignment horizontal="left" vertical="center" wrapText="1"/>
      <protection locked="0"/>
    </xf>
    <xf numFmtId="0" fontId="0" fillId="0" borderId="85"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20" borderId="33" xfId="0" applyFill="1" applyBorder="1" applyAlignment="1">
      <alignment horizontal="center" vertical="center"/>
    </xf>
    <xf numFmtId="0" fontId="0" fillId="0" borderId="82" xfId="0" applyBorder="1" applyAlignment="1" applyProtection="1">
      <alignment horizontal="center" vertical="center" wrapText="1"/>
      <protection locked="0"/>
    </xf>
    <xf numFmtId="0" fontId="0" fillId="0" borderId="77" xfId="0" applyBorder="1" applyAlignment="1" applyProtection="1">
      <alignment horizontal="center" vertical="center" wrapText="1"/>
      <protection locked="0"/>
    </xf>
    <xf numFmtId="0" fontId="0" fillId="0" borderId="78" xfId="0" applyBorder="1" applyAlignment="1" applyProtection="1">
      <alignment horizontal="center" vertical="center" wrapText="1"/>
      <protection locked="0"/>
    </xf>
    <xf numFmtId="0" fontId="0" fillId="0" borderId="86" xfId="0" applyBorder="1" applyAlignment="1" applyProtection="1">
      <alignment horizontal="center" vertical="center" wrapText="1"/>
      <protection locked="0"/>
    </xf>
    <xf numFmtId="0" fontId="0" fillId="0" borderId="80" xfId="0" applyBorder="1" applyAlignment="1" applyProtection="1">
      <alignment horizontal="center" vertical="center" wrapText="1"/>
      <protection locked="0"/>
    </xf>
    <xf numFmtId="0" fontId="61" fillId="2" borderId="76" xfId="0" applyFont="1" applyFill="1" applyBorder="1" applyAlignment="1" applyProtection="1">
      <alignment horizontal="center" vertical="center" wrapText="1"/>
      <protection locked="0"/>
    </xf>
    <xf numFmtId="0" fontId="61" fillId="2" borderId="82" xfId="0" applyFont="1" applyFill="1" applyBorder="1" applyAlignment="1" applyProtection="1">
      <alignment horizontal="center" vertical="center" wrapText="1"/>
      <protection locked="0"/>
    </xf>
    <xf numFmtId="0" fontId="61" fillId="2" borderId="86" xfId="0" applyFont="1" applyFill="1" applyBorder="1" applyAlignment="1" applyProtection="1">
      <alignment horizontal="center" vertical="center" wrapText="1"/>
      <protection locked="0"/>
    </xf>
    <xf numFmtId="0" fontId="61" fillId="2" borderId="80" xfId="0" applyFont="1" applyFill="1" applyBorder="1" applyAlignment="1" applyProtection="1">
      <alignment horizontal="center" vertical="center" wrapText="1"/>
      <protection locked="0"/>
    </xf>
    <xf numFmtId="0" fontId="61" fillId="0" borderId="76" xfId="0" applyFont="1" applyBorder="1" applyAlignment="1" applyProtection="1">
      <alignment horizontal="center"/>
      <protection locked="0"/>
    </xf>
    <xf numFmtId="0" fontId="61" fillId="0" borderId="82" xfId="0" applyFont="1" applyBorder="1" applyAlignment="1" applyProtection="1">
      <alignment horizontal="center"/>
      <protection locked="0"/>
    </xf>
    <xf numFmtId="0" fontId="0" fillId="0" borderId="76" xfId="0" applyBorder="1" applyAlignment="1" applyProtection="1">
      <alignment horizontal="center" vertical="center"/>
      <protection locked="0"/>
    </xf>
    <xf numFmtId="0" fontId="0" fillId="20" borderId="81" xfId="0" applyFill="1" applyBorder="1" applyAlignment="1">
      <alignment horizontal="center" vertical="center"/>
    </xf>
    <xf numFmtId="0" fontId="0" fillId="20" borderId="85" xfId="0" applyFill="1" applyBorder="1" applyAlignment="1">
      <alignment horizontal="center" vertical="center"/>
    </xf>
    <xf numFmtId="0" fontId="0" fillId="20" borderId="34" xfId="0" applyFill="1" applyBorder="1" applyAlignment="1">
      <alignment horizontal="center" vertical="center"/>
    </xf>
    <xf numFmtId="0" fontId="0" fillId="0" borderId="33" xfId="0" applyBorder="1" applyAlignment="1" applyProtection="1">
      <alignment horizontal="center" vertical="top" wrapText="1"/>
      <protection locked="0"/>
    </xf>
    <xf numFmtId="0" fontId="61" fillId="21" borderId="0" xfId="0" applyFont="1" applyFill="1" applyAlignment="1" applyProtection="1">
      <alignment horizontal="center" wrapText="1"/>
      <protection locked="0"/>
    </xf>
    <xf numFmtId="0" fontId="61" fillId="21" borderId="69" xfId="0" applyFont="1" applyFill="1" applyBorder="1" applyAlignment="1" applyProtection="1">
      <alignment horizontal="center" wrapText="1"/>
      <protection locked="0"/>
    </xf>
    <xf numFmtId="0" fontId="61" fillId="21" borderId="75" xfId="0" applyFont="1" applyFill="1" applyBorder="1" applyAlignment="1" applyProtection="1">
      <alignment horizontal="center"/>
      <protection locked="0"/>
    </xf>
    <xf numFmtId="0" fontId="61" fillId="21" borderId="83" xfId="0" applyFont="1" applyFill="1" applyBorder="1" applyAlignment="1" applyProtection="1">
      <alignment horizontal="center"/>
      <protection locked="0"/>
    </xf>
    <xf numFmtId="0" fontId="61" fillId="21" borderId="84" xfId="0" applyFont="1" applyFill="1" applyBorder="1" applyAlignment="1" applyProtection="1">
      <alignment horizontal="center"/>
      <protection locked="0"/>
    </xf>
    <xf numFmtId="0" fontId="61" fillId="0" borderId="81"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0" fillId="0" borderId="81" xfId="0" applyBorder="1" applyAlignment="1" applyProtection="1">
      <alignment horizontal="left" vertical="center"/>
      <protection locked="0"/>
    </xf>
    <xf numFmtId="0" fontId="0" fillId="0" borderId="85"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81" xfId="0" applyBorder="1" applyAlignment="1" applyProtection="1">
      <alignment horizontal="left" vertical="top" wrapText="1"/>
      <protection locked="0"/>
    </xf>
    <xf numFmtId="0" fontId="0" fillId="0" borderId="85"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81" xfId="0"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0" fillId="0" borderId="33"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wrapText="1"/>
      <protection locked="0"/>
    </xf>
    <xf numFmtId="0" fontId="5" fillId="0" borderId="52"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0" fillId="20" borderId="75" xfId="0" applyFill="1" applyBorder="1" applyAlignment="1">
      <alignment horizontal="center"/>
    </xf>
    <xf numFmtId="0" fontId="0" fillId="20" borderId="83" xfId="0" applyFill="1" applyBorder="1" applyAlignment="1">
      <alignment horizontal="center"/>
    </xf>
    <xf numFmtId="0" fontId="0" fillId="20" borderId="84" xfId="0" applyFill="1" applyBorder="1" applyAlignment="1">
      <alignment horizontal="center"/>
    </xf>
    <xf numFmtId="0" fontId="73" fillId="0" borderId="86"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protection locked="0"/>
    </xf>
    <xf numFmtId="0" fontId="73" fillId="0" borderId="69" xfId="0" applyFont="1" applyBorder="1" applyAlignment="1" applyProtection="1">
      <alignment horizontal="center" vertical="center"/>
      <protection locked="0"/>
    </xf>
    <xf numFmtId="0" fontId="73" fillId="0" borderId="34" xfId="0" applyFont="1" applyBorder="1" applyAlignment="1" applyProtection="1">
      <alignment horizontal="center" vertical="center"/>
      <protection locked="0"/>
    </xf>
    <xf numFmtId="0" fontId="0" fillId="0" borderId="38" xfId="0" applyBorder="1" applyAlignment="1">
      <alignment horizontal="center"/>
    </xf>
    <xf numFmtId="0" fontId="0" fillId="0" borderId="97" xfId="0" applyBorder="1" applyAlignment="1">
      <alignment horizontal="center"/>
    </xf>
    <xf numFmtId="0" fontId="0" fillId="0" borderId="88"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75" xfId="0" applyBorder="1" applyAlignment="1">
      <alignment horizontal="center"/>
    </xf>
    <xf numFmtId="0" fontId="0" fillId="0" borderId="84" xfId="0" applyBorder="1" applyAlignment="1">
      <alignment horizontal="center"/>
    </xf>
    <xf numFmtId="0" fontId="75" fillId="27" borderId="13" xfId="0" applyFont="1" applyFill="1" applyBorder="1" applyAlignment="1">
      <alignment horizontal="center" vertical="center"/>
    </xf>
    <xf numFmtId="0" fontId="75" fillId="27" borderId="17" xfId="0" applyFont="1" applyFill="1" applyBorder="1" applyAlignment="1">
      <alignment horizontal="center" vertical="center"/>
    </xf>
    <xf numFmtId="0" fontId="72" fillId="19" borderId="35" xfId="0" applyFont="1" applyFill="1" applyBorder="1" applyAlignment="1" applyProtection="1">
      <alignment horizontal="center" vertical="center"/>
      <protection locked="0"/>
    </xf>
    <xf numFmtId="0" fontId="72" fillId="19" borderId="36" xfId="0" applyFont="1" applyFill="1" applyBorder="1" applyAlignment="1" applyProtection="1">
      <alignment horizontal="center" vertical="center"/>
      <protection locked="0"/>
    </xf>
    <xf numFmtId="0" fontId="72" fillId="19" borderId="47" xfId="0" applyFont="1" applyFill="1" applyBorder="1" applyAlignment="1" applyProtection="1">
      <alignment horizontal="center" vertical="center"/>
      <protection locked="0"/>
    </xf>
    <xf numFmtId="0" fontId="73" fillId="0" borderId="43" xfId="0" applyFont="1" applyBorder="1" applyAlignment="1" applyProtection="1">
      <alignment horizontal="center" vertical="center"/>
      <protection locked="0"/>
    </xf>
    <xf numFmtId="0" fontId="61" fillId="0" borderId="12" xfId="0" applyFont="1" applyBorder="1" applyAlignment="1">
      <alignment horizontal="center"/>
    </xf>
    <xf numFmtId="0" fontId="61" fillId="0" borderId="13" xfId="0" applyFont="1" applyBorder="1" applyAlignment="1">
      <alignment horizontal="center"/>
    </xf>
    <xf numFmtId="0" fontId="74" fillId="0" borderId="35" xfId="0" applyFont="1" applyBorder="1" applyAlignment="1">
      <alignment horizontal="center"/>
    </xf>
    <xf numFmtId="0" fontId="74" fillId="0" borderId="36" xfId="0" applyFont="1" applyBorder="1" applyAlignment="1">
      <alignment horizontal="center"/>
    </xf>
    <xf numFmtId="0" fontId="74" fillId="0" borderId="47" xfId="0" applyFont="1" applyBorder="1" applyAlignment="1">
      <alignment horizontal="center"/>
    </xf>
    <xf numFmtId="0" fontId="44" fillId="24" borderId="35" xfId="0" applyFont="1" applyFill="1" applyBorder="1" applyAlignment="1">
      <alignment horizontal="center"/>
    </xf>
    <xf numFmtId="0" fontId="44" fillId="24" borderId="36" xfId="0" applyFont="1" applyFill="1" applyBorder="1" applyAlignment="1">
      <alignment horizontal="center"/>
    </xf>
    <xf numFmtId="0" fontId="44" fillId="24" borderId="47" xfId="0" applyFont="1" applyFill="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47" xfId="0" applyBorder="1" applyAlignment="1">
      <alignment horizontal="center"/>
    </xf>
    <xf numFmtId="0" fontId="44" fillId="24" borderId="12" xfId="0" applyFont="1" applyFill="1" applyBorder="1" applyAlignment="1">
      <alignment horizontal="center"/>
    </xf>
    <xf numFmtId="0" fontId="44" fillId="24" borderId="19" xfId="0" applyFont="1" applyFill="1" applyBorder="1" applyAlignment="1">
      <alignment horizontal="center"/>
    </xf>
    <xf numFmtId="0" fontId="44" fillId="24" borderId="13" xfId="0" applyFont="1" applyFill="1" applyBorder="1" applyAlignment="1">
      <alignment horizontal="center"/>
    </xf>
    <xf numFmtId="0" fontId="61" fillId="0" borderId="44" xfId="0" applyFont="1" applyBorder="1" applyAlignment="1">
      <alignment horizontal="center" vertical="top" wrapText="1"/>
    </xf>
    <xf numFmtId="0" fontId="61" fillId="0" borderId="45" xfId="0" applyFont="1" applyBorder="1" applyAlignment="1">
      <alignment horizontal="center" vertical="top" wrapText="1"/>
    </xf>
    <xf numFmtId="0" fontId="61" fillId="0" borderId="46" xfId="0" applyFont="1" applyBorder="1" applyAlignment="1">
      <alignment horizontal="center" vertical="top" wrapText="1"/>
    </xf>
    <xf numFmtId="0" fontId="25" fillId="0" borderId="0" xfId="0" applyFont="1" applyAlignment="1">
      <alignment horizontal="center" vertical="center"/>
    </xf>
    <xf numFmtId="0" fontId="46" fillId="0" borderId="0" xfId="0" applyFont="1" applyAlignment="1">
      <alignment horizontal="center" vertical="center"/>
    </xf>
    <xf numFmtId="0" fontId="41" fillId="15" borderId="35" xfId="0" applyFont="1" applyFill="1" applyBorder="1" applyAlignment="1">
      <alignment horizontal="center" vertical="center" wrapText="1" readingOrder="1"/>
    </xf>
    <xf numFmtId="0" fontId="41" fillId="15" borderId="36" xfId="0" applyFont="1" applyFill="1" applyBorder="1" applyAlignment="1">
      <alignment horizontal="center" vertical="center" wrapText="1" readingOrder="1"/>
    </xf>
    <xf numFmtId="0" fontId="41" fillId="15" borderId="47" xfId="0" applyFont="1" applyFill="1" applyBorder="1" applyAlignment="1">
      <alignment horizontal="center" vertical="center" wrapText="1" readingOrder="1"/>
    </xf>
    <xf numFmtId="0" fontId="36" fillId="3" borderId="0" xfId="0" applyFont="1" applyFill="1" applyAlignment="1">
      <alignment horizontal="justify" vertical="center" wrapText="1"/>
    </xf>
    <xf numFmtId="0" fontId="38" fillId="15" borderId="44" xfId="0" applyFont="1" applyFill="1" applyBorder="1" applyAlignment="1">
      <alignment horizontal="center" vertical="center" wrapText="1" readingOrder="1"/>
    </xf>
    <xf numFmtId="0" fontId="38" fillId="15" borderId="45" xfId="0" applyFont="1" applyFill="1" applyBorder="1" applyAlignment="1">
      <alignment horizontal="center" vertical="center" wrapText="1" readingOrder="1"/>
    </xf>
    <xf numFmtId="0" fontId="38" fillId="3" borderId="42" xfId="0" applyFont="1" applyFill="1" applyBorder="1" applyAlignment="1">
      <alignment horizontal="center" vertical="center" wrapText="1" readingOrder="1"/>
    </xf>
    <xf numFmtId="0" fontId="38" fillId="3" borderId="37" xfId="0" applyFont="1" applyFill="1" applyBorder="1" applyAlignment="1">
      <alignment horizontal="center" vertical="center" wrapText="1" readingOrder="1"/>
    </xf>
    <xf numFmtId="0" fontId="38" fillId="3" borderId="34" xfId="0" applyFont="1" applyFill="1" applyBorder="1" applyAlignment="1">
      <alignment horizontal="center" vertical="center" wrapText="1" readingOrder="1"/>
    </xf>
    <xf numFmtId="0" fontId="38" fillId="3" borderId="33" xfId="0" applyFont="1" applyFill="1" applyBorder="1" applyAlignment="1">
      <alignment horizontal="center" vertical="center" wrapText="1" readingOrder="1"/>
    </xf>
    <xf numFmtId="0" fontId="38" fillId="3" borderId="39" xfId="0" applyFont="1" applyFill="1" applyBorder="1" applyAlignment="1">
      <alignment horizontal="center" vertical="center" wrapText="1" readingOrder="1"/>
    </xf>
    <xf numFmtId="0" fontId="38" fillId="3" borderId="40" xfId="0" applyFont="1" applyFill="1" applyBorder="1" applyAlignment="1">
      <alignment horizontal="center" vertical="center" wrapText="1" readingOrder="1"/>
    </xf>
    <xf numFmtId="0" fontId="67" fillId="11" borderId="14" xfId="0" applyFont="1" applyFill="1" applyBorder="1" applyAlignment="1" applyProtection="1">
      <alignment horizontal="center" vertical="center" wrapText="1" readingOrder="1"/>
      <protection hidden="1"/>
    </xf>
    <xf numFmtId="0" fontId="67" fillId="11" borderId="0" xfId="0" applyFont="1" applyFill="1" applyAlignment="1" applyProtection="1">
      <alignment horizontal="center" vertical="center" wrapText="1" readingOrder="1"/>
      <protection hidden="1"/>
    </xf>
    <xf numFmtId="0" fontId="67" fillId="11" borderId="16" xfId="0" applyFont="1" applyFill="1" applyBorder="1" applyAlignment="1" applyProtection="1">
      <alignment horizontal="center" vertical="center" wrapText="1" readingOrder="1"/>
      <protection hidden="1"/>
    </xf>
    <xf numFmtId="0" fontId="67" fillId="11" borderId="18" xfId="0" applyFont="1" applyFill="1" applyBorder="1" applyAlignment="1" applyProtection="1">
      <alignment horizontal="center" vertical="center" wrapText="1" readingOrder="1"/>
      <protection hidden="1"/>
    </xf>
    <xf numFmtId="0" fontId="67" fillId="11" borderId="15" xfId="0" applyFont="1" applyFill="1" applyBorder="1" applyAlignment="1" applyProtection="1">
      <alignment horizontal="center" vertical="center" wrapText="1" readingOrder="1"/>
      <protection hidden="1"/>
    </xf>
    <xf numFmtId="0" fontId="67" fillId="11" borderId="17" xfId="0" applyFont="1" applyFill="1" applyBorder="1" applyAlignment="1" applyProtection="1">
      <alignment horizontal="center" vertical="center" wrapText="1" readingOrder="1"/>
      <protection hidden="1"/>
    </xf>
    <xf numFmtId="0" fontId="64" fillId="0" borderId="12" xfId="0" applyFont="1" applyBorder="1" applyAlignment="1">
      <alignment horizontal="center" vertical="center" wrapText="1"/>
    </xf>
    <xf numFmtId="0" fontId="64" fillId="0" borderId="19" xfId="0" applyFont="1" applyBorder="1" applyAlignment="1">
      <alignment horizontal="center" vertical="center"/>
    </xf>
    <xf numFmtId="0" fontId="64" fillId="0" borderId="13" xfId="0" applyFont="1" applyBorder="1" applyAlignment="1">
      <alignment horizontal="center" vertical="center"/>
    </xf>
    <xf numFmtId="0" fontId="64" fillId="0" borderId="14" xfId="0" applyFont="1" applyBorder="1" applyAlignment="1">
      <alignment horizontal="center" vertical="center"/>
    </xf>
    <xf numFmtId="0" fontId="64" fillId="0" borderId="0" xfId="0" applyFont="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8" xfId="0" applyFont="1" applyBorder="1" applyAlignment="1">
      <alignment horizontal="center" vertical="center"/>
    </xf>
    <xf numFmtId="0" fontId="64" fillId="0" borderId="17" xfId="0" applyFont="1" applyBorder="1" applyAlignment="1">
      <alignment horizontal="center" vertical="center"/>
    </xf>
    <xf numFmtId="0" fontId="64" fillId="0" borderId="19" xfId="0" applyFont="1" applyBorder="1" applyAlignment="1">
      <alignment horizontal="center" vertical="center" wrapText="1"/>
    </xf>
    <xf numFmtId="0" fontId="66" fillId="10" borderId="0" xfId="0" applyFont="1" applyFill="1" applyAlignment="1">
      <alignment horizontal="center" vertical="center" wrapText="1" readingOrder="1"/>
    </xf>
    <xf numFmtId="0" fontId="66" fillId="10" borderId="0" xfId="0" applyFont="1" applyFill="1" applyAlignment="1">
      <alignment horizontal="center" vertical="center" textRotation="90" wrapText="1" readingOrder="1"/>
    </xf>
    <xf numFmtId="0" fontId="66" fillId="10" borderId="15" xfId="0" applyFont="1" applyFill="1" applyBorder="1" applyAlignment="1">
      <alignment horizontal="center" vertical="center" textRotation="90" wrapText="1" readingOrder="1"/>
    </xf>
    <xf numFmtId="0" fontId="66" fillId="12" borderId="20" xfId="0" applyFont="1" applyFill="1" applyBorder="1" applyAlignment="1">
      <alignment horizontal="center" vertical="center" wrapText="1" readingOrder="1"/>
    </xf>
    <xf numFmtId="0" fontId="66" fillId="12" borderId="21" xfId="0" applyFont="1" applyFill="1" applyBorder="1" applyAlignment="1">
      <alignment horizontal="center" vertical="center" wrapText="1" readingOrder="1"/>
    </xf>
    <xf numFmtId="0" fontId="66" fillId="12" borderId="22" xfId="0" applyFont="1" applyFill="1" applyBorder="1" applyAlignment="1">
      <alignment horizontal="center" vertical="center" wrapText="1" readingOrder="1"/>
    </xf>
    <xf numFmtId="0" fontId="66" fillId="12" borderId="23" xfId="0" applyFont="1" applyFill="1" applyBorder="1" applyAlignment="1">
      <alignment horizontal="center" vertical="center" wrapText="1" readingOrder="1"/>
    </xf>
    <xf numFmtId="0" fontId="66" fillId="12" borderId="0" xfId="0" applyFont="1" applyFill="1" applyAlignment="1">
      <alignment horizontal="center" vertical="center" wrapText="1" readingOrder="1"/>
    </xf>
    <xf numFmtId="0" fontId="66" fillId="12" borderId="24" xfId="0" applyFont="1" applyFill="1" applyBorder="1" applyAlignment="1">
      <alignment horizontal="center" vertical="center" wrapText="1" readingOrder="1"/>
    </xf>
    <xf numFmtId="0" fontId="66" fillId="12" borderId="25" xfId="0" applyFont="1" applyFill="1" applyBorder="1" applyAlignment="1">
      <alignment horizontal="center" vertical="center" wrapText="1" readingOrder="1"/>
    </xf>
    <xf numFmtId="0" fontId="66" fillId="12" borderId="26" xfId="0" applyFont="1" applyFill="1" applyBorder="1" applyAlignment="1">
      <alignment horizontal="center" vertical="center" wrapText="1" readingOrder="1"/>
    </xf>
    <xf numFmtId="0" fontId="66" fillId="12" borderId="27" xfId="0" applyFont="1" applyFill="1" applyBorder="1" applyAlignment="1">
      <alignment horizontal="center" vertical="center" wrapText="1" readingOrder="1"/>
    </xf>
    <xf numFmtId="0" fontId="64" fillId="0" borderId="14" xfId="0" applyFont="1" applyBorder="1" applyAlignment="1">
      <alignment horizontal="center" vertical="center" wrapText="1"/>
    </xf>
    <xf numFmtId="0" fontId="66" fillId="11" borderId="20" xfId="0" applyFont="1" applyFill="1" applyBorder="1" applyAlignment="1">
      <alignment horizontal="center" vertical="center" wrapText="1" readingOrder="1"/>
    </xf>
    <xf numFmtId="0" fontId="66" fillId="11" borderId="21" xfId="0" applyFont="1" applyFill="1" applyBorder="1" applyAlignment="1">
      <alignment horizontal="center" vertical="center" wrapText="1" readingOrder="1"/>
    </xf>
    <xf numFmtId="0" fontId="66" fillId="11" borderId="22" xfId="0" applyFont="1" applyFill="1" applyBorder="1" applyAlignment="1">
      <alignment horizontal="center" vertical="center" wrapText="1" readingOrder="1"/>
    </xf>
    <xf numFmtId="0" fontId="66" fillId="11" borderId="23" xfId="0" applyFont="1" applyFill="1" applyBorder="1" applyAlignment="1">
      <alignment horizontal="center" vertical="center" wrapText="1" readingOrder="1"/>
    </xf>
    <xf numFmtId="0" fontId="66" fillId="11" borderId="0" xfId="0" applyFont="1" applyFill="1" applyAlignment="1">
      <alignment horizontal="center" vertical="center" wrapText="1" readingOrder="1"/>
    </xf>
    <xf numFmtId="0" fontId="66" fillId="11" borderId="24" xfId="0" applyFont="1" applyFill="1" applyBorder="1" applyAlignment="1">
      <alignment horizontal="center" vertical="center" wrapText="1" readingOrder="1"/>
    </xf>
    <xf numFmtId="0" fontId="66" fillId="11" borderId="25" xfId="0" applyFont="1" applyFill="1" applyBorder="1" applyAlignment="1">
      <alignment horizontal="center" vertical="center" wrapText="1" readingOrder="1"/>
    </xf>
    <xf numFmtId="0" fontId="66" fillId="11" borderId="26" xfId="0" applyFont="1" applyFill="1" applyBorder="1" applyAlignment="1">
      <alignment horizontal="center" vertical="center" wrapText="1" readingOrder="1"/>
    </xf>
    <xf numFmtId="0" fontId="66" fillId="11" borderId="27" xfId="0" applyFont="1" applyFill="1" applyBorder="1" applyAlignment="1">
      <alignment horizontal="center" vertical="center" wrapText="1" readingOrder="1"/>
    </xf>
    <xf numFmtId="0" fontId="66" fillId="13" borderId="20" xfId="0" applyFont="1" applyFill="1" applyBorder="1" applyAlignment="1">
      <alignment horizontal="center" vertical="center" wrapText="1" readingOrder="1"/>
    </xf>
    <xf numFmtId="0" fontId="66" fillId="13" borderId="21" xfId="0" applyFont="1" applyFill="1" applyBorder="1" applyAlignment="1">
      <alignment horizontal="center" vertical="center" wrapText="1" readingOrder="1"/>
    </xf>
    <xf numFmtId="0" fontId="66" fillId="13" borderId="22" xfId="0" applyFont="1" applyFill="1" applyBorder="1" applyAlignment="1">
      <alignment horizontal="center" vertical="center" wrapText="1" readingOrder="1"/>
    </xf>
    <xf numFmtId="0" fontId="66" fillId="13" borderId="23" xfId="0" applyFont="1" applyFill="1" applyBorder="1" applyAlignment="1">
      <alignment horizontal="center" vertical="center" wrapText="1" readingOrder="1"/>
    </xf>
    <xf numFmtId="0" fontId="66" fillId="13" borderId="0" xfId="0" applyFont="1" applyFill="1" applyAlignment="1">
      <alignment horizontal="center" vertical="center" wrapText="1" readingOrder="1"/>
    </xf>
    <xf numFmtId="0" fontId="66" fillId="13" borderId="24" xfId="0" applyFont="1" applyFill="1" applyBorder="1" applyAlignment="1">
      <alignment horizontal="center" vertical="center" wrapText="1" readingOrder="1"/>
    </xf>
    <xf numFmtId="0" fontId="66" fillId="13" borderId="25" xfId="0" applyFont="1" applyFill="1" applyBorder="1" applyAlignment="1">
      <alignment horizontal="center" vertical="center" wrapText="1" readingOrder="1"/>
    </xf>
    <xf numFmtId="0" fontId="66" fillId="13" borderId="26" xfId="0" applyFont="1" applyFill="1" applyBorder="1" applyAlignment="1">
      <alignment horizontal="center" vertical="center" wrapText="1" readingOrder="1"/>
    </xf>
    <xf numFmtId="0" fontId="66" fillId="13" borderId="27" xfId="0" applyFont="1" applyFill="1" applyBorder="1" applyAlignment="1">
      <alignment horizontal="center" vertical="center" wrapText="1" readingOrder="1"/>
    </xf>
    <xf numFmtId="0" fontId="66" fillId="5" borderId="20" xfId="0" applyFont="1" applyFill="1" applyBorder="1" applyAlignment="1">
      <alignment horizontal="center" vertical="center" wrapText="1" readingOrder="1"/>
    </xf>
    <xf numFmtId="0" fontId="66" fillId="5" borderId="21" xfId="0" applyFont="1" applyFill="1" applyBorder="1" applyAlignment="1">
      <alignment horizontal="center" vertical="center" wrapText="1" readingOrder="1"/>
    </xf>
    <xf numFmtId="0" fontId="66" fillId="5" borderId="22" xfId="0" applyFont="1" applyFill="1" applyBorder="1" applyAlignment="1">
      <alignment horizontal="center" vertical="center" wrapText="1" readingOrder="1"/>
    </xf>
    <xf numFmtId="0" fontId="66" fillId="5" borderId="23" xfId="0" applyFont="1" applyFill="1" applyBorder="1" applyAlignment="1">
      <alignment horizontal="center" vertical="center" wrapText="1" readingOrder="1"/>
    </xf>
    <xf numFmtId="0" fontId="66" fillId="5" borderId="0" xfId="0" applyFont="1" applyFill="1" applyAlignment="1">
      <alignment horizontal="center" vertical="center" wrapText="1" readingOrder="1"/>
    </xf>
    <xf numFmtId="0" fontId="66" fillId="5" borderId="24" xfId="0" applyFont="1" applyFill="1" applyBorder="1" applyAlignment="1">
      <alignment horizontal="center" vertical="center" wrapText="1" readingOrder="1"/>
    </xf>
    <xf numFmtId="0" fontId="66" fillId="5" borderId="25" xfId="0" applyFont="1" applyFill="1" applyBorder="1" applyAlignment="1">
      <alignment horizontal="center" vertical="center" wrapText="1" readingOrder="1"/>
    </xf>
    <xf numFmtId="0" fontId="66" fillId="5" borderId="26" xfId="0" applyFont="1" applyFill="1" applyBorder="1" applyAlignment="1">
      <alignment horizontal="center" vertical="center" wrapText="1" readingOrder="1"/>
    </xf>
    <xf numFmtId="0" fontId="66" fillId="5" borderId="27" xfId="0" applyFont="1" applyFill="1" applyBorder="1" applyAlignment="1">
      <alignment horizontal="center" vertical="center" wrapText="1" readingOrder="1"/>
    </xf>
    <xf numFmtId="0" fontId="68" fillId="0" borderId="12" xfId="0" applyFont="1" applyBorder="1" applyAlignment="1">
      <alignment horizontal="center" vertical="center" wrapText="1"/>
    </xf>
    <xf numFmtId="0" fontId="68" fillId="0" borderId="19" xfId="0" applyFont="1" applyBorder="1" applyAlignment="1">
      <alignment horizontal="center" vertical="center"/>
    </xf>
    <xf numFmtId="0" fontId="68" fillId="0" borderId="13" xfId="0" applyFont="1" applyBorder="1" applyAlignment="1">
      <alignment horizontal="center" vertical="center"/>
    </xf>
    <xf numFmtId="0" fontId="68" fillId="0" borderId="14" xfId="0" applyFont="1" applyBorder="1" applyAlignment="1">
      <alignment horizontal="center" vertical="center"/>
    </xf>
    <xf numFmtId="0" fontId="68" fillId="0" borderId="0" xfId="0" applyFont="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8" xfId="0" applyFont="1" applyBorder="1" applyAlignment="1">
      <alignment horizontal="center" vertical="center"/>
    </xf>
    <xf numFmtId="0" fontId="68" fillId="0" borderId="17" xfId="0" applyFont="1" applyBorder="1" applyAlignment="1">
      <alignment horizontal="center" vertical="center"/>
    </xf>
    <xf numFmtId="0" fontId="68" fillId="0" borderId="19" xfId="0" applyFont="1" applyBorder="1" applyAlignment="1">
      <alignment horizontal="center" vertical="center" wrapText="1"/>
    </xf>
    <xf numFmtId="0" fontId="27" fillId="0" borderId="0" xfId="0" applyFont="1" applyAlignment="1">
      <alignment horizontal="center" vertical="center" wrapText="1"/>
    </xf>
    <xf numFmtId="0" fontId="67" fillId="12" borderId="14" xfId="0" applyFont="1" applyFill="1" applyBorder="1" applyAlignment="1" applyProtection="1">
      <alignment horizontal="center" wrapText="1" readingOrder="1"/>
      <protection hidden="1"/>
    </xf>
    <xf numFmtId="0" fontId="67" fillId="12" borderId="0" xfId="0" applyFont="1" applyFill="1" applyAlignment="1" applyProtection="1">
      <alignment horizontal="center" wrapText="1" readingOrder="1"/>
      <protection hidden="1"/>
    </xf>
    <xf numFmtId="0" fontId="67" fillId="12" borderId="16" xfId="0" applyFont="1" applyFill="1" applyBorder="1" applyAlignment="1" applyProtection="1">
      <alignment horizontal="center" wrapText="1" readingOrder="1"/>
      <protection hidden="1"/>
    </xf>
    <xf numFmtId="0" fontId="67" fillId="12" borderId="18" xfId="0" applyFont="1" applyFill="1" applyBorder="1" applyAlignment="1" applyProtection="1">
      <alignment horizontal="center" wrapText="1" readingOrder="1"/>
      <protection hidden="1"/>
    </xf>
    <xf numFmtId="0" fontId="67" fillId="12" borderId="15" xfId="0" applyFont="1" applyFill="1" applyBorder="1" applyAlignment="1" applyProtection="1">
      <alignment horizontal="center" wrapText="1" readingOrder="1"/>
      <protection hidden="1"/>
    </xf>
    <xf numFmtId="0" fontId="67" fillId="12" borderId="17" xfId="0" applyFont="1" applyFill="1" applyBorder="1" applyAlignment="1" applyProtection="1">
      <alignment horizontal="center" wrapText="1" readingOrder="1"/>
      <protection hidden="1"/>
    </xf>
    <xf numFmtId="0" fontId="67" fillId="13" borderId="0" xfId="0" applyFont="1" applyFill="1" applyAlignment="1" applyProtection="1">
      <alignment horizontal="center" wrapText="1" readingOrder="1"/>
      <protection hidden="1"/>
    </xf>
    <xf numFmtId="0" fontId="67" fillId="13" borderId="15" xfId="0" applyFont="1" applyFill="1" applyBorder="1" applyAlignment="1" applyProtection="1">
      <alignment horizontal="center" wrapText="1" readingOrder="1"/>
      <protection hidden="1"/>
    </xf>
    <xf numFmtId="0" fontId="67" fillId="5" borderId="14" xfId="0" applyFont="1" applyFill="1" applyBorder="1" applyAlignment="1" applyProtection="1">
      <alignment horizontal="center" wrapText="1" readingOrder="1"/>
      <protection hidden="1"/>
    </xf>
    <xf numFmtId="0" fontId="67" fillId="5" borderId="0" xfId="0" applyFont="1" applyFill="1" applyAlignment="1" applyProtection="1">
      <alignment horizontal="center" wrapText="1" readingOrder="1"/>
      <protection hidden="1"/>
    </xf>
    <xf numFmtId="0" fontId="67" fillId="5" borderId="16" xfId="0" applyFont="1" applyFill="1" applyBorder="1" applyAlignment="1" applyProtection="1">
      <alignment horizontal="center" wrapText="1" readingOrder="1"/>
      <protection hidden="1"/>
    </xf>
    <xf numFmtId="0" fontId="67" fillId="5" borderId="18" xfId="0" applyFont="1" applyFill="1" applyBorder="1" applyAlignment="1" applyProtection="1">
      <alignment horizontal="center" wrapText="1" readingOrder="1"/>
      <protection hidden="1"/>
    </xf>
    <xf numFmtId="0" fontId="67" fillId="5" borderId="15" xfId="0" applyFont="1" applyFill="1" applyBorder="1" applyAlignment="1" applyProtection="1">
      <alignment horizontal="center" wrapText="1" readingOrder="1"/>
      <protection hidden="1"/>
    </xf>
    <xf numFmtId="0" fontId="67" fillId="5" borderId="17" xfId="0" applyFont="1" applyFill="1" applyBorder="1" applyAlignment="1" applyProtection="1">
      <alignment horizontal="center" wrapText="1" readingOrder="1"/>
      <protection hidden="1"/>
    </xf>
    <xf numFmtId="0" fontId="67" fillId="13" borderId="14" xfId="0" applyFont="1" applyFill="1" applyBorder="1" applyAlignment="1" applyProtection="1">
      <alignment horizontal="center" wrapText="1" readingOrder="1"/>
      <protection hidden="1"/>
    </xf>
    <xf numFmtId="0" fontId="67" fillId="13" borderId="16" xfId="0" applyFont="1" applyFill="1" applyBorder="1" applyAlignment="1" applyProtection="1">
      <alignment horizontal="center" wrapText="1" readingOrder="1"/>
      <protection hidden="1"/>
    </xf>
    <xf numFmtId="0" fontId="67" fillId="13" borderId="18" xfId="0" applyFont="1" applyFill="1" applyBorder="1" applyAlignment="1" applyProtection="1">
      <alignment horizontal="center" wrapText="1" readingOrder="1"/>
      <protection hidden="1"/>
    </xf>
    <xf numFmtId="0" fontId="67" fillId="13" borderId="17" xfId="0" applyFont="1" applyFill="1" applyBorder="1" applyAlignment="1" applyProtection="1">
      <alignment horizontal="center" wrapText="1" readingOrder="1"/>
      <protection hidden="1"/>
    </xf>
    <xf numFmtId="0" fontId="67" fillId="12" borderId="12" xfId="0" applyFont="1" applyFill="1" applyBorder="1" applyAlignment="1" applyProtection="1">
      <alignment horizontal="center" wrapText="1" readingOrder="1"/>
      <protection hidden="1"/>
    </xf>
    <xf numFmtId="0" fontId="67" fillId="12" borderId="19" xfId="0" applyFont="1" applyFill="1" applyBorder="1" applyAlignment="1" applyProtection="1">
      <alignment horizontal="center" wrapText="1" readingOrder="1"/>
      <protection hidden="1"/>
    </xf>
    <xf numFmtId="0" fontId="67" fillId="12" borderId="13" xfId="0" applyFont="1" applyFill="1" applyBorder="1" applyAlignment="1" applyProtection="1">
      <alignment horizontal="center" wrapText="1" readingOrder="1"/>
      <protection hidden="1"/>
    </xf>
    <xf numFmtId="0" fontId="67" fillId="13" borderId="12" xfId="0" applyFont="1" applyFill="1" applyBorder="1" applyAlignment="1" applyProtection="1">
      <alignment horizontal="center" wrapText="1" readingOrder="1"/>
      <protection hidden="1"/>
    </xf>
    <xf numFmtId="0" fontId="67" fillId="13" borderId="19" xfId="0" applyFont="1" applyFill="1" applyBorder="1" applyAlignment="1" applyProtection="1">
      <alignment horizontal="center" wrapText="1" readingOrder="1"/>
      <protection hidden="1"/>
    </xf>
    <xf numFmtId="0" fontId="67" fillId="13" borderId="13" xfId="0" applyFont="1" applyFill="1" applyBorder="1" applyAlignment="1" applyProtection="1">
      <alignment horizontal="center" wrapText="1" readingOrder="1"/>
      <protection hidden="1"/>
    </xf>
    <xf numFmtId="0" fontId="67" fillId="11" borderId="12" xfId="0" applyFont="1" applyFill="1" applyBorder="1" applyAlignment="1" applyProtection="1">
      <alignment horizontal="center" vertical="center" wrapText="1" readingOrder="1"/>
      <protection hidden="1"/>
    </xf>
    <xf numFmtId="0" fontId="67" fillId="11" borderId="19" xfId="0" applyFont="1" applyFill="1" applyBorder="1" applyAlignment="1" applyProtection="1">
      <alignment horizontal="center" vertical="center" wrapText="1" readingOrder="1"/>
      <protection hidden="1"/>
    </xf>
    <xf numFmtId="0" fontId="67" fillId="11" borderId="13" xfId="0" applyFont="1" applyFill="1" applyBorder="1" applyAlignment="1" applyProtection="1">
      <alignment horizontal="center" vertical="center" wrapText="1" readingOrder="1"/>
      <protection hidden="1"/>
    </xf>
    <xf numFmtId="0" fontId="67" fillId="5" borderId="12" xfId="0" applyFont="1" applyFill="1" applyBorder="1" applyAlignment="1" applyProtection="1">
      <alignment horizontal="center" wrapText="1" readingOrder="1"/>
      <protection hidden="1"/>
    </xf>
    <xf numFmtId="0" fontId="67" fillId="5" borderId="19" xfId="0" applyFont="1" applyFill="1" applyBorder="1" applyAlignment="1" applyProtection="1">
      <alignment horizontal="center" wrapText="1" readingOrder="1"/>
      <protection hidden="1"/>
    </xf>
    <xf numFmtId="0" fontId="67" fillId="5" borderId="13" xfId="0" applyFont="1" applyFill="1" applyBorder="1" applyAlignment="1" applyProtection="1">
      <alignment horizontal="center" wrapText="1" readingOrder="1"/>
      <protection hidden="1"/>
    </xf>
    <xf numFmtId="0" fontId="67" fillId="5" borderId="20" xfId="0" applyFont="1" applyFill="1" applyBorder="1" applyAlignment="1">
      <alignment horizontal="center" vertical="center" wrapText="1" readingOrder="1"/>
    </xf>
    <xf numFmtId="0" fontId="67" fillId="5" borderId="21" xfId="0" applyFont="1" applyFill="1" applyBorder="1" applyAlignment="1">
      <alignment horizontal="center" vertical="center" wrapText="1" readingOrder="1"/>
    </xf>
    <xf numFmtId="0" fontId="67" fillId="5" borderId="22" xfId="0" applyFont="1" applyFill="1" applyBorder="1" applyAlignment="1">
      <alignment horizontal="center" vertical="center" wrapText="1" readingOrder="1"/>
    </xf>
    <xf numFmtId="0" fontId="67" fillId="5" borderId="23" xfId="0" applyFont="1" applyFill="1" applyBorder="1" applyAlignment="1">
      <alignment horizontal="center" vertical="center" wrapText="1" readingOrder="1"/>
    </xf>
    <xf numFmtId="0" fontId="67" fillId="5" borderId="0" xfId="0" applyFont="1" applyFill="1" applyAlignment="1">
      <alignment horizontal="center" vertical="center" wrapText="1" readingOrder="1"/>
    </xf>
    <xf numFmtId="0" fontId="67" fillId="5" borderId="24" xfId="0" applyFont="1" applyFill="1" applyBorder="1" applyAlignment="1">
      <alignment horizontal="center" vertical="center" wrapText="1" readingOrder="1"/>
    </xf>
    <xf numFmtId="0" fontId="67" fillId="5" borderId="25" xfId="0" applyFont="1" applyFill="1" applyBorder="1" applyAlignment="1">
      <alignment horizontal="center" vertical="center" wrapText="1" readingOrder="1"/>
    </xf>
    <xf numFmtId="0" fontId="67" fillId="5" borderId="26" xfId="0" applyFont="1" applyFill="1" applyBorder="1" applyAlignment="1">
      <alignment horizontal="center" vertical="center" wrapText="1" readingOrder="1"/>
    </xf>
    <xf numFmtId="0" fontId="67" fillId="5" borderId="27" xfId="0" applyFont="1" applyFill="1" applyBorder="1" applyAlignment="1">
      <alignment horizontal="center" vertical="center" wrapText="1" readingOrder="1"/>
    </xf>
    <xf numFmtId="0" fontId="67" fillId="13" borderId="20" xfId="0" applyFont="1" applyFill="1" applyBorder="1" applyAlignment="1">
      <alignment horizontal="center" vertical="center" wrapText="1" readingOrder="1"/>
    </xf>
    <xf numFmtId="0" fontId="67" fillId="13" borderId="21" xfId="0" applyFont="1" applyFill="1" applyBorder="1" applyAlignment="1">
      <alignment horizontal="center" vertical="center" wrapText="1" readingOrder="1"/>
    </xf>
    <xf numFmtId="0" fontId="67" fillId="13" borderId="22" xfId="0" applyFont="1" applyFill="1" applyBorder="1" applyAlignment="1">
      <alignment horizontal="center" vertical="center" wrapText="1" readingOrder="1"/>
    </xf>
    <xf numFmtId="0" fontId="67" fillId="13" borderId="23" xfId="0" applyFont="1" applyFill="1" applyBorder="1" applyAlignment="1">
      <alignment horizontal="center" vertical="center" wrapText="1" readingOrder="1"/>
    </xf>
    <xf numFmtId="0" fontId="67" fillId="13" borderId="0" xfId="0" applyFont="1" applyFill="1" applyAlignment="1">
      <alignment horizontal="center" vertical="center" wrapText="1" readingOrder="1"/>
    </xf>
    <xf numFmtId="0" fontId="67" fillId="13" borderId="24" xfId="0" applyFont="1" applyFill="1" applyBorder="1" applyAlignment="1">
      <alignment horizontal="center" vertical="center" wrapText="1" readingOrder="1"/>
    </xf>
    <xf numFmtId="0" fontId="67" fillId="13" borderId="25" xfId="0" applyFont="1" applyFill="1" applyBorder="1" applyAlignment="1">
      <alignment horizontal="center" vertical="center" wrapText="1" readingOrder="1"/>
    </xf>
    <xf numFmtId="0" fontId="67" fillId="13" borderId="26" xfId="0" applyFont="1" applyFill="1" applyBorder="1" applyAlignment="1">
      <alignment horizontal="center" vertical="center" wrapText="1" readingOrder="1"/>
    </xf>
    <xf numFmtId="0" fontId="67" fillId="13" borderId="27" xfId="0" applyFont="1" applyFill="1" applyBorder="1" applyAlignment="1">
      <alignment horizontal="center" vertical="center" wrapText="1" readingOrder="1"/>
    </xf>
    <xf numFmtId="0" fontId="67" fillId="11" borderId="20" xfId="0" applyFont="1" applyFill="1" applyBorder="1" applyAlignment="1">
      <alignment horizontal="center" vertical="center" wrapText="1" readingOrder="1"/>
    </xf>
    <xf numFmtId="0" fontId="67" fillId="11" borderId="21" xfId="0" applyFont="1" applyFill="1" applyBorder="1" applyAlignment="1">
      <alignment horizontal="center" vertical="center" wrapText="1" readingOrder="1"/>
    </xf>
    <xf numFmtId="0" fontId="67" fillId="11" borderId="22" xfId="0" applyFont="1" applyFill="1" applyBorder="1" applyAlignment="1">
      <alignment horizontal="center" vertical="center" wrapText="1" readingOrder="1"/>
    </xf>
    <xf numFmtId="0" fontId="67" fillId="11" borderId="23" xfId="0" applyFont="1" applyFill="1" applyBorder="1" applyAlignment="1">
      <alignment horizontal="center" vertical="center" wrapText="1" readingOrder="1"/>
    </xf>
    <xf numFmtId="0" fontId="67" fillId="11" borderId="0" xfId="0" applyFont="1" applyFill="1" applyAlignment="1">
      <alignment horizontal="center" vertical="center" wrapText="1" readingOrder="1"/>
    </xf>
    <xf numFmtId="0" fontId="67" fillId="11" borderId="24" xfId="0" applyFont="1" applyFill="1" applyBorder="1" applyAlignment="1">
      <alignment horizontal="center" vertical="center" wrapText="1" readingOrder="1"/>
    </xf>
    <xf numFmtId="0" fontId="67" fillId="11" borderId="25" xfId="0" applyFont="1" applyFill="1" applyBorder="1" applyAlignment="1">
      <alignment horizontal="center" vertical="center" wrapText="1" readingOrder="1"/>
    </xf>
    <xf numFmtId="0" fontId="67" fillId="11" borderId="26" xfId="0" applyFont="1" applyFill="1" applyBorder="1" applyAlignment="1">
      <alignment horizontal="center" vertical="center" wrapText="1" readingOrder="1"/>
    </xf>
    <xf numFmtId="0" fontId="67" fillId="11" borderId="27" xfId="0" applyFont="1" applyFill="1" applyBorder="1" applyAlignment="1">
      <alignment horizontal="center" vertical="center" wrapText="1" readingOrder="1"/>
    </xf>
    <xf numFmtId="0" fontId="67" fillId="12" borderId="20" xfId="0" applyFont="1" applyFill="1" applyBorder="1" applyAlignment="1">
      <alignment horizontal="center" vertical="center" wrapText="1" readingOrder="1"/>
    </xf>
    <xf numFmtId="0" fontId="67" fillId="12" borderId="21" xfId="0" applyFont="1" applyFill="1" applyBorder="1" applyAlignment="1">
      <alignment horizontal="center" vertical="center" wrapText="1" readingOrder="1"/>
    </xf>
    <xf numFmtId="0" fontId="67" fillId="12" borderId="22" xfId="0" applyFont="1" applyFill="1" applyBorder="1" applyAlignment="1">
      <alignment horizontal="center" vertical="center" wrapText="1" readingOrder="1"/>
    </xf>
    <xf numFmtId="0" fontId="67" fillId="12" borderId="23" xfId="0" applyFont="1" applyFill="1" applyBorder="1" applyAlignment="1">
      <alignment horizontal="center" vertical="center" wrapText="1" readingOrder="1"/>
    </xf>
    <xf numFmtId="0" fontId="67" fillId="12" borderId="0" xfId="0" applyFont="1" applyFill="1" applyAlignment="1">
      <alignment horizontal="center" vertical="center" wrapText="1" readingOrder="1"/>
    </xf>
    <xf numFmtId="0" fontId="67" fillId="12" borderId="24" xfId="0" applyFont="1" applyFill="1" applyBorder="1" applyAlignment="1">
      <alignment horizontal="center" vertical="center" wrapText="1" readingOrder="1"/>
    </xf>
    <xf numFmtId="0" fontId="67" fillId="12" borderId="25" xfId="0" applyFont="1" applyFill="1" applyBorder="1" applyAlignment="1">
      <alignment horizontal="center" vertical="center" wrapText="1" readingOrder="1"/>
    </xf>
    <xf numFmtId="0" fontId="67" fillId="12" borderId="26" xfId="0" applyFont="1" applyFill="1" applyBorder="1" applyAlignment="1">
      <alignment horizontal="center" vertical="center" wrapText="1" readingOrder="1"/>
    </xf>
    <xf numFmtId="0" fontId="67" fillId="12" borderId="27" xfId="0" applyFont="1" applyFill="1" applyBorder="1" applyAlignment="1">
      <alignment horizontal="center" vertical="center" wrapText="1" readingOrder="1"/>
    </xf>
    <xf numFmtId="0" fontId="8" fillId="0" borderId="0" xfId="0" applyFont="1" applyAlignment="1">
      <alignment horizontal="center" vertical="center" wrapText="1"/>
    </xf>
    <xf numFmtId="0" fontId="67" fillId="10" borderId="0" xfId="0" applyFont="1" applyFill="1" applyAlignment="1">
      <alignment horizontal="center" vertical="center" wrapText="1" readingOrder="1"/>
    </xf>
    <xf numFmtId="0" fontId="67" fillId="10" borderId="0" xfId="0" applyFont="1" applyFill="1" applyAlignment="1">
      <alignment horizontal="center" vertical="center" textRotation="90" wrapText="1" readingOrder="1"/>
    </xf>
    <xf numFmtId="0" fontId="67" fillId="10" borderId="15" xfId="0" applyFont="1" applyFill="1" applyBorder="1" applyAlignment="1">
      <alignment horizontal="center" vertical="center" textRotation="90" wrapText="1" readingOrder="1"/>
    </xf>
    <xf numFmtId="0" fontId="19" fillId="10" borderId="0" xfId="0" applyFont="1" applyFill="1" applyAlignment="1">
      <alignment horizontal="center" vertical="center" textRotation="90" wrapText="1" readingOrder="1"/>
    </xf>
    <xf numFmtId="0" fontId="19" fillId="10" borderId="15" xfId="0" applyFont="1" applyFill="1" applyBorder="1" applyAlignment="1">
      <alignment horizontal="center" vertical="center" textRotation="90" wrapText="1" readingOrder="1"/>
    </xf>
    <xf numFmtId="0" fontId="22" fillId="12" borderId="20" xfId="0" applyFont="1" applyFill="1" applyBorder="1" applyAlignment="1">
      <alignment horizontal="center" vertical="center" wrapText="1" readingOrder="1"/>
    </xf>
    <xf numFmtId="0" fontId="22" fillId="12" borderId="21" xfId="0" applyFont="1" applyFill="1" applyBorder="1" applyAlignment="1">
      <alignment horizontal="center" vertical="center" wrapText="1" readingOrder="1"/>
    </xf>
    <xf numFmtId="0" fontId="22" fillId="12" borderId="22" xfId="0" applyFont="1" applyFill="1" applyBorder="1" applyAlignment="1">
      <alignment horizontal="center" vertical="center" wrapText="1" readingOrder="1"/>
    </xf>
    <xf numFmtId="0" fontId="22" fillId="12" borderId="23" xfId="0" applyFont="1" applyFill="1" applyBorder="1" applyAlignment="1">
      <alignment horizontal="center" vertical="center" wrapText="1" readingOrder="1"/>
    </xf>
    <xf numFmtId="0" fontId="22" fillId="12" borderId="0" xfId="0" applyFont="1" applyFill="1" applyAlignment="1">
      <alignment horizontal="center" vertical="center" wrapText="1" readingOrder="1"/>
    </xf>
    <xf numFmtId="0" fontId="22" fillId="12" borderId="24" xfId="0" applyFont="1" applyFill="1" applyBorder="1" applyAlignment="1">
      <alignment horizontal="center" vertical="center" wrapText="1" readingOrder="1"/>
    </xf>
    <xf numFmtId="0" fontId="22" fillId="12" borderId="25" xfId="0" applyFont="1" applyFill="1" applyBorder="1" applyAlignment="1">
      <alignment horizontal="center" vertical="center" wrapText="1" readingOrder="1"/>
    </xf>
    <xf numFmtId="0" fontId="22" fillId="12" borderId="26" xfId="0" applyFont="1" applyFill="1" applyBorder="1" applyAlignment="1">
      <alignment horizontal="center" vertical="center" wrapText="1" readingOrder="1"/>
    </xf>
    <xf numFmtId="0" fontId="22" fillId="12" borderId="27" xfId="0" applyFont="1" applyFill="1" applyBorder="1" applyAlignment="1">
      <alignment horizontal="center" vertical="center" wrapText="1" readingOrder="1"/>
    </xf>
    <xf numFmtId="0" fontId="22" fillId="11" borderId="20" xfId="0" applyFont="1" applyFill="1" applyBorder="1" applyAlignment="1">
      <alignment horizontal="center" vertical="center" wrapText="1" readingOrder="1"/>
    </xf>
    <xf numFmtId="0" fontId="22" fillId="11" borderId="21" xfId="0" applyFont="1" applyFill="1" applyBorder="1" applyAlignment="1">
      <alignment horizontal="center" vertical="center" wrapText="1" readingOrder="1"/>
    </xf>
    <xf numFmtId="0" fontId="22" fillId="11" borderId="22" xfId="0" applyFont="1" applyFill="1" applyBorder="1" applyAlignment="1">
      <alignment horizontal="center" vertical="center" wrapText="1" readingOrder="1"/>
    </xf>
    <xf numFmtId="0" fontId="22" fillId="11" borderId="23" xfId="0" applyFont="1" applyFill="1" applyBorder="1" applyAlignment="1">
      <alignment horizontal="center" vertical="center" wrapText="1" readingOrder="1"/>
    </xf>
    <xf numFmtId="0" fontId="22" fillId="11" borderId="0" xfId="0" applyFont="1" applyFill="1" applyAlignment="1">
      <alignment horizontal="center" vertical="center" wrapText="1" readingOrder="1"/>
    </xf>
    <xf numFmtId="0" fontId="22" fillId="11" borderId="24" xfId="0" applyFont="1" applyFill="1" applyBorder="1" applyAlignment="1">
      <alignment horizontal="center" vertical="center" wrapText="1" readingOrder="1"/>
    </xf>
    <xf numFmtId="0" fontId="22" fillId="11" borderId="25" xfId="0" applyFont="1" applyFill="1" applyBorder="1" applyAlignment="1">
      <alignment horizontal="center" vertical="center" wrapText="1" readingOrder="1"/>
    </xf>
    <xf numFmtId="0" fontId="22" fillId="11" borderId="26" xfId="0" applyFont="1" applyFill="1" applyBorder="1" applyAlignment="1">
      <alignment horizontal="center" vertical="center" wrapText="1" readingOrder="1"/>
    </xf>
    <xf numFmtId="0" fontId="22" fillId="11" borderId="27" xfId="0" applyFont="1" applyFill="1" applyBorder="1" applyAlignment="1">
      <alignment horizontal="center" vertical="center" wrapText="1" readingOrder="1"/>
    </xf>
    <xf numFmtId="0" fontId="22" fillId="13" borderId="20" xfId="0" applyFont="1" applyFill="1" applyBorder="1" applyAlignment="1">
      <alignment horizontal="center" vertical="center" wrapText="1" readingOrder="1"/>
    </xf>
    <xf numFmtId="0" fontId="22" fillId="13" borderId="21" xfId="0" applyFont="1" applyFill="1" applyBorder="1" applyAlignment="1">
      <alignment horizontal="center" vertical="center" wrapText="1" readingOrder="1"/>
    </xf>
    <xf numFmtId="0" fontId="22" fillId="13" borderId="22" xfId="0" applyFont="1" applyFill="1" applyBorder="1" applyAlignment="1">
      <alignment horizontal="center" vertical="center" wrapText="1" readingOrder="1"/>
    </xf>
    <xf numFmtId="0" fontId="22" fillId="13" borderId="23" xfId="0" applyFont="1" applyFill="1" applyBorder="1" applyAlignment="1">
      <alignment horizontal="center" vertical="center" wrapText="1" readingOrder="1"/>
    </xf>
    <xf numFmtId="0" fontId="22" fillId="13" borderId="0" xfId="0" applyFont="1" applyFill="1" applyAlignment="1">
      <alignment horizontal="center" vertical="center" wrapText="1" readingOrder="1"/>
    </xf>
    <xf numFmtId="0" fontId="22" fillId="13" borderId="24" xfId="0" applyFont="1" applyFill="1" applyBorder="1" applyAlignment="1">
      <alignment horizontal="center" vertical="center" wrapText="1" readingOrder="1"/>
    </xf>
    <xf numFmtId="0" fontId="22" fillId="13" borderId="25" xfId="0" applyFont="1" applyFill="1" applyBorder="1" applyAlignment="1">
      <alignment horizontal="center" vertical="center" wrapText="1" readingOrder="1"/>
    </xf>
    <xf numFmtId="0" fontId="22" fillId="13" borderId="26" xfId="0" applyFont="1" applyFill="1" applyBorder="1" applyAlignment="1">
      <alignment horizontal="center" vertical="center" wrapText="1" readingOrder="1"/>
    </xf>
    <xf numFmtId="0" fontId="22" fillId="13" borderId="27" xfId="0" applyFont="1" applyFill="1" applyBorder="1" applyAlignment="1">
      <alignment horizontal="center" vertical="center" wrapText="1" readingOrder="1"/>
    </xf>
    <xf numFmtId="0" fontId="22" fillId="5" borderId="20" xfId="0" applyFont="1" applyFill="1" applyBorder="1" applyAlignment="1">
      <alignment horizontal="center" vertical="center" wrapText="1" readingOrder="1"/>
    </xf>
    <xf numFmtId="0" fontId="22" fillId="5" borderId="21" xfId="0" applyFont="1" applyFill="1" applyBorder="1" applyAlignment="1">
      <alignment horizontal="center" vertical="center" wrapText="1" readingOrder="1"/>
    </xf>
    <xf numFmtId="0" fontId="22" fillId="5" borderId="22" xfId="0" applyFont="1" applyFill="1" applyBorder="1" applyAlignment="1">
      <alignment horizontal="center" vertical="center" wrapText="1" readingOrder="1"/>
    </xf>
    <xf numFmtId="0" fontId="22" fillId="5" borderId="23" xfId="0" applyFont="1" applyFill="1" applyBorder="1" applyAlignment="1">
      <alignment horizontal="center" vertical="center" wrapText="1" readingOrder="1"/>
    </xf>
    <xf numFmtId="0" fontId="22" fillId="5" borderId="0" xfId="0" applyFont="1" applyFill="1" applyAlignment="1">
      <alignment horizontal="center" vertical="center" wrapText="1" readingOrder="1"/>
    </xf>
    <xf numFmtId="0" fontId="22" fillId="5" borderId="24" xfId="0" applyFont="1" applyFill="1" applyBorder="1" applyAlignment="1">
      <alignment horizontal="center" vertical="center" wrapText="1" readingOrder="1"/>
    </xf>
    <xf numFmtId="0" fontId="22" fillId="5" borderId="25" xfId="0" applyFont="1" applyFill="1" applyBorder="1" applyAlignment="1">
      <alignment horizontal="center" vertical="center" wrapText="1" readingOrder="1"/>
    </xf>
    <xf numFmtId="0" fontId="22" fillId="5" borderId="26" xfId="0" applyFont="1" applyFill="1" applyBorder="1" applyAlignment="1">
      <alignment horizontal="center" vertical="center" wrapText="1" readingOrder="1"/>
    </xf>
    <xf numFmtId="0" fontId="22" fillId="5" borderId="27" xfId="0" applyFont="1" applyFill="1" applyBorder="1" applyAlignment="1">
      <alignment horizontal="center" vertical="center" wrapText="1" readingOrder="1"/>
    </xf>
    <xf numFmtId="0" fontId="18" fillId="0" borderId="12" xfId="0" applyFont="1" applyBorder="1" applyAlignment="1">
      <alignment horizontal="center" vertical="center" wrapText="1"/>
    </xf>
    <xf numFmtId="0" fontId="18" fillId="0" borderId="19"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17" xfId="0" applyFont="1" applyBorder="1" applyAlignment="1">
      <alignment horizontal="center" vertical="center"/>
    </xf>
    <xf numFmtId="0" fontId="21" fillId="11" borderId="0" xfId="0" applyFont="1" applyFill="1" applyAlignment="1" applyProtection="1">
      <alignment horizontal="center" vertical="center" wrapText="1" readingOrder="1"/>
      <protection hidden="1"/>
    </xf>
    <xf numFmtId="0" fontId="21" fillId="11" borderId="15" xfId="0" applyFont="1" applyFill="1" applyBorder="1" applyAlignment="1" applyProtection="1">
      <alignment horizontal="center" vertical="center" wrapText="1" readingOrder="1"/>
      <protection hidden="1"/>
    </xf>
    <xf numFmtId="0" fontId="21" fillId="11" borderId="12" xfId="0" applyFont="1" applyFill="1" applyBorder="1" applyAlignment="1" applyProtection="1">
      <alignment horizontal="center" vertical="center" wrapText="1" readingOrder="1"/>
      <protection hidden="1"/>
    </xf>
    <xf numFmtId="0" fontId="21" fillId="11" borderId="19" xfId="0" applyFont="1" applyFill="1" applyBorder="1" applyAlignment="1" applyProtection="1">
      <alignment horizontal="center" vertical="center" wrapText="1" readingOrder="1"/>
      <protection hidden="1"/>
    </xf>
    <xf numFmtId="0" fontId="21" fillId="11" borderId="14" xfId="0" applyFont="1" applyFill="1" applyBorder="1" applyAlignment="1" applyProtection="1">
      <alignment horizontal="center" vertical="center" wrapText="1" readingOrder="1"/>
      <protection hidden="1"/>
    </xf>
    <xf numFmtId="0" fontId="21" fillId="11" borderId="13" xfId="0" applyFont="1" applyFill="1" applyBorder="1" applyAlignment="1" applyProtection="1">
      <alignment horizontal="center" vertical="center" wrapText="1" readingOrder="1"/>
      <protection hidden="1"/>
    </xf>
    <xf numFmtId="0" fontId="19" fillId="10" borderId="0" xfId="0" applyFont="1" applyFill="1" applyAlignment="1">
      <alignment horizontal="center" vertical="center" wrapText="1" readingOrder="1"/>
    </xf>
    <xf numFmtId="0" fontId="18" fillId="0" borderId="19" xfId="0" applyFont="1" applyBorder="1" applyAlignment="1">
      <alignment horizontal="center" vertical="center" wrapText="1"/>
    </xf>
    <xf numFmtId="0" fontId="21" fillId="11" borderId="16" xfId="0" applyFont="1" applyFill="1" applyBorder="1" applyAlignment="1" applyProtection="1">
      <alignment horizontal="center" vertical="center" wrapText="1" readingOrder="1"/>
      <protection hidden="1"/>
    </xf>
    <xf numFmtId="0" fontId="21" fillId="11" borderId="18" xfId="0" applyFont="1" applyFill="1" applyBorder="1" applyAlignment="1" applyProtection="1">
      <alignment horizontal="center" vertical="center" wrapText="1" readingOrder="1"/>
      <protection hidden="1"/>
    </xf>
    <xf numFmtId="0" fontId="21" fillId="11" borderId="17" xfId="0" applyFont="1" applyFill="1" applyBorder="1" applyAlignment="1" applyProtection="1">
      <alignment horizontal="center" vertical="center" wrapText="1" readingOrder="1"/>
      <protection hidden="1"/>
    </xf>
    <xf numFmtId="0" fontId="21" fillId="12" borderId="14" xfId="0" applyFont="1" applyFill="1" applyBorder="1" applyAlignment="1" applyProtection="1">
      <alignment horizontal="center" wrapText="1" readingOrder="1"/>
      <protection hidden="1"/>
    </xf>
    <xf numFmtId="0" fontId="21" fillId="12" borderId="0" xfId="0" applyFont="1" applyFill="1" applyAlignment="1" applyProtection="1">
      <alignment horizontal="center" wrapText="1" readingOrder="1"/>
      <protection hidden="1"/>
    </xf>
    <xf numFmtId="0" fontId="21" fillId="12" borderId="15" xfId="0" applyFont="1" applyFill="1" applyBorder="1" applyAlignment="1" applyProtection="1">
      <alignment horizontal="center" wrapText="1" readingOrder="1"/>
      <protection hidden="1"/>
    </xf>
    <xf numFmtId="0" fontId="21" fillId="12" borderId="16" xfId="0" applyFont="1" applyFill="1" applyBorder="1" applyAlignment="1" applyProtection="1">
      <alignment horizontal="center" wrapText="1" readingOrder="1"/>
      <protection hidden="1"/>
    </xf>
    <xf numFmtId="0" fontId="21" fillId="12" borderId="18" xfId="0" applyFont="1" applyFill="1" applyBorder="1" applyAlignment="1" applyProtection="1">
      <alignment horizontal="center" wrapText="1" readingOrder="1"/>
      <protection hidden="1"/>
    </xf>
    <xf numFmtId="0" fontId="21" fillId="12" borderId="17" xfId="0" applyFont="1" applyFill="1" applyBorder="1" applyAlignment="1" applyProtection="1">
      <alignment horizontal="center" wrapText="1" readingOrder="1"/>
      <protection hidden="1"/>
    </xf>
    <xf numFmtId="0" fontId="21" fillId="12" borderId="12" xfId="0" applyFont="1" applyFill="1" applyBorder="1" applyAlignment="1" applyProtection="1">
      <alignment horizontal="center" wrapText="1" readingOrder="1"/>
      <protection hidden="1"/>
    </xf>
    <xf numFmtId="0" fontId="21" fillId="12" borderId="19" xfId="0" applyFont="1" applyFill="1" applyBorder="1" applyAlignment="1" applyProtection="1">
      <alignment horizontal="center" wrapText="1" readingOrder="1"/>
      <protection hidden="1"/>
    </xf>
    <xf numFmtId="0" fontId="21" fillId="12" borderId="13" xfId="0" applyFont="1" applyFill="1" applyBorder="1" applyAlignment="1" applyProtection="1">
      <alignment horizontal="center" wrapText="1" readingOrder="1"/>
      <protection hidden="1"/>
    </xf>
    <xf numFmtId="0" fontId="21" fillId="13" borderId="14" xfId="0" applyFont="1" applyFill="1" applyBorder="1" applyAlignment="1" applyProtection="1">
      <alignment horizontal="center" wrapText="1" readingOrder="1"/>
      <protection hidden="1"/>
    </xf>
    <xf numFmtId="0" fontId="21" fillId="13" borderId="0" xfId="0" applyFont="1" applyFill="1" applyAlignment="1" applyProtection="1">
      <alignment horizontal="center" wrapText="1" readingOrder="1"/>
      <protection hidden="1"/>
    </xf>
    <xf numFmtId="0" fontId="21" fillId="13" borderId="15" xfId="0" applyFont="1" applyFill="1" applyBorder="1" applyAlignment="1" applyProtection="1">
      <alignment horizontal="center" wrapText="1" readingOrder="1"/>
      <protection hidden="1"/>
    </xf>
    <xf numFmtId="0" fontId="21" fillId="13" borderId="16" xfId="0" applyFont="1" applyFill="1" applyBorder="1" applyAlignment="1" applyProtection="1">
      <alignment horizontal="center" wrapText="1" readingOrder="1"/>
      <protection hidden="1"/>
    </xf>
    <xf numFmtId="0" fontId="21" fillId="13" borderId="18" xfId="0" applyFont="1" applyFill="1" applyBorder="1" applyAlignment="1" applyProtection="1">
      <alignment horizontal="center" wrapText="1" readingOrder="1"/>
      <protection hidden="1"/>
    </xf>
    <xf numFmtId="0" fontId="21" fillId="13" borderId="17" xfId="0" applyFont="1" applyFill="1" applyBorder="1" applyAlignment="1" applyProtection="1">
      <alignment horizontal="center" wrapText="1" readingOrder="1"/>
      <protection hidden="1"/>
    </xf>
    <xf numFmtId="0" fontId="21" fillId="13" borderId="12" xfId="0" applyFont="1" applyFill="1" applyBorder="1" applyAlignment="1" applyProtection="1">
      <alignment horizontal="center" wrapText="1" readingOrder="1"/>
      <protection hidden="1"/>
    </xf>
    <xf numFmtId="0" fontId="21" fillId="13" borderId="19" xfId="0" applyFont="1" applyFill="1" applyBorder="1" applyAlignment="1" applyProtection="1">
      <alignment horizontal="center" wrapText="1" readingOrder="1"/>
      <protection hidden="1"/>
    </xf>
    <xf numFmtId="0" fontId="21" fillId="13" borderId="13" xfId="0" applyFont="1" applyFill="1" applyBorder="1" applyAlignment="1" applyProtection="1">
      <alignment horizontal="center" wrapText="1" readingOrder="1"/>
      <protection hidden="1"/>
    </xf>
    <xf numFmtId="0" fontId="21" fillId="5" borderId="0" xfId="0" applyFont="1" applyFill="1" applyAlignment="1" applyProtection="1">
      <alignment horizontal="center" wrapText="1" readingOrder="1"/>
      <protection hidden="1"/>
    </xf>
    <xf numFmtId="0" fontId="21" fillId="5" borderId="15" xfId="0" applyFont="1" applyFill="1" applyBorder="1" applyAlignment="1" applyProtection="1">
      <alignment horizontal="center" wrapText="1" readingOrder="1"/>
      <protection hidden="1"/>
    </xf>
    <xf numFmtId="0" fontId="21" fillId="5" borderId="14" xfId="0" applyFont="1" applyFill="1" applyBorder="1" applyAlignment="1" applyProtection="1">
      <alignment horizontal="center" wrapText="1" readingOrder="1"/>
      <protection hidden="1"/>
    </xf>
    <xf numFmtId="0" fontId="21" fillId="5" borderId="16" xfId="0" applyFont="1" applyFill="1" applyBorder="1" applyAlignment="1" applyProtection="1">
      <alignment horizontal="center" wrapText="1" readingOrder="1"/>
      <protection hidden="1"/>
    </xf>
    <xf numFmtId="0" fontId="21" fillId="5" borderId="18" xfId="0" applyFont="1" applyFill="1" applyBorder="1" applyAlignment="1" applyProtection="1">
      <alignment horizontal="center" wrapText="1" readingOrder="1"/>
      <protection hidden="1"/>
    </xf>
    <xf numFmtId="0" fontId="21" fillId="5" borderId="17" xfId="0" applyFont="1" applyFill="1" applyBorder="1" applyAlignment="1" applyProtection="1">
      <alignment horizontal="center" wrapText="1" readingOrder="1"/>
      <protection hidden="1"/>
    </xf>
    <xf numFmtId="0" fontId="21" fillId="5" borderId="12" xfId="0" applyFont="1" applyFill="1" applyBorder="1" applyAlignment="1" applyProtection="1">
      <alignment horizontal="center" wrapText="1" readingOrder="1"/>
      <protection hidden="1"/>
    </xf>
    <xf numFmtId="0" fontId="21" fillId="5" borderId="19" xfId="0" applyFont="1" applyFill="1" applyBorder="1" applyAlignment="1" applyProtection="1">
      <alignment horizontal="center" wrapText="1" readingOrder="1"/>
      <protection hidden="1"/>
    </xf>
    <xf numFmtId="0" fontId="21" fillId="5" borderId="13" xfId="0" applyFont="1" applyFill="1" applyBorder="1" applyAlignment="1" applyProtection="1">
      <alignment horizontal="center" wrapText="1" readingOrder="1"/>
      <protection hidden="1"/>
    </xf>
    <xf numFmtId="0" fontId="26" fillId="0" borderId="0" xfId="0" applyFont="1" applyAlignment="1">
      <alignment horizontal="center" vertical="center" wrapText="1"/>
    </xf>
    <xf numFmtId="0" fontId="43" fillId="11" borderId="20" xfId="0" applyFont="1" applyFill="1" applyBorder="1" applyAlignment="1">
      <alignment horizontal="center" vertical="center" wrapText="1" readingOrder="1"/>
    </xf>
    <xf numFmtId="0" fontId="43" fillId="11" borderId="21" xfId="0" applyFont="1" applyFill="1" applyBorder="1" applyAlignment="1">
      <alignment horizontal="center" vertical="center" wrapText="1" readingOrder="1"/>
    </xf>
    <xf numFmtId="0" fontId="43" fillId="11" borderId="22" xfId="0" applyFont="1" applyFill="1" applyBorder="1" applyAlignment="1">
      <alignment horizontal="center" vertical="center" wrapText="1" readingOrder="1"/>
    </xf>
    <xf numFmtId="0" fontId="43" fillId="11" borderId="23" xfId="0" applyFont="1" applyFill="1" applyBorder="1" applyAlignment="1">
      <alignment horizontal="center" vertical="center" wrapText="1" readingOrder="1"/>
    </xf>
    <xf numFmtId="0" fontId="43" fillId="11" borderId="0" xfId="0" applyFont="1" applyFill="1" applyAlignment="1">
      <alignment horizontal="center" vertical="center" wrapText="1" readingOrder="1"/>
    </xf>
    <xf numFmtId="0" fontId="43" fillId="11" borderId="24" xfId="0" applyFont="1" applyFill="1" applyBorder="1" applyAlignment="1">
      <alignment horizontal="center" vertical="center" wrapText="1" readingOrder="1"/>
    </xf>
    <xf numFmtId="0" fontId="43" fillId="11" borderId="25" xfId="0" applyFont="1" applyFill="1" applyBorder="1" applyAlignment="1">
      <alignment horizontal="center" vertical="center" wrapText="1" readingOrder="1"/>
    </xf>
    <xf numFmtId="0" fontId="43" fillId="11" borderId="26" xfId="0" applyFont="1" applyFill="1" applyBorder="1" applyAlignment="1">
      <alignment horizontal="center" vertical="center" wrapText="1" readingOrder="1"/>
    </xf>
    <xf numFmtId="0" fontId="43" fillId="11" borderId="27" xfId="0" applyFont="1" applyFill="1" applyBorder="1" applyAlignment="1">
      <alignment horizontal="center" vertical="center" wrapText="1" readingOrder="1"/>
    </xf>
    <xf numFmtId="0" fontId="44" fillId="0" borderId="12" xfId="0" applyFont="1" applyBorder="1" applyAlignment="1">
      <alignment horizontal="center" vertical="center" wrapText="1"/>
    </xf>
    <xf numFmtId="0" fontId="44" fillId="0" borderId="19" xfId="0" applyFont="1" applyBorder="1" applyAlignment="1">
      <alignment horizontal="center" vertical="center"/>
    </xf>
    <xf numFmtId="0" fontId="44" fillId="0" borderId="14" xfId="0" applyFont="1" applyBorder="1" applyAlignment="1">
      <alignment horizontal="center" vertical="center" wrapText="1"/>
    </xf>
    <xf numFmtId="0" fontId="44" fillId="0" borderId="0" xfId="0" applyFont="1" applyAlignment="1">
      <alignment horizontal="center" vertical="center"/>
    </xf>
    <xf numFmtId="0" fontId="44" fillId="0" borderId="14" xfId="0" applyFont="1" applyBorder="1" applyAlignment="1">
      <alignment horizontal="center" vertical="center"/>
    </xf>
    <xf numFmtId="0" fontId="44" fillId="0" borderId="16" xfId="0" applyFont="1" applyBorder="1" applyAlignment="1">
      <alignment horizontal="center" vertical="center"/>
    </xf>
    <xf numFmtId="0" fontId="44" fillId="0" borderId="18" xfId="0" applyFont="1" applyBorder="1" applyAlignment="1">
      <alignment horizontal="center" vertical="center"/>
    </xf>
    <xf numFmtId="0" fontId="43" fillId="12" borderId="20" xfId="0" applyFont="1" applyFill="1" applyBorder="1" applyAlignment="1">
      <alignment horizontal="center" vertical="center" wrapText="1" readingOrder="1"/>
    </xf>
    <xf numFmtId="0" fontId="43" fillId="12" borderId="21" xfId="0" applyFont="1" applyFill="1" applyBorder="1" applyAlignment="1">
      <alignment horizontal="center" vertical="center" wrapText="1" readingOrder="1"/>
    </xf>
    <xf numFmtId="0" fontId="43" fillId="12" borderId="22" xfId="0" applyFont="1" applyFill="1" applyBorder="1" applyAlignment="1">
      <alignment horizontal="center" vertical="center" wrapText="1" readingOrder="1"/>
    </xf>
    <xf numFmtId="0" fontId="43" fillId="12" borderId="23" xfId="0" applyFont="1" applyFill="1" applyBorder="1" applyAlignment="1">
      <alignment horizontal="center" vertical="center" wrapText="1" readingOrder="1"/>
    </xf>
    <xf numFmtId="0" fontId="43" fillId="12" borderId="0" xfId="0" applyFont="1" applyFill="1" applyAlignment="1">
      <alignment horizontal="center" vertical="center" wrapText="1" readingOrder="1"/>
    </xf>
    <xf numFmtId="0" fontId="43" fillId="12" borderId="24" xfId="0" applyFont="1" applyFill="1" applyBorder="1" applyAlignment="1">
      <alignment horizontal="center" vertical="center" wrapText="1" readingOrder="1"/>
    </xf>
    <xf numFmtId="0" fontId="43" fillId="12" borderId="25" xfId="0" applyFont="1" applyFill="1" applyBorder="1" applyAlignment="1">
      <alignment horizontal="center" vertical="center" wrapText="1" readingOrder="1"/>
    </xf>
    <xf numFmtId="0" fontId="43" fillId="12" borderId="26" xfId="0" applyFont="1" applyFill="1" applyBorder="1" applyAlignment="1">
      <alignment horizontal="center" vertical="center" wrapText="1" readingOrder="1"/>
    </xf>
    <xf numFmtId="0" fontId="43" fillId="12" borderId="27" xfId="0" applyFont="1" applyFill="1" applyBorder="1" applyAlignment="1">
      <alignment horizontal="center" vertical="center" wrapText="1" readingOrder="1"/>
    </xf>
    <xf numFmtId="0" fontId="42" fillId="0" borderId="0" xfId="0" applyFont="1" applyAlignment="1">
      <alignment horizontal="center" vertical="center" wrapText="1"/>
    </xf>
    <xf numFmtId="0" fontId="23" fillId="0" borderId="0" xfId="0" applyFont="1" applyAlignment="1">
      <alignment horizontal="center" vertical="center" wrapText="1"/>
    </xf>
    <xf numFmtId="0" fontId="44" fillId="0" borderId="13" xfId="0" applyFont="1" applyBorder="1" applyAlignment="1">
      <alignment horizontal="center" vertical="center"/>
    </xf>
    <xf numFmtId="0" fontId="44" fillId="0" borderId="15" xfId="0" applyFont="1" applyBorder="1" applyAlignment="1">
      <alignment horizontal="center" vertical="center"/>
    </xf>
    <xf numFmtId="0" fontId="44" fillId="0" borderId="17" xfId="0" applyFont="1" applyBorder="1" applyAlignment="1">
      <alignment horizontal="center" vertical="center"/>
    </xf>
    <xf numFmtId="0" fontId="43" fillId="5" borderId="20" xfId="0" applyFont="1" applyFill="1" applyBorder="1" applyAlignment="1">
      <alignment horizontal="center" vertical="center" wrapText="1" readingOrder="1"/>
    </xf>
    <xf numFmtId="0" fontId="43" fillId="5" borderId="21" xfId="0" applyFont="1" applyFill="1" applyBorder="1" applyAlignment="1">
      <alignment horizontal="center" vertical="center" wrapText="1" readingOrder="1"/>
    </xf>
    <xf numFmtId="0" fontId="43" fillId="5" borderId="22" xfId="0" applyFont="1" applyFill="1" applyBorder="1" applyAlignment="1">
      <alignment horizontal="center" vertical="center" wrapText="1" readingOrder="1"/>
    </xf>
    <xf numFmtId="0" fontId="43" fillId="5" borderId="23" xfId="0" applyFont="1" applyFill="1" applyBorder="1" applyAlignment="1">
      <alignment horizontal="center" vertical="center" wrapText="1" readingOrder="1"/>
    </xf>
    <xf numFmtId="0" fontId="43" fillId="5" borderId="0" xfId="0" applyFont="1" applyFill="1" applyAlignment="1">
      <alignment horizontal="center" vertical="center" wrapText="1" readingOrder="1"/>
    </xf>
    <xf numFmtId="0" fontId="43" fillId="5" borderId="24" xfId="0" applyFont="1" applyFill="1" applyBorder="1" applyAlignment="1">
      <alignment horizontal="center" vertical="center" wrapText="1" readingOrder="1"/>
    </xf>
    <xf numFmtId="0" fontId="43" fillId="5" borderId="25" xfId="0" applyFont="1" applyFill="1" applyBorder="1" applyAlignment="1">
      <alignment horizontal="center" vertical="center" wrapText="1" readingOrder="1"/>
    </xf>
    <xf numFmtId="0" fontId="43" fillId="5" borderId="26" xfId="0" applyFont="1" applyFill="1" applyBorder="1" applyAlignment="1">
      <alignment horizontal="center" vertical="center" wrapText="1" readingOrder="1"/>
    </xf>
    <xf numFmtId="0" fontId="43" fillId="5" borderId="27" xfId="0" applyFont="1" applyFill="1" applyBorder="1" applyAlignment="1">
      <alignment horizontal="center" vertical="center" wrapText="1" readingOrder="1"/>
    </xf>
    <xf numFmtId="0" fontId="43" fillId="13" borderId="20" xfId="0" applyFont="1" applyFill="1" applyBorder="1" applyAlignment="1">
      <alignment horizontal="center" vertical="center" wrapText="1" readingOrder="1"/>
    </xf>
    <xf numFmtId="0" fontId="43" fillId="13" borderId="21" xfId="0" applyFont="1" applyFill="1" applyBorder="1" applyAlignment="1">
      <alignment horizontal="center" vertical="center" wrapText="1" readingOrder="1"/>
    </xf>
    <xf numFmtId="0" fontId="43" fillId="13" borderId="22" xfId="0" applyFont="1" applyFill="1" applyBorder="1" applyAlignment="1">
      <alignment horizontal="center" vertical="center" wrapText="1" readingOrder="1"/>
    </xf>
    <xf numFmtId="0" fontId="43" fillId="13" borderId="23" xfId="0" applyFont="1" applyFill="1" applyBorder="1" applyAlignment="1">
      <alignment horizontal="center" vertical="center" wrapText="1" readingOrder="1"/>
    </xf>
    <xf numFmtId="0" fontId="43" fillId="13" borderId="0" xfId="0" applyFont="1" applyFill="1" applyAlignment="1">
      <alignment horizontal="center" vertical="center" wrapText="1" readingOrder="1"/>
    </xf>
    <xf numFmtId="0" fontId="43" fillId="13" borderId="24" xfId="0" applyFont="1" applyFill="1" applyBorder="1" applyAlignment="1">
      <alignment horizontal="center" vertical="center" wrapText="1" readingOrder="1"/>
    </xf>
    <xf numFmtId="0" fontId="43" fillId="13" borderId="25" xfId="0" applyFont="1" applyFill="1" applyBorder="1" applyAlignment="1">
      <alignment horizontal="center" vertical="center" wrapText="1" readingOrder="1"/>
    </xf>
    <xf numFmtId="0" fontId="43" fillId="13" borderId="26" xfId="0" applyFont="1" applyFill="1" applyBorder="1" applyAlignment="1">
      <alignment horizontal="center" vertical="center" wrapText="1" readingOrder="1"/>
    </xf>
    <xf numFmtId="0" fontId="43" fillId="13" borderId="27" xfId="0" applyFont="1" applyFill="1" applyBorder="1" applyAlignment="1">
      <alignment horizontal="center" vertical="center" wrapText="1" readingOrder="1"/>
    </xf>
    <xf numFmtId="0" fontId="44" fillId="0" borderId="19" xfId="0" applyFont="1" applyBorder="1" applyAlignment="1">
      <alignment horizontal="center" vertical="center" wrapText="1"/>
    </xf>
  </cellXfs>
  <cellStyles count="10">
    <cellStyle name="Normal" xfId="0" builtinId="0"/>
    <cellStyle name="Normal - Style1 2" xfId="2" xr:uid="{00000000-0005-0000-0000-000001000000}"/>
    <cellStyle name="Normal 2" xfId="4" xr:uid="{00000000-0005-0000-0000-000002000000}"/>
    <cellStyle name="Normal 2 2" xfId="3" xr:uid="{00000000-0005-0000-0000-000003000000}"/>
    <cellStyle name="Normal 2 2 2" xfId="9" xr:uid="{DBC6E30D-B827-49F8-9F67-F793FA05DB5C}"/>
    <cellStyle name="Normal 2 3" xfId="8" xr:uid="{07F75124-D312-437A-873A-8DCBB2E15F36}"/>
    <cellStyle name="Normal 3" xfId="5" xr:uid="{DFA18A79-254A-413C-8C4B-2715BD1AEEAC}"/>
    <cellStyle name="Normal 4" xfId="6" xr:uid="{0E8A7CE8-7BD7-441B-9630-F92C4A9151A4}"/>
    <cellStyle name="Porcentaje" xfId="1" builtinId="5"/>
    <cellStyle name="Porcentaje 2" xfId="7" xr:uid="{4A569535-748C-4C32-B34D-6D5EC54CC559}"/>
  </cellStyles>
  <dxfs count="277">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FFFF00"/>
        </patternFill>
      </fill>
    </dxf>
    <dxf>
      <fill>
        <patternFill>
          <bgColor theme="9" tint="0.59996337778862885"/>
        </patternFill>
      </fill>
    </dxf>
    <dxf>
      <fill>
        <patternFill>
          <bgColor theme="2" tint="-0.24994659260841701"/>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2" tint="-0.24994659260841701"/>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9" tint="-0.24994659260841701"/>
        </patternFill>
      </fill>
    </dxf>
    <dxf>
      <fill>
        <patternFill>
          <bgColor rgb="FFFF0000"/>
        </patternFill>
      </fill>
    </dxf>
    <dxf>
      <fill>
        <patternFill>
          <bgColor theme="6"/>
        </patternFill>
      </fill>
    </dxf>
    <dxf>
      <fill>
        <patternFill>
          <bgColor rgb="FFFFFF00"/>
        </patternFill>
      </fill>
    </dxf>
    <dxf>
      <fill>
        <patternFill>
          <bgColor theme="6"/>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rgb="FF9C0006"/>
      </font>
      <fill>
        <patternFill>
          <bgColor rgb="FFFFC7CE"/>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colors>
    <mruColors>
      <color rgb="FFEA6216"/>
      <color rgb="FFFFFF66"/>
      <color rgb="FFFFCC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 Id="rId30" Type="http://schemas.microsoft.com/office/2017/06/relationships/rdRichValueStructure" Target="richData/rdrichvaluestructure.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Matriz Calor Inherente'!A1"/><Relationship Id="rId13" Type="http://schemas.openxmlformats.org/officeDocument/2006/relationships/image" Target="../media/image2.emf"/><Relationship Id="rId3" Type="http://schemas.openxmlformats.org/officeDocument/2006/relationships/hyperlink" Target="#'Riesg de gesti&#243;n'!A1"/><Relationship Id="rId7" Type="http://schemas.openxmlformats.org/officeDocument/2006/relationships/hyperlink" Target="#'Datos del proceso'!A1"/><Relationship Id="rId12" Type="http://schemas.openxmlformats.org/officeDocument/2006/relationships/hyperlink" Target="#'Tabla Valoraci&#243;n controles'!A1"/><Relationship Id="rId2" Type="http://schemas.openxmlformats.org/officeDocument/2006/relationships/hyperlink" Target="#Intructivo!A1"/><Relationship Id="rId1" Type="http://schemas.openxmlformats.org/officeDocument/2006/relationships/image" Target="../media/image1.jpeg"/><Relationship Id="rId6" Type="http://schemas.openxmlformats.org/officeDocument/2006/relationships/hyperlink" Target="#SARLAF!A1"/><Relationship Id="rId11" Type="http://schemas.openxmlformats.org/officeDocument/2006/relationships/hyperlink" Target="#'Tabla Impacto'!A1"/><Relationship Id="rId5" Type="http://schemas.openxmlformats.org/officeDocument/2006/relationships/hyperlink" Target="#'Riesgos de segInf'!A1"/><Relationship Id="rId10" Type="http://schemas.openxmlformats.org/officeDocument/2006/relationships/hyperlink" Target="#'Tabla probabilidad'!A1"/><Relationship Id="rId4" Type="http://schemas.openxmlformats.org/officeDocument/2006/relationships/hyperlink" Target="#'R.corrupci&#243;n financiera'!A1"/><Relationship Id="rId9" Type="http://schemas.openxmlformats.org/officeDocument/2006/relationships/hyperlink" Target="#'Matriz Calor Residual'!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hyperlink" Target="#Portada!A1"/><Relationship Id="rId6" Type="http://schemas.openxmlformats.org/officeDocument/2006/relationships/image" Target="../media/image2.emf"/><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7.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8.jpe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2.emf"/><Relationship Id="rId5" Type="http://schemas.openxmlformats.org/officeDocument/2006/relationships/image" Target="../media/image12.jpeg"/><Relationship Id="rId4" Type="http://schemas.openxmlformats.org/officeDocument/2006/relationships/hyperlink" Target="#Portada!A1"/></Relationships>
</file>

<file path=xl/drawings/_rels/drawing7.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8.jpe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7.png"/><Relationship Id="rId4" Type="http://schemas.openxmlformats.org/officeDocument/2006/relationships/hyperlink" Target="#Portada!A1"/></Relationships>
</file>

<file path=xl/drawings/_rels/drawing9.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3.jpe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1</xdr:col>
      <xdr:colOff>754065</xdr:colOff>
      <xdr:row>5</xdr:row>
      <xdr:rowOff>17196</xdr:rowOff>
    </xdr:from>
    <xdr:to>
      <xdr:col>4</xdr:col>
      <xdr:colOff>10582</xdr:colOff>
      <xdr:row>11</xdr:row>
      <xdr:rowOff>137150</xdr:rowOff>
    </xdr:to>
    <xdr:pic>
      <xdr:nvPicPr>
        <xdr:cNvPr id="15" name="Imagen 14">
          <a:extLst>
            <a:ext uri="{FF2B5EF4-FFF2-40B4-BE49-F238E27FC236}">
              <a16:creationId xmlns:a16="http://schemas.microsoft.com/office/drawing/2014/main" id="{24845F84-273E-4120-B21A-7D4FB1797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1982" y="906196"/>
          <a:ext cx="1542517" cy="1262954"/>
        </a:xfrm>
        <a:prstGeom prst="rect">
          <a:avLst/>
        </a:prstGeom>
      </xdr:spPr>
    </xdr:pic>
    <xdr:clientData/>
  </xdr:twoCellAnchor>
  <xdr:twoCellAnchor>
    <xdr:from>
      <xdr:col>8</xdr:col>
      <xdr:colOff>78581</xdr:colOff>
      <xdr:row>5</xdr:row>
      <xdr:rowOff>0</xdr:rowOff>
    </xdr:from>
    <xdr:to>
      <xdr:col>10</xdr:col>
      <xdr:colOff>30956</xdr:colOff>
      <xdr:row>10</xdr:row>
      <xdr:rowOff>0</xdr:rowOff>
    </xdr:to>
    <xdr:sp macro="" textlink="">
      <xdr:nvSpPr>
        <xdr:cNvPr id="2" name="Diagrama de flujo: terminador 1">
          <a:hlinkClick xmlns:r="http://schemas.openxmlformats.org/officeDocument/2006/relationships" r:id="rId2"/>
          <a:extLst>
            <a:ext uri="{FF2B5EF4-FFF2-40B4-BE49-F238E27FC236}">
              <a16:creationId xmlns:a16="http://schemas.microsoft.com/office/drawing/2014/main" id="{7AF19AA6-CC59-49A9-9AB0-E18D80DBF7C5}"/>
            </a:ext>
          </a:extLst>
        </xdr:cNvPr>
        <xdr:cNvSpPr/>
      </xdr:nvSpPr>
      <xdr:spPr>
        <a:xfrm>
          <a:off x="6103144" y="1428750"/>
          <a:ext cx="1476375" cy="952500"/>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indent="0" algn="ctr"/>
          <a:r>
            <a:rPr lang="es-CO" sz="1100" b="1">
              <a:solidFill>
                <a:sysClr val="windowText" lastClr="000000"/>
              </a:solidFill>
              <a:latin typeface="+mn-lt"/>
              <a:ea typeface="+mn-ea"/>
              <a:cs typeface="+mn-cs"/>
            </a:rPr>
            <a:t>INSTRUCTIVO</a:t>
          </a:r>
        </a:p>
      </xdr:txBody>
    </xdr:sp>
    <xdr:clientData/>
  </xdr:twoCellAnchor>
  <xdr:twoCellAnchor>
    <xdr:from>
      <xdr:col>11</xdr:col>
      <xdr:colOff>16669</xdr:colOff>
      <xdr:row>5</xdr:row>
      <xdr:rowOff>11905</xdr:rowOff>
    </xdr:from>
    <xdr:to>
      <xdr:col>12</xdr:col>
      <xdr:colOff>731044</xdr:colOff>
      <xdr:row>9</xdr:row>
      <xdr:rowOff>166687</xdr:rowOff>
    </xdr:to>
    <xdr:sp macro="" textlink="">
      <xdr:nvSpPr>
        <xdr:cNvPr id="3" name="Diagrama de flujo: terminador 2">
          <a:hlinkClick xmlns:r="http://schemas.openxmlformats.org/officeDocument/2006/relationships" r:id="rId3"/>
          <a:extLst>
            <a:ext uri="{FF2B5EF4-FFF2-40B4-BE49-F238E27FC236}">
              <a16:creationId xmlns:a16="http://schemas.microsoft.com/office/drawing/2014/main" id="{922687E1-6B04-447F-891D-99E46F1A6DBB}"/>
            </a:ext>
          </a:extLst>
        </xdr:cNvPr>
        <xdr:cNvSpPr/>
      </xdr:nvSpPr>
      <xdr:spPr>
        <a:xfrm>
          <a:off x="8327232" y="1440655"/>
          <a:ext cx="1476375" cy="916782"/>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GESTIÓN</a:t>
          </a:r>
        </a:p>
      </xdr:txBody>
    </xdr:sp>
    <xdr:clientData/>
  </xdr:twoCellAnchor>
  <xdr:twoCellAnchor>
    <xdr:from>
      <xdr:col>14</xdr:col>
      <xdr:colOff>40480</xdr:colOff>
      <xdr:row>5</xdr:row>
      <xdr:rowOff>59534</xdr:rowOff>
    </xdr:from>
    <xdr:to>
      <xdr:col>15</xdr:col>
      <xdr:colOff>754855</xdr:colOff>
      <xdr:row>10</xdr:row>
      <xdr:rowOff>35720</xdr:rowOff>
    </xdr:to>
    <xdr:sp macro="" textlink="">
      <xdr:nvSpPr>
        <xdr:cNvPr id="4" name="Diagrama de flujo: terminador 3">
          <a:hlinkClick xmlns:r="http://schemas.openxmlformats.org/officeDocument/2006/relationships" r:id="rId4"/>
          <a:extLst>
            <a:ext uri="{FF2B5EF4-FFF2-40B4-BE49-F238E27FC236}">
              <a16:creationId xmlns:a16="http://schemas.microsoft.com/office/drawing/2014/main" id="{24A28FC2-6306-488B-90BE-C4F6F070702B}"/>
            </a:ext>
          </a:extLst>
        </xdr:cNvPr>
        <xdr:cNvSpPr/>
      </xdr:nvSpPr>
      <xdr:spPr>
        <a:xfrm>
          <a:off x="10637043" y="916784"/>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a:t>
          </a:r>
        </a:p>
      </xdr:txBody>
    </xdr:sp>
    <xdr:clientData/>
  </xdr:twoCellAnchor>
  <xdr:twoCellAnchor>
    <xdr:from>
      <xdr:col>6</xdr:col>
      <xdr:colOff>664368</xdr:colOff>
      <xdr:row>11</xdr:row>
      <xdr:rowOff>35719</xdr:rowOff>
    </xdr:from>
    <xdr:to>
      <xdr:col>8</xdr:col>
      <xdr:colOff>616743</xdr:colOff>
      <xdr:row>16</xdr:row>
      <xdr:rowOff>11908</xdr:rowOff>
    </xdr:to>
    <xdr:sp macro="" textlink="">
      <xdr:nvSpPr>
        <xdr:cNvPr id="5" name="Diagrama de flujo: terminador 4">
          <a:hlinkClick xmlns:r="http://schemas.openxmlformats.org/officeDocument/2006/relationships" r:id="rId5"/>
          <a:extLst>
            <a:ext uri="{FF2B5EF4-FFF2-40B4-BE49-F238E27FC236}">
              <a16:creationId xmlns:a16="http://schemas.microsoft.com/office/drawing/2014/main" id="{AFD46DF4-307F-4AC7-BB5F-CF13038BDF4B}"/>
            </a:ext>
          </a:extLst>
        </xdr:cNvPr>
        <xdr:cNvSpPr/>
      </xdr:nvSpPr>
      <xdr:spPr>
        <a:xfrm>
          <a:off x="5164931" y="2035969"/>
          <a:ext cx="1476375" cy="928689"/>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SEGURIDAD</a:t>
          </a:r>
          <a:r>
            <a:rPr lang="es-CO" sz="1100" b="1" baseline="0">
              <a:solidFill>
                <a:sysClr val="windowText" lastClr="000000"/>
              </a:solidFill>
            </a:rPr>
            <a:t> DE LA INFORMACIÓN</a:t>
          </a:r>
          <a:endParaRPr lang="es-CO" sz="1100" b="1">
            <a:solidFill>
              <a:sysClr val="windowText" lastClr="000000"/>
            </a:solidFill>
          </a:endParaRPr>
        </a:p>
      </xdr:txBody>
    </xdr:sp>
    <xdr:clientData/>
  </xdr:twoCellAnchor>
  <xdr:twoCellAnchor>
    <xdr:from>
      <xdr:col>12</xdr:col>
      <xdr:colOff>64294</xdr:colOff>
      <xdr:row>11</xdr:row>
      <xdr:rowOff>47625</xdr:rowOff>
    </xdr:from>
    <xdr:to>
      <xdr:col>14</xdr:col>
      <xdr:colOff>16669</xdr:colOff>
      <xdr:row>16</xdr:row>
      <xdr:rowOff>7143</xdr:rowOff>
    </xdr:to>
    <xdr:sp macro="" textlink="">
      <xdr:nvSpPr>
        <xdr:cNvPr id="6" name="Diagrama de flujo: terminador 5">
          <a:hlinkClick xmlns:r="http://schemas.openxmlformats.org/officeDocument/2006/relationships" r:id="rId6"/>
          <a:extLst>
            <a:ext uri="{FF2B5EF4-FFF2-40B4-BE49-F238E27FC236}">
              <a16:creationId xmlns:a16="http://schemas.microsoft.com/office/drawing/2014/main" id="{904564B9-6F3A-471F-8929-68BC516CF4C8}"/>
            </a:ext>
          </a:extLst>
        </xdr:cNvPr>
        <xdr:cNvSpPr/>
      </xdr:nvSpPr>
      <xdr:spPr>
        <a:xfrm>
          <a:off x="9136857" y="2047875"/>
          <a:ext cx="1476375" cy="912018"/>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a:t>
          </a:r>
          <a:r>
            <a:rPr lang="es-CO" sz="1100" b="1" baseline="0">
              <a:solidFill>
                <a:sysClr val="windowText" lastClr="000000"/>
              </a:solidFill>
            </a:rPr>
            <a:t>  SARLAFT</a:t>
          </a:r>
          <a:endParaRPr lang="es-CO" sz="1100" b="1">
            <a:solidFill>
              <a:sysClr val="windowText" lastClr="000000"/>
            </a:solidFill>
          </a:endParaRPr>
        </a:p>
      </xdr:txBody>
    </xdr:sp>
    <xdr:clientData/>
  </xdr:twoCellAnchor>
  <xdr:twoCellAnchor>
    <xdr:from>
      <xdr:col>5</xdr:col>
      <xdr:colOff>19050</xdr:colOff>
      <xdr:row>5</xdr:row>
      <xdr:rowOff>23814</xdr:rowOff>
    </xdr:from>
    <xdr:to>
      <xdr:col>6</xdr:col>
      <xdr:colOff>733425</xdr:colOff>
      <xdr:row>10</xdr:row>
      <xdr:rowOff>11906</xdr:rowOff>
    </xdr:to>
    <xdr:sp macro="" textlink="">
      <xdr:nvSpPr>
        <xdr:cNvPr id="7" name="Diagrama de flujo: terminador 6">
          <a:hlinkClick xmlns:r="http://schemas.openxmlformats.org/officeDocument/2006/relationships" r:id="rId7"/>
          <a:extLst>
            <a:ext uri="{FF2B5EF4-FFF2-40B4-BE49-F238E27FC236}">
              <a16:creationId xmlns:a16="http://schemas.microsoft.com/office/drawing/2014/main" id="{8129F85B-81B3-461F-8E9B-3803EE4AE53D}"/>
            </a:ext>
          </a:extLst>
        </xdr:cNvPr>
        <xdr:cNvSpPr/>
      </xdr:nvSpPr>
      <xdr:spPr>
        <a:xfrm>
          <a:off x="3757613" y="1452564"/>
          <a:ext cx="1476375" cy="940592"/>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DATOS</a:t>
          </a:r>
          <a:r>
            <a:rPr lang="es-CO" sz="1100" b="1" baseline="0">
              <a:solidFill>
                <a:sysClr val="windowText" lastClr="000000"/>
              </a:solidFill>
            </a:rPr>
            <a:t> DEL PROCESO</a:t>
          </a:r>
          <a:endParaRPr lang="es-CO" sz="1100" b="1">
            <a:solidFill>
              <a:sysClr val="windowText" lastClr="000000"/>
            </a:solidFill>
          </a:endParaRPr>
        </a:p>
      </xdr:txBody>
    </xdr:sp>
    <xdr:clientData/>
  </xdr:twoCellAnchor>
  <xdr:twoCellAnchor>
    <xdr:from>
      <xdr:col>5</xdr:col>
      <xdr:colOff>23813</xdr:colOff>
      <xdr:row>18</xdr:row>
      <xdr:rowOff>35719</xdr:rowOff>
    </xdr:from>
    <xdr:to>
      <xdr:col>6</xdr:col>
      <xdr:colOff>738188</xdr:colOff>
      <xdr:row>21</xdr:row>
      <xdr:rowOff>188119</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A9126D6A-9006-4470-9533-6596783648EA}"/>
            </a:ext>
          </a:extLst>
        </xdr:cNvPr>
        <xdr:cNvSpPr/>
      </xdr:nvSpPr>
      <xdr:spPr>
        <a:xfrm>
          <a:off x="3762376" y="3750469"/>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CALOR INHERENTE</a:t>
          </a:r>
          <a:endParaRPr lang="es-CO" sz="1100" b="1">
            <a:solidFill>
              <a:sysClr val="windowText" lastClr="000000"/>
            </a:solidFill>
          </a:endParaRPr>
        </a:p>
      </xdr:txBody>
    </xdr:sp>
    <xdr:clientData/>
  </xdr:twoCellAnchor>
  <xdr:twoCellAnchor>
    <xdr:from>
      <xdr:col>8</xdr:col>
      <xdr:colOff>21432</xdr:colOff>
      <xdr:row>18</xdr:row>
      <xdr:rowOff>21432</xdr:rowOff>
    </xdr:from>
    <xdr:to>
      <xdr:col>9</xdr:col>
      <xdr:colOff>735807</xdr:colOff>
      <xdr:row>21</xdr:row>
      <xdr:rowOff>173832</xdr:rowOff>
    </xdr:to>
    <xdr:sp macro="" textlink="">
      <xdr:nvSpPr>
        <xdr:cNvPr id="9" name="Rectángulo 8">
          <a:hlinkClick xmlns:r="http://schemas.openxmlformats.org/officeDocument/2006/relationships" r:id="rId9"/>
          <a:extLst>
            <a:ext uri="{FF2B5EF4-FFF2-40B4-BE49-F238E27FC236}">
              <a16:creationId xmlns:a16="http://schemas.microsoft.com/office/drawing/2014/main" id="{F6F2C46D-8824-4046-8E26-0865E93C1317}"/>
            </a:ext>
          </a:extLst>
        </xdr:cNvPr>
        <xdr:cNvSpPr/>
      </xdr:nvSpPr>
      <xdr:spPr>
        <a:xfrm>
          <a:off x="6045995" y="3736182"/>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CALOR RESIDUAL</a:t>
          </a:r>
          <a:endParaRPr lang="es-CO" sz="1100" b="1">
            <a:solidFill>
              <a:sysClr val="windowText" lastClr="000000"/>
            </a:solidFill>
          </a:endParaRPr>
        </a:p>
      </xdr:txBody>
    </xdr:sp>
    <xdr:clientData/>
  </xdr:twoCellAnchor>
  <xdr:twoCellAnchor>
    <xdr:from>
      <xdr:col>12</xdr:col>
      <xdr:colOff>19051</xdr:colOff>
      <xdr:row>18</xdr:row>
      <xdr:rowOff>7144</xdr:rowOff>
    </xdr:from>
    <xdr:to>
      <xdr:col>13</xdr:col>
      <xdr:colOff>733426</xdr:colOff>
      <xdr:row>21</xdr:row>
      <xdr:rowOff>159544</xdr:rowOff>
    </xdr:to>
    <xdr:sp macro="" textlink="">
      <xdr:nvSpPr>
        <xdr:cNvPr id="10" name="Rectángulo 9">
          <a:hlinkClick xmlns:r="http://schemas.openxmlformats.org/officeDocument/2006/relationships" r:id="rId10"/>
          <a:extLst>
            <a:ext uri="{FF2B5EF4-FFF2-40B4-BE49-F238E27FC236}">
              <a16:creationId xmlns:a16="http://schemas.microsoft.com/office/drawing/2014/main" id="{4A809EFB-8291-4297-BFBB-D672CF79D6BE}"/>
            </a:ext>
          </a:extLst>
        </xdr:cNvPr>
        <xdr:cNvSpPr/>
      </xdr:nvSpPr>
      <xdr:spPr>
        <a:xfrm>
          <a:off x="9091614" y="3721894"/>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TABLA</a:t>
          </a:r>
          <a:r>
            <a:rPr lang="es-CO" sz="1100" b="1" baseline="0">
              <a:solidFill>
                <a:sysClr val="windowText" lastClr="000000"/>
              </a:solidFill>
            </a:rPr>
            <a:t> DE PROBABILIDAD</a:t>
          </a:r>
          <a:endParaRPr lang="es-CO" sz="1100" b="1">
            <a:solidFill>
              <a:sysClr val="windowText" lastClr="000000"/>
            </a:solidFill>
          </a:endParaRPr>
        </a:p>
      </xdr:txBody>
    </xdr:sp>
    <xdr:clientData/>
  </xdr:twoCellAnchor>
  <xdr:twoCellAnchor>
    <xdr:from>
      <xdr:col>15</xdr:col>
      <xdr:colOff>52389</xdr:colOff>
      <xdr:row>18</xdr:row>
      <xdr:rowOff>28576</xdr:rowOff>
    </xdr:from>
    <xdr:to>
      <xdr:col>17</xdr:col>
      <xdr:colOff>4764</xdr:colOff>
      <xdr:row>21</xdr:row>
      <xdr:rowOff>180976</xdr:rowOff>
    </xdr:to>
    <xdr:sp macro="" textlink="">
      <xdr:nvSpPr>
        <xdr:cNvPr id="11" name="Rectángulo 10">
          <a:hlinkClick xmlns:r="http://schemas.openxmlformats.org/officeDocument/2006/relationships" r:id="rId11"/>
          <a:extLst>
            <a:ext uri="{FF2B5EF4-FFF2-40B4-BE49-F238E27FC236}">
              <a16:creationId xmlns:a16="http://schemas.microsoft.com/office/drawing/2014/main" id="{206F0664-B8B9-4319-8E09-B8D98D512794}"/>
            </a:ext>
          </a:extLst>
        </xdr:cNvPr>
        <xdr:cNvSpPr/>
      </xdr:nvSpPr>
      <xdr:spPr>
        <a:xfrm>
          <a:off x="11410952" y="3743326"/>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TABLA DE IMPACTO</a:t>
          </a:r>
        </a:p>
      </xdr:txBody>
    </xdr:sp>
    <xdr:clientData/>
  </xdr:twoCellAnchor>
  <xdr:twoCellAnchor>
    <xdr:from>
      <xdr:col>9</xdr:col>
      <xdr:colOff>11905</xdr:colOff>
      <xdr:row>24</xdr:row>
      <xdr:rowOff>9526</xdr:rowOff>
    </xdr:from>
    <xdr:to>
      <xdr:col>12</xdr:col>
      <xdr:colOff>750093</xdr:colOff>
      <xdr:row>27</xdr:row>
      <xdr:rowOff>161926</xdr:rowOff>
    </xdr:to>
    <xdr:sp macro="" textlink="">
      <xdr:nvSpPr>
        <xdr:cNvPr id="12" name="Rectángulo 11">
          <a:hlinkClick xmlns:r="http://schemas.openxmlformats.org/officeDocument/2006/relationships" r:id="rId12"/>
          <a:extLst>
            <a:ext uri="{FF2B5EF4-FFF2-40B4-BE49-F238E27FC236}">
              <a16:creationId xmlns:a16="http://schemas.microsoft.com/office/drawing/2014/main" id="{1C3F1FEC-03A3-4EB7-B680-3686E78AEC13}"/>
            </a:ext>
          </a:extLst>
        </xdr:cNvPr>
        <xdr:cNvSpPr/>
      </xdr:nvSpPr>
      <xdr:spPr>
        <a:xfrm>
          <a:off x="6798468" y="4867276"/>
          <a:ext cx="3024188" cy="723900"/>
        </a:xfrm>
        <a:prstGeom prst="rect">
          <a:avLst/>
        </a:prstGeom>
        <a:solidFill>
          <a:schemeClr val="accent6">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VALORACIÓN DE CONTROLES</a:t>
          </a:r>
          <a:endParaRPr lang="es-CO" sz="1100" b="1">
            <a:solidFill>
              <a:sysClr val="windowText" lastClr="000000"/>
            </a:solidFill>
          </a:endParaRPr>
        </a:p>
      </xdr:txBody>
    </xdr:sp>
    <xdr:clientData/>
  </xdr:twoCellAnchor>
  <xdr:oneCellAnchor>
    <xdr:from>
      <xdr:col>6</xdr:col>
      <xdr:colOff>522359</xdr:colOff>
      <xdr:row>1</xdr:row>
      <xdr:rowOff>0</xdr:rowOff>
    </xdr:from>
    <xdr:ext cx="5801396" cy="654844"/>
    <xdr:sp macro="" textlink="">
      <xdr:nvSpPr>
        <xdr:cNvPr id="13" name="Rectángulo 12">
          <a:extLst>
            <a:ext uri="{FF2B5EF4-FFF2-40B4-BE49-F238E27FC236}">
              <a16:creationId xmlns:a16="http://schemas.microsoft.com/office/drawing/2014/main" id="{539C57C0-6816-4606-8C10-D06B452D8A00}"/>
            </a:ext>
          </a:extLst>
        </xdr:cNvPr>
        <xdr:cNvSpPr/>
      </xdr:nvSpPr>
      <xdr:spPr>
        <a:xfrm>
          <a:off x="5022922" y="0"/>
          <a:ext cx="5801396" cy="654844"/>
        </a:xfrm>
        <a:prstGeom prst="rect">
          <a:avLst/>
        </a:prstGeom>
        <a:noFill/>
      </xdr:spPr>
      <xdr:txBody>
        <a:bodyPr wrap="none" lIns="91440" tIns="45720" rIns="91440" bIns="45720">
          <a:noAutofit/>
          <a:scene3d>
            <a:camera prst="orthographicFront"/>
            <a:lightRig rig="soft" dir="t">
              <a:rot lat="0" lon="0" rev="15600000"/>
            </a:lightRig>
          </a:scene3d>
          <a:sp3d extrusionH="57150" prstMaterial="softEdge">
            <a:bevelT w="25400" h="38100"/>
          </a:sp3d>
        </a:bodyPr>
        <a:lstStyle/>
        <a:p>
          <a:pPr algn="ctr"/>
          <a:r>
            <a:rPr lang="es-ES" sz="5400" b="1" cap="none" spc="0">
              <a:ln/>
              <a:solidFill>
                <a:schemeClr val="accent4"/>
              </a:solidFill>
              <a:effectLst/>
            </a:rPr>
            <a:t>FICHAS</a:t>
          </a:r>
          <a:r>
            <a:rPr lang="es-ES" sz="5400" b="1" cap="none" spc="0" baseline="0">
              <a:ln/>
              <a:solidFill>
                <a:schemeClr val="accent4"/>
              </a:solidFill>
              <a:effectLst/>
            </a:rPr>
            <a:t> DE RIESGOS</a:t>
          </a:r>
          <a:endParaRPr lang="es-ES" sz="5400" b="1" cap="none" spc="0">
            <a:ln/>
            <a:solidFill>
              <a:schemeClr val="accent4"/>
            </a:solidFill>
            <a:effectLst/>
          </a:endParaRPr>
        </a:p>
      </xdr:txBody>
    </xdr:sp>
    <xdr:clientData/>
  </xdr:oneCellAnchor>
  <xdr:twoCellAnchor editAs="oneCell">
    <xdr:from>
      <xdr:col>0</xdr:col>
      <xdr:colOff>687916</xdr:colOff>
      <xdr:row>0</xdr:row>
      <xdr:rowOff>0</xdr:rowOff>
    </xdr:from>
    <xdr:to>
      <xdr:col>20</xdr:col>
      <xdr:colOff>21166</xdr:colOff>
      <xdr:row>1</xdr:row>
      <xdr:rowOff>25184</xdr:rowOff>
    </xdr:to>
    <xdr:pic>
      <xdr:nvPicPr>
        <xdr:cNvPr id="16" name="Imagen 15">
          <a:extLst>
            <a:ext uri="{FF2B5EF4-FFF2-40B4-BE49-F238E27FC236}">
              <a16:creationId xmlns:a16="http://schemas.microsoft.com/office/drawing/2014/main" id="{B99C9BC5-2D0C-4DFE-8A32-019E54BBA07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87916" y="0"/>
          <a:ext cx="14499167" cy="1104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139700</xdr:colOff>
      <xdr:row>1</xdr:row>
      <xdr:rowOff>0</xdr:rowOff>
    </xdr:from>
    <xdr:to>
      <xdr:col>0</xdr:col>
      <xdr:colOff>1168400</xdr:colOff>
      <xdr:row>3</xdr:row>
      <xdr:rowOff>93333</xdr:rowOff>
    </xdr:to>
    <xdr:pic>
      <xdr:nvPicPr>
        <xdr:cNvPr id="5" name="Imagen 4"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0EE94AAE-E19A-4824-87BD-399E21DC5C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700" y="0"/>
          <a:ext cx="1028700"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208643</xdr:colOff>
      <xdr:row>12</xdr:row>
      <xdr:rowOff>259703</xdr:rowOff>
    </xdr:from>
    <xdr:to>
      <xdr:col>2</xdr:col>
      <xdr:colOff>3159125</xdr:colOff>
      <xdr:row>27</xdr:row>
      <xdr:rowOff>262881</xdr:rowOff>
    </xdr:to>
    <xdr:pic>
      <xdr:nvPicPr>
        <xdr:cNvPr id="6" name="Imagen 5">
          <a:extLst>
            <a:ext uri="{FF2B5EF4-FFF2-40B4-BE49-F238E27FC236}">
              <a16:creationId xmlns:a16="http://schemas.microsoft.com/office/drawing/2014/main" id="{5B7F54C2-8041-4869-8BF8-E36C4D629299}"/>
            </a:ext>
          </a:extLst>
        </xdr:cNvPr>
        <xdr:cNvPicPr>
          <a:picLocks noChangeAspect="1"/>
        </xdr:cNvPicPr>
      </xdr:nvPicPr>
      <xdr:blipFill rotWithShape="1">
        <a:blip xmlns:r="http://schemas.openxmlformats.org/officeDocument/2006/relationships" r:embed="rId3"/>
        <a:srcRect l="16546" t="19697" r="62395" b="13168"/>
        <a:stretch/>
      </xdr:blipFill>
      <xdr:spPr>
        <a:xfrm>
          <a:off x="208643" y="6736703"/>
          <a:ext cx="6395357" cy="6227502"/>
        </a:xfrm>
        <a:prstGeom prst="rect">
          <a:avLst/>
        </a:prstGeom>
      </xdr:spPr>
    </xdr:pic>
    <xdr:clientData/>
  </xdr:twoCellAnchor>
  <xdr:twoCellAnchor editAs="oneCell">
    <xdr:from>
      <xdr:col>0</xdr:col>
      <xdr:colOff>225616</xdr:colOff>
      <xdr:row>39</xdr:row>
      <xdr:rowOff>121227</xdr:rowOff>
    </xdr:from>
    <xdr:to>
      <xdr:col>2</xdr:col>
      <xdr:colOff>3122083</xdr:colOff>
      <xdr:row>50</xdr:row>
      <xdr:rowOff>125349</xdr:rowOff>
    </xdr:to>
    <xdr:pic>
      <xdr:nvPicPr>
        <xdr:cNvPr id="7" name="Imagen 6">
          <a:extLst>
            <a:ext uri="{FF2B5EF4-FFF2-40B4-BE49-F238E27FC236}">
              <a16:creationId xmlns:a16="http://schemas.microsoft.com/office/drawing/2014/main" id="{AB3ACDD8-B663-417D-A8A4-3EF987EDA04A}"/>
            </a:ext>
          </a:extLst>
        </xdr:cNvPr>
        <xdr:cNvPicPr>
          <a:picLocks noChangeAspect="1"/>
        </xdr:cNvPicPr>
      </xdr:nvPicPr>
      <xdr:blipFill rotWithShape="1">
        <a:blip xmlns:r="http://schemas.openxmlformats.org/officeDocument/2006/relationships" r:embed="rId4"/>
        <a:srcRect l="16650" t="31043" r="62474" b="41429"/>
        <a:stretch/>
      </xdr:blipFill>
      <xdr:spPr>
        <a:xfrm>
          <a:off x="225616" y="13911310"/>
          <a:ext cx="6346634" cy="2552059"/>
        </a:xfrm>
        <a:prstGeom prst="rect">
          <a:avLst/>
        </a:prstGeom>
      </xdr:spPr>
    </xdr:pic>
    <xdr:clientData/>
  </xdr:twoCellAnchor>
  <xdr:twoCellAnchor editAs="oneCell">
    <xdr:from>
      <xdr:col>0</xdr:col>
      <xdr:colOff>170054</xdr:colOff>
      <xdr:row>52</xdr:row>
      <xdr:rowOff>125315</xdr:rowOff>
    </xdr:from>
    <xdr:to>
      <xdr:col>2</xdr:col>
      <xdr:colOff>3122082</xdr:colOff>
      <xdr:row>62</xdr:row>
      <xdr:rowOff>175401</xdr:rowOff>
    </xdr:to>
    <xdr:pic>
      <xdr:nvPicPr>
        <xdr:cNvPr id="8" name="Imagen 7">
          <a:extLst>
            <a:ext uri="{FF2B5EF4-FFF2-40B4-BE49-F238E27FC236}">
              <a16:creationId xmlns:a16="http://schemas.microsoft.com/office/drawing/2014/main" id="{55AC82C5-D58C-4E7E-AA54-842A97C01A5E}"/>
            </a:ext>
          </a:extLst>
        </xdr:cNvPr>
        <xdr:cNvPicPr>
          <a:picLocks noChangeAspect="1"/>
        </xdr:cNvPicPr>
      </xdr:nvPicPr>
      <xdr:blipFill rotWithShape="1">
        <a:blip xmlns:r="http://schemas.openxmlformats.org/officeDocument/2006/relationships" r:embed="rId5"/>
        <a:srcRect l="16522" t="28180" r="62487" b="50823"/>
        <a:stretch/>
      </xdr:blipFill>
      <xdr:spPr>
        <a:xfrm>
          <a:off x="170054" y="16391898"/>
          <a:ext cx="6402195" cy="1955086"/>
        </a:xfrm>
        <a:prstGeom prst="rect">
          <a:avLst/>
        </a:prstGeom>
      </xdr:spPr>
    </xdr:pic>
    <xdr:clientData/>
  </xdr:twoCellAnchor>
  <xdr:twoCellAnchor editAs="oneCell">
    <xdr:from>
      <xdr:col>1</xdr:col>
      <xdr:colOff>0</xdr:colOff>
      <xdr:row>0</xdr:row>
      <xdr:rowOff>0</xdr:rowOff>
    </xdr:from>
    <xdr:to>
      <xdr:col>8</xdr:col>
      <xdr:colOff>1663268</xdr:colOff>
      <xdr:row>0</xdr:row>
      <xdr:rowOff>1310679</xdr:rowOff>
    </xdr:to>
    <xdr:pic>
      <xdr:nvPicPr>
        <xdr:cNvPr id="9" name="Imagen 8">
          <a:extLst>
            <a:ext uri="{FF2B5EF4-FFF2-40B4-BE49-F238E27FC236}">
              <a16:creationId xmlns:a16="http://schemas.microsoft.com/office/drawing/2014/main" id="{5E5CF7FA-D7F7-4803-8287-5B7F39756DE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95438" y="0"/>
          <a:ext cx="17165205" cy="131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190501</xdr:colOff>
      <xdr:row>1</xdr:row>
      <xdr:rowOff>43296</xdr:rowOff>
    </xdr:from>
    <xdr:to>
      <xdr:col>1</xdr:col>
      <xdr:colOff>952501</xdr:colOff>
      <xdr:row>1</xdr:row>
      <xdr:rowOff>827841</xdr:rowOff>
    </xdr:to>
    <xdr:pic>
      <xdr:nvPicPr>
        <xdr:cNvPr id="2" name="Imagen 1">
          <a:hlinkClick xmlns:r="http://schemas.openxmlformats.org/officeDocument/2006/relationships" r:id="rId1"/>
          <a:extLst>
            <a:ext uri="{FF2B5EF4-FFF2-40B4-BE49-F238E27FC236}">
              <a16:creationId xmlns:a16="http://schemas.microsoft.com/office/drawing/2014/main" id="{EF2A53E0-D6C2-4A2F-A8F0-A6970D68914E}"/>
            </a:ext>
          </a:extLst>
        </xdr:cNvPr>
        <xdr:cNvPicPr>
          <a:picLocks noChangeAspect="1"/>
        </xdr:cNvPicPr>
      </xdr:nvPicPr>
      <xdr:blipFill>
        <a:blip xmlns:r="http://schemas.openxmlformats.org/officeDocument/2006/relationships" r:embed="rId2"/>
        <a:stretch>
          <a:fillRect/>
        </a:stretch>
      </xdr:blipFill>
      <xdr:spPr>
        <a:xfrm>
          <a:off x="381001" y="43296"/>
          <a:ext cx="762000" cy="784545"/>
        </a:xfrm>
        <a:prstGeom prst="rect">
          <a:avLst/>
        </a:prstGeom>
      </xdr:spPr>
    </xdr:pic>
    <xdr:clientData/>
  </xdr:twoCellAnchor>
  <xdr:twoCellAnchor editAs="oneCell">
    <xdr:from>
      <xdr:col>0</xdr:col>
      <xdr:colOff>181841</xdr:colOff>
      <xdr:row>0</xdr:row>
      <xdr:rowOff>0</xdr:rowOff>
    </xdr:from>
    <xdr:to>
      <xdr:col>7</xdr:col>
      <xdr:colOff>1636569</xdr:colOff>
      <xdr:row>0</xdr:row>
      <xdr:rowOff>850278</xdr:rowOff>
    </xdr:to>
    <xdr:pic>
      <xdr:nvPicPr>
        <xdr:cNvPr id="3" name="Imagen 2">
          <a:extLst>
            <a:ext uri="{FF2B5EF4-FFF2-40B4-BE49-F238E27FC236}">
              <a16:creationId xmlns:a16="http://schemas.microsoft.com/office/drawing/2014/main" id="{E3F993EB-04A6-469E-9078-E4C247BEBA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1841" y="0"/>
          <a:ext cx="11135592" cy="850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40822</xdr:colOff>
      <xdr:row>0</xdr:row>
      <xdr:rowOff>0</xdr:rowOff>
    </xdr:from>
    <xdr:to>
      <xdr:col>0</xdr:col>
      <xdr:colOff>1055915</xdr:colOff>
      <xdr:row>0</xdr:row>
      <xdr:rowOff>1053091</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247F9505-8519-4F63-8B85-AA7EF0AE0D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822" y="0"/>
          <a:ext cx="1015093" cy="1053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1015093</xdr:colOff>
      <xdr:row>3</xdr:row>
      <xdr:rowOff>86984</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B2F2E834-430D-413A-B64E-9A09CDB33C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1028700"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15</xdr:col>
      <xdr:colOff>2306205</xdr:colOff>
      <xdr:row>0</xdr:row>
      <xdr:rowOff>1310679</xdr:rowOff>
    </xdr:to>
    <xdr:pic>
      <xdr:nvPicPr>
        <xdr:cNvPr id="3" name="Imagen 2">
          <a:extLst>
            <a:ext uri="{FF2B5EF4-FFF2-40B4-BE49-F238E27FC236}">
              <a16:creationId xmlns:a16="http://schemas.microsoft.com/office/drawing/2014/main" id="{1AD8A13B-3792-4935-AA20-E7796C8295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0"/>
          <a:ext cx="17165205" cy="131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112</xdr:col>
      <xdr:colOff>0</xdr:colOff>
      <xdr:row>15</xdr:row>
      <xdr:rowOff>0</xdr:rowOff>
    </xdr:from>
    <xdr:to>
      <xdr:col>124</xdr:col>
      <xdr:colOff>47625</xdr:colOff>
      <xdr:row>23</xdr:row>
      <xdr:rowOff>416472</xdr:rowOff>
    </xdr:to>
    <xdr:pic>
      <xdr:nvPicPr>
        <xdr:cNvPr id="2" name="Imagen 1">
          <a:extLst>
            <a:ext uri="{FF2B5EF4-FFF2-40B4-BE49-F238E27FC236}">
              <a16:creationId xmlns:a16="http://schemas.microsoft.com/office/drawing/2014/main" id="{206C38FB-F8EB-4A52-AF71-930FB1561FD2}"/>
            </a:ext>
          </a:extLst>
        </xdr:cNvPr>
        <xdr:cNvPicPr>
          <a:picLocks noChangeAspect="1"/>
        </xdr:cNvPicPr>
      </xdr:nvPicPr>
      <xdr:blipFill rotWithShape="1">
        <a:blip xmlns:r="http://schemas.openxmlformats.org/officeDocument/2006/relationships" r:embed="rId1"/>
        <a:srcRect l="59879" t="18193" r="9919" b="40731"/>
        <a:stretch/>
      </xdr:blipFill>
      <xdr:spPr>
        <a:xfrm>
          <a:off x="108156375" y="6410325"/>
          <a:ext cx="10106025" cy="7010494"/>
        </a:xfrm>
        <a:prstGeom prst="rect">
          <a:avLst/>
        </a:prstGeom>
      </xdr:spPr>
    </xdr:pic>
    <xdr:clientData/>
  </xdr:twoCellAnchor>
  <xdr:twoCellAnchor editAs="oneCell">
    <xdr:from>
      <xdr:col>112</xdr:col>
      <xdr:colOff>432954</xdr:colOff>
      <xdr:row>47</xdr:row>
      <xdr:rowOff>0</xdr:rowOff>
    </xdr:from>
    <xdr:to>
      <xdr:col>123</xdr:col>
      <xdr:colOff>504392</xdr:colOff>
      <xdr:row>73</xdr:row>
      <xdr:rowOff>56767</xdr:rowOff>
    </xdr:to>
    <xdr:pic>
      <xdr:nvPicPr>
        <xdr:cNvPr id="3" name="Imagen 2">
          <a:extLst>
            <a:ext uri="{FF2B5EF4-FFF2-40B4-BE49-F238E27FC236}">
              <a16:creationId xmlns:a16="http://schemas.microsoft.com/office/drawing/2014/main" id="{0C729C24-2C16-46A8-9662-F09ED3E2FA73}"/>
            </a:ext>
          </a:extLst>
        </xdr:cNvPr>
        <xdr:cNvPicPr>
          <a:picLocks noChangeAspect="1"/>
        </xdr:cNvPicPr>
      </xdr:nvPicPr>
      <xdr:blipFill rotWithShape="1">
        <a:blip xmlns:r="http://schemas.openxmlformats.org/officeDocument/2006/relationships" r:embed="rId2"/>
        <a:srcRect l="27822" t="9471" r="29313" b="6238"/>
        <a:stretch/>
      </xdr:blipFill>
      <xdr:spPr>
        <a:xfrm>
          <a:off x="108589329" y="22259925"/>
          <a:ext cx="9291638" cy="9353167"/>
        </a:xfrm>
        <a:prstGeom prst="rect">
          <a:avLst/>
        </a:prstGeom>
      </xdr:spPr>
    </xdr:pic>
    <xdr:clientData/>
  </xdr:twoCellAnchor>
  <xdr:twoCellAnchor editAs="oneCell">
    <xdr:from>
      <xdr:col>5</xdr:col>
      <xdr:colOff>56591</xdr:colOff>
      <xdr:row>3</xdr:row>
      <xdr:rowOff>0</xdr:rowOff>
    </xdr:from>
    <xdr:to>
      <xdr:col>5</xdr:col>
      <xdr:colOff>2491220</xdr:colOff>
      <xdr:row>8</xdr:row>
      <xdr:rowOff>63087</xdr:rowOff>
    </xdr:to>
    <xdr:pic>
      <xdr:nvPicPr>
        <xdr:cNvPr id="4" name="1 Imagen" descr="Logo FUGA ALCALDIA-02.png">
          <a:extLst>
            <a:ext uri="{FF2B5EF4-FFF2-40B4-BE49-F238E27FC236}">
              <a16:creationId xmlns:a16="http://schemas.microsoft.com/office/drawing/2014/main" id="{C909B06F-B114-48D4-A8C2-04044E50D37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6741" y="1648692"/>
          <a:ext cx="2434629" cy="932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1</xdr:row>
      <xdr:rowOff>0</xdr:rowOff>
    </xdr:from>
    <xdr:to>
      <xdr:col>3</xdr:col>
      <xdr:colOff>1219200</xdr:colOff>
      <xdr:row>2</xdr:row>
      <xdr:rowOff>360034</xdr:rowOff>
    </xdr:to>
    <xdr:pic>
      <xdr:nvPicPr>
        <xdr:cNvPr id="5" name="Imagen 4" descr="Volver Icono De La Flecha Botón Azul Vidrioso Fotos, Retratos, Imágenes Y  Fotografía De Archivo Libres De Derecho. Image 36414619.">
          <a:hlinkClick xmlns:r="http://schemas.openxmlformats.org/officeDocument/2006/relationships" r:id="rId4"/>
          <a:extLst>
            <a:ext uri="{FF2B5EF4-FFF2-40B4-BE49-F238E27FC236}">
              <a16:creationId xmlns:a16="http://schemas.microsoft.com/office/drawing/2014/main" id="{A3002FD8-6D70-4861-910A-574E2D55591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67000" y="0"/>
          <a:ext cx="1028700" cy="105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0</xdr:row>
      <xdr:rowOff>0</xdr:rowOff>
    </xdr:from>
    <xdr:to>
      <xdr:col>11</xdr:col>
      <xdr:colOff>2183741</xdr:colOff>
      <xdr:row>0</xdr:row>
      <xdr:rowOff>1310679</xdr:rowOff>
    </xdr:to>
    <xdr:pic>
      <xdr:nvPicPr>
        <xdr:cNvPr id="6" name="Imagen 5">
          <a:extLst>
            <a:ext uri="{FF2B5EF4-FFF2-40B4-BE49-F238E27FC236}">
              <a16:creationId xmlns:a16="http://schemas.microsoft.com/office/drawing/2014/main" id="{1D8F16EC-BE00-4F89-A18B-480B74E45C1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90107" y="0"/>
          <a:ext cx="17165205" cy="131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1015093</xdr:colOff>
      <xdr:row>2</xdr:row>
      <xdr:rowOff>86984</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576E7537-060E-4C45-B1B4-F160972B2F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1019175"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15</xdr:col>
      <xdr:colOff>1054348</xdr:colOff>
      <xdr:row>0</xdr:row>
      <xdr:rowOff>1310679</xdr:rowOff>
    </xdr:to>
    <xdr:pic>
      <xdr:nvPicPr>
        <xdr:cNvPr id="3" name="Imagen 2">
          <a:extLst>
            <a:ext uri="{FF2B5EF4-FFF2-40B4-BE49-F238E27FC236}">
              <a16:creationId xmlns:a16="http://schemas.microsoft.com/office/drawing/2014/main" id="{0D7AEE46-8E66-416B-B17D-8981F6C71E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143" y="0"/>
          <a:ext cx="17165205" cy="131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86</xdr:col>
      <xdr:colOff>2232314</xdr:colOff>
      <xdr:row>10</xdr:row>
      <xdr:rowOff>98961</xdr:rowOff>
    </xdr:from>
    <xdr:to>
      <xdr:col>93</xdr:col>
      <xdr:colOff>63212</xdr:colOff>
      <xdr:row>25</xdr:row>
      <xdr:rowOff>316241</xdr:rowOff>
    </xdr:to>
    <xdr:pic>
      <xdr:nvPicPr>
        <xdr:cNvPr id="2" name="Imagen 1">
          <a:extLst>
            <a:ext uri="{FF2B5EF4-FFF2-40B4-BE49-F238E27FC236}">
              <a16:creationId xmlns:a16="http://schemas.microsoft.com/office/drawing/2014/main" id="{11CDA49C-D4E3-4903-9121-85F31C5F0947}"/>
            </a:ext>
          </a:extLst>
        </xdr:cNvPr>
        <xdr:cNvPicPr>
          <a:picLocks noChangeAspect="1"/>
        </xdr:cNvPicPr>
      </xdr:nvPicPr>
      <xdr:blipFill rotWithShape="1">
        <a:blip xmlns:r="http://schemas.openxmlformats.org/officeDocument/2006/relationships" r:embed="rId1"/>
        <a:srcRect l="59879" t="18193" r="9919" b="40731"/>
        <a:stretch/>
      </xdr:blipFill>
      <xdr:spPr>
        <a:xfrm>
          <a:off x="63592364" y="2165886"/>
          <a:ext cx="9203748" cy="7005431"/>
        </a:xfrm>
        <a:prstGeom prst="rect">
          <a:avLst/>
        </a:prstGeom>
      </xdr:spPr>
    </xdr:pic>
    <xdr:clientData/>
  </xdr:twoCellAnchor>
  <xdr:twoCellAnchor editAs="oneCell">
    <xdr:from>
      <xdr:col>100</xdr:col>
      <xdr:colOff>419100</xdr:colOff>
      <xdr:row>41</xdr:row>
      <xdr:rowOff>76200</xdr:rowOff>
    </xdr:from>
    <xdr:to>
      <xdr:col>111</xdr:col>
      <xdr:colOff>519546</xdr:colOff>
      <xdr:row>67</xdr:row>
      <xdr:rowOff>180592</xdr:rowOff>
    </xdr:to>
    <xdr:pic>
      <xdr:nvPicPr>
        <xdr:cNvPr id="3" name="Imagen 2">
          <a:extLst>
            <a:ext uri="{FF2B5EF4-FFF2-40B4-BE49-F238E27FC236}">
              <a16:creationId xmlns:a16="http://schemas.microsoft.com/office/drawing/2014/main" id="{46443EA3-0E3C-42AB-9B70-831A1A597F5E}"/>
            </a:ext>
          </a:extLst>
        </xdr:cNvPr>
        <xdr:cNvPicPr>
          <a:picLocks noChangeAspect="1"/>
        </xdr:cNvPicPr>
      </xdr:nvPicPr>
      <xdr:blipFill rotWithShape="1">
        <a:blip xmlns:r="http://schemas.openxmlformats.org/officeDocument/2006/relationships" r:embed="rId2"/>
        <a:srcRect l="27822" t="9471" r="29313" b="6238"/>
        <a:stretch/>
      </xdr:blipFill>
      <xdr:spPr>
        <a:xfrm>
          <a:off x="80552925" y="17202150"/>
          <a:ext cx="8482446" cy="9343642"/>
        </a:xfrm>
        <a:prstGeom prst="rect">
          <a:avLst/>
        </a:prstGeom>
      </xdr:spPr>
    </xdr:pic>
    <xdr:clientData/>
  </xdr:twoCellAnchor>
  <xdr:twoCellAnchor editAs="oneCell">
    <xdr:from>
      <xdr:col>3</xdr:col>
      <xdr:colOff>1182157</xdr:colOff>
      <xdr:row>2</xdr:row>
      <xdr:rowOff>52917</xdr:rowOff>
    </xdr:from>
    <xdr:to>
      <xdr:col>4</xdr:col>
      <xdr:colOff>1465298</xdr:colOff>
      <xdr:row>3</xdr:row>
      <xdr:rowOff>371473</xdr:rowOff>
    </xdr:to>
    <xdr:pic>
      <xdr:nvPicPr>
        <xdr:cNvPr id="4" name="1 Imagen" descr="Logo FUGA ALCALDIA-02.png">
          <a:extLst>
            <a:ext uri="{FF2B5EF4-FFF2-40B4-BE49-F238E27FC236}">
              <a16:creationId xmlns:a16="http://schemas.microsoft.com/office/drawing/2014/main" id="{A508D7EE-93A9-4D22-A6DC-0C7B98465D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3157" y="224367"/>
          <a:ext cx="1988116" cy="737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392908</xdr:colOff>
      <xdr:row>0</xdr:row>
      <xdr:rowOff>0</xdr:rowOff>
    </xdr:from>
    <xdr:to>
      <xdr:col>3</xdr:col>
      <xdr:colOff>1238252</xdr:colOff>
      <xdr:row>0</xdr:row>
      <xdr:rowOff>870354</xdr:rowOff>
    </xdr:to>
    <xdr:pic>
      <xdr:nvPicPr>
        <xdr:cNvPr id="5" name="Imagen 4">
          <a:hlinkClick xmlns:r="http://schemas.openxmlformats.org/officeDocument/2006/relationships" r:id="rId4"/>
          <a:extLst>
            <a:ext uri="{FF2B5EF4-FFF2-40B4-BE49-F238E27FC236}">
              <a16:creationId xmlns:a16="http://schemas.microsoft.com/office/drawing/2014/main" id="{1C4D0694-F124-49C3-AD03-CFAF2B8DCD52}"/>
            </a:ext>
          </a:extLst>
        </xdr:cNvPr>
        <xdr:cNvPicPr>
          <a:picLocks noChangeAspect="1"/>
        </xdr:cNvPicPr>
      </xdr:nvPicPr>
      <xdr:blipFill>
        <a:blip xmlns:r="http://schemas.openxmlformats.org/officeDocument/2006/relationships" r:embed="rId5"/>
        <a:stretch>
          <a:fillRect/>
        </a:stretch>
      </xdr:blipFill>
      <xdr:spPr>
        <a:xfrm>
          <a:off x="773908" y="0"/>
          <a:ext cx="845344" cy="8703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123825</xdr:colOff>
      <xdr:row>1</xdr:row>
      <xdr:rowOff>0</xdr:rowOff>
    </xdr:from>
    <xdr:to>
      <xdr:col>0</xdr:col>
      <xdr:colOff>904875</xdr:colOff>
      <xdr:row>3</xdr:row>
      <xdr:rowOff>184577</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DF7CBDD2-DDB3-4E32-B8BA-611FBDA0A3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0"/>
          <a:ext cx="781050" cy="803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14</xdr:col>
      <xdr:colOff>579799</xdr:colOff>
      <xdr:row>1</xdr:row>
      <xdr:rowOff>991</xdr:rowOff>
    </xdr:to>
    <xdr:pic>
      <xdr:nvPicPr>
        <xdr:cNvPr id="3" name="Imagen 2">
          <a:extLst>
            <a:ext uri="{FF2B5EF4-FFF2-40B4-BE49-F238E27FC236}">
              <a16:creationId xmlns:a16="http://schemas.microsoft.com/office/drawing/2014/main" id="{C1DAE50A-9836-4791-BE96-2FA4CB1948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3469" y="0"/>
          <a:ext cx="17165205" cy="1310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34\Documentos\Users\destupinan\Downloads\Formato%20No%2014%20Matriz%20de%20Riesgos%20y%20Controles%20GA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34\Documentos\Users\destupinan\Desktop\FUGA\2021\Agosto%202021\Riesgos\carpeta%20riesgos\1.%20Matriz_mapa_riesg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34\Documentos\Users\destupinan\Desktop\FUGA\2022\Febrero%202022\Evidencia%202\1.%20Matriz_mapa_riesgos%20transformaci&#243;n%20cultural%202601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0.34\Documentos\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LISTA"/>
      <sheetName val="RIESGOS"/>
      <sheetName val="CONTROL"/>
    </sheetNames>
    <sheetDataSet>
      <sheetData sheetId="0"/>
      <sheetData sheetId="1"/>
      <sheetData sheetId="2">
        <row r="5">
          <cell r="C5">
            <v>3</v>
          </cell>
        </row>
        <row r="6">
          <cell r="C6">
            <v>2</v>
          </cell>
        </row>
        <row r="7">
          <cell r="C7">
            <v>1</v>
          </cell>
        </row>
      </sheetData>
      <sheetData sheetId="3">
        <row r="2">
          <cell r="I2" t="str">
            <v>ADECUADO</v>
          </cell>
          <cell r="L2" t="str">
            <v>DOCUMENTADO</v>
          </cell>
        </row>
        <row r="3">
          <cell r="I3" t="str">
            <v>PARCIAL</v>
          </cell>
          <cell r="L3" t="str">
            <v>NO DOCUMENTADO</v>
          </cell>
          <cell r="N3" t="str">
            <v>EXISTE</v>
          </cell>
        </row>
        <row r="4">
          <cell r="I4" t="str">
            <v>INADECUADO</v>
          </cell>
          <cell r="N4" t="str">
            <v>PARCIAL</v>
          </cell>
        </row>
        <row r="5">
          <cell r="I5" t="str">
            <v>INEXISTENTE</v>
          </cell>
          <cell r="N5" t="str">
            <v>NO EXISTE</v>
          </cell>
        </row>
        <row r="8">
          <cell r="R8" t="str">
            <v>PREVENTIVO</v>
          </cell>
        </row>
        <row r="9">
          <cell r="L9" t="str">
            <v>RAZONABLE</v>
          </cell>
          <cell r="R9" t="str">
            <v>CORRECTIVO</v>
          </cell>
        </row>
        <row r="10">
          <cell r="L10" t="str">
            <v>NO RAZONABLE</v>
          </cell>
        </row>
        <row r="12">
          <cell r="R12" t="str">
            <v>EXISTE</v>
          </cell>
        </row>
        <row r="13">
          <cell r="R13" t="str">
            <v>NO EXISTE</v>
          </cell>
        </row>
        <row r="19">
          <cell r="X19" t="str">
            <v>NO</v>
          </cell>
        </row>
        <row r="20">
          <cell r="T20" t="str">
            <v>NO HALLAZGOS</v>
          </cell>
          <cell r="X20" t="str">
            <v>SI</v>
          </cell>
        </row>
        <row r="21">
          <cell r="T21" t="str">
            <v>HALLAZGOS NO MATERIALES</v>
          </cell>
        </row>
        <row r="22">
          <cell r="T22" t="str">
            <v>HALLAZGOS  MATERIALES</v>
          </cell>
        </row>
        <row r="23">
          <cell r="N23" t="str">
            <v>AUTOMATICO</v>
          </cell>
        </row>
        <row r="24">
          <cell r="N24" t="str">
            <v>MANUAL</v>
          </cell>
        </row>
        <row r="28">
          <cell r="K28" t="str">
            <v>SI</v>
          </cell>
        </row>
        <row r="29">
          <cell r="K29"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row r="221">
          <cell r="B221" t="str">
            <v>Criterios</v>
          </cell>
        </row>
        <row r="222">
          <cell r="B222" t="str">
            <v>Afectación Económica o presupuestal</v>
          </cell>
        </row>
        <row r="223">
          <cell r="B223" t="str">
            <v>Pérdida Reputacional</v>
          </cell>
          <cell r="F223" t="str">
            <v>❌</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 de corrupción"/>
      <sheetName val="Riesgos de gestión"/>
      <sheetName val="Riesgo de gestión"/>
      <sheetName val="R.corrupción estimulos"/>
      <sheetName val="R.corrupción alquiler"/>
      <sheetName val="R. corrupción formación"/>
      <sheetName val="R.corrupción expo"/>
      <sheetName val="Riesgos de segInf"/>
      <sheetName val="Riesgos Seguridad D información"/>
      <sheetName val="SARLAF"/>
      <sheetName val="Tabla probabilidad"/>
      <sheetName val="Tabla Impacto"/>
      <sheetName val="Tabla Valoración controles"/>
      <sheetName val="Matrices"/>
      <sheetName val="Matriz Calor Inherente"/>
      <sheetName val="Matriz Calor Residual"/>
      <sheetName val="Opciones Tratamiento"/>
      <sheetName val="Hoja1"/>
    </sheetNames>
    <sheetDataSet>
      <sheetData sheetId="0"/>
      <sheetData sheetId="1">
        <row r="9">
          <cell r="A9" t="str">
            <v>PROCESO</v>
          </cell>
          <cell r="I9" t="str">
            <v>Objetivo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row r="51">
          <cell r="F51"/>
        </row>
        <row r="59">
          <cell r="F59"/>
          <cell r="H59" t="str">
            <v>Completa</v>
          </cell>
          <cell r="J59"/>
        </row>
      </sheetData>
      <sheetData sheetId="1"/>
      <sheetData sheetId="2"/>
      <sheetData sheetId="3">
        <row r="2">
          <cell r="S2" t="str">
            <v>Asignado</v>
          </cell>
        </row>
        <row r="3">
          <cell r="S3" t="str">
            <v>No asignado</v>
          </cell>
        </row>
        <row r="4">
          <cell r="S4" t="str">
            <v xml:space="preserve">Adecuado </v>
          </cell>
        </row>
        <row r="5">
          <cell r="S5" t="str">
            <v>Inadecuado</v>
          </cell>
        </row>
        <row r="6">
          <cell r="S6" t="str">
            <v>Oportuno</v>
          </cell>
        </row>
        <row r="7">
          <cell r="S7" t="str">
            <v>Inoportuno</v>
          </cell>
        </row>
        <row r="8">
          <cell r="S8" t="str">
            <v>Prevenir</v>
          </cell>
        </row>
        <row r="9">
          <cell r="S9" t="str">
            <v>Detectar</v>
          </cell>
        </row>
        <row r="10">
          <cell r="S10" t="str">
            <v xml:space="preserve">No es un control </v>
          </cell>
        </row>
        <row r="11">
          <cell r="S11" t="str">
            <v>Confiable</v>
          </cell>
        </row>
        <row r="12">
          <cell r="S12" t="str">
            <v>No confiable</v>
          </cell>
        </row>
        <row r="13">
          <cell r="S13" t="str">
            <v xml:space="preserve">Se investigan y resuelven oportunamente  </v>
          </cell>
        </row>
        <row r="14">
          <cell r="S14" t="str">
            <v xml:space="preserve">No se investigan y resuelven oportunamente </v>
          </cell>
        </row>
        <row r="15">
          <cell r="S15" t="str">
            <v>Completa</v>
          </cell>
        </row>
        <row r="16">
          <cell r="S16" t="str">
            <v>Incompleta</v>
          </cell>
        </row>
        <row r="17">
          <cell r="S17" t="str">
            <v>No existe</v>
          </cell>
        </row>
      </sheetData>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DEISY JOHANA ESTUPINAN MELO" id="{AA5FC015-7C97-447D-96E6-05A106D4AE4E}" userId="DEISY JOHANA ESTUPINAN MELO"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fb t="e">#NAME?</fb>
    <v>4</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3" dataDxfId="2">
  <autoFilter ref="B209:C219" xr:uid="{00000000-0009-0000-0100-000001000000}"/>
  <tableColumns count="2">
    <tableColumn id="1" xr3:uid="{00000000-0010-0000-0000-000001000000}" name="Criterios" dataDxfId="1"/>
    <tableColumn id="2" xr3:uid="{00000000-0010-0000-0000-000002000000}" name="Subcriterio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8" dT="2021-04-27T21:14:01.50" personId="{AA5FC015-7C97-447D-96E6-05A106D4AE4E}" id="{B1C731C1-77D1-4866-AACF-6CA64E614985}">
    <text>Ajuste y lista desplegable. Ver la aprobación en politica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0BB45-A6A5-4E5B-A7E2-12F6E3B74AB1}">
  <dimension ref="B1:T64"/>
  <sheetViews>
    <sheetView topLeftCell="A7" zoomScale="90" zoomScaleNormal="90" workbookViewId="0">
      <selection activeCell="U1" sqref="U1"/>
    </sheetView>
  </sheetViews>
  <sheetFormatPr baseColWidth="10" defaultRowHeight="15" x14ac:dyDescent="0.25"/>
  <cols>
    <col min="1" max="1" width="10.28515625" customWidth="1"/>
  </cols>
  <sheetData>
    <row r="1" spans="2:20" ht="84.75" customHeight="1" thickBot="1" x14ac:dyDescent="0.3"/>
    <row r="2" spans="2:20" ht="17.25" customHeight="1" x14ac:dyDescent="0.25">
      <c r="B2" s="437"/>
      <c r="C2" s="438"/>
      <c r="D2" s="438"/>
      <c r="E2" s="438"/>
      <c r="F2" s="438"/>
      <c r="G2" s="438"/>
      <c r="H2" s="438"/>
      <c r="I2" s="438"/>
      <c r="J2" s="438"/>
      <c r="K2" s="438"/>
      <c r="L2" s="438"/>
      <c r="M2" s="438"/>
      <c r="N2" s="438"/>
      <c r="O2" s="438"/>
      <c r="P2" s="438"/>
      <c r="Q2" s="438"/>
      <c r="R2" s="438"/>
      <c r="S2" s="438"/>
      <c r="T2" s="439"/>
    </row>
    <row r="3" spans="2:20" ht="17.25" customHeight="1" x14ac:dyDescent="0.25">
      <c r="B3" s="440"/>
      <c r="C3" s="441"/>
      <c r="D3" s="441"/>
      <c r="E3" s="441"/>
      <c r="F3" s="441"/>
      <c r="G3" s="441"/>
      <c r="H3" s="441"/>
      <c r="I3" s="441"/>
      <c r="J3" s="441"/>
      <c r="K3" s="441"/>
      <c r="L3" s="441"/>
      <c r="M3" s="441"/>
      <c r="N3" s="441"/>
      <c r="O3" s="441"/>
      <c r="P3" s="441"/>
      <c r="Q3" s="441"/>
      <c r="R3" s="441"/>
      <c r="S3" s="441"/>
      <c r="T3" s="442"/>
    </row>
    <row r="4" spans="2:20" ht="17.25" customHeight="1" x14ac:dyDescent="0.25">
      <c r="B4" s="440"/>
      <c r="C4" s="441"/>
      <c r="D4" s="441"/>
      <c r="E4" s="441"/>
      <c r="F4" s="441"/>
      <c r="G4" s="441"/>
      <c r="H4" s="441"/>
      <c r="I4" s="441"/>
      <c r="J4" s="441"/>
      <c r="K4" s="441"/>
      <c r="L4" s="441"/>
      <c r="M4" s="441"/>
      <c r="N4" s="441"/>
      <c r="O4" s="441"/>
      <c r="P4" s="441"/>
      <c r="Q4" s="441"/>
      <c r="R4" s="441"/>
      <c r="S4" s="441"/>
      <c r="T4" s="442"/>
    </row>
    <row r="5" spans="2:20" ht="17.25" customHeight="1" thickBot="1" x14ac:dyDescent="0.3">
      <c r="B5" s="443"/>
      <c r="C5" s="444"/>
      <c r="D5" s="444"/>
      <c r="E5" s="444"/>
      <c r="F5" s="444"/>
      <c r="G5" s="444"/>
      <c r="H5" s="444"/>
      <c r="I5" s="444"/>
      <c r="J5" s="444"/>
      <c r="K5" s="444"/>
      <c r="L5" s="444"/>
      <c r="M5" s="444"/>
      <c r="N5" s="444"/>
      <c r="O5" s="444"/>
      <c r="P5" s="444"/>
      <c r="Q5" s="444"/>
      <c r="R5" s="444"/>
      <c r="S5" s="444"/>
      <c r="T5" s="445"/>
    </row>
    <row r="6" spans="2:20" x14ac:dyDescent="0.25">
      <c r="B6" s="296"/>
      <c r="T6" s="297"/>
    </row>
    <row r="7" spans="2:20" x14ac:dyDescent="0.25">
      <c r="B7" s="296"/>
      <c r="T7" s="297"/>
    </row>
    <row r="8" spans="2:20" x14ac:dyDescent="0.25">
      <c r="B8" s="296"/>
      <c r="T8" s="297"/>
    </row>
    <row r="9" spans="2:20" x14ac:dyDescent="0.25">
      <c r="B9" s="296"/>
      <c r="T9" s="297"/>
    </row>
    <row r="10" spans="2:20" x14ac:dyDescent="0.25">
      <c r="B10" s="296"/>
      <c r="T10" s="297"/>
    </row>
    <row r="11" spans="2:20" x14ac:dyDescent="0.25">
      <c r="B11" s="296"/>
      <c r="T11" s="297"/>
    </row>
    <row r="12" spans="2:20" x14ac:dyDescent="0.25">
      <c r="B12" s="296"/>
      <c r="T12" s="297"/>
    </row>
    <row r="13" spans="2:20" x14ac:dyDescent="0.25">
      <c r="B13" s="296"/>
      <c r="T13" s="297"/>
    </row>
    <row r="14" spans="2:20" x14ac:dyDescent="0.25">
      <c r="B14" s="296"/>
      <c r="T14" s="297"/>
    </row>
    <row r="15" spans="2:20" x14ac:dyDescent="0.25">
      <c r="B15" s="296"/>
      <c r="T15" s="297"/>
    </row>
    <row r="16" spans="2:20" x14ac:dyDescent="0.25">
      <c r="B16" s="296"/>
      <c r="T16" s="297"/>
    </row>
    <row r="17" spans="2:20" x14ac:dyDescent="0.25">
      <c r="B17" s="296"/>
      <c r="T17" s="297"/>
    </row>
    <row r="18" spans="2:20" x14ac:dyDescent="0.25">
      <c r="B18" s="296"/>
      <c r="T18" s="297"/>
    </row>
    <row r="19" spans="2:20" x14ac:dyDescent="0.25">
      <c r="B19" s="296"/>
      <c r="T19" s="297"/>
    </row>
    <row r="20" spans="2:20" x14ac:dyDescent="0.25">
      <c r="B20" s="296"/>
      <c r="T20" s="297"/>
    </row>
    <row r="21" spans="2:20" x14ac:dyDescent="0.25">
      <c r="B21" s="296"/>
      <c r="T21" s="297"/>
    </row>
    <row r="22" spans="2:20" x14ac:dyDescent="0.25">
      <c r="B22" s="296"/>
      <c r="T22" s="297"/>
    </row>
    <row r="23" spans="2:20" x14ac:dyDescent="0.25">
      <c r="B23" s="296"/>
      <c r="T23" s="297"/>
    </row>
    <row r="24" spans="2:20" x14ac:dyDescent="0.25">
      <c r="B24" s="296"/>
      <c r="T24" s="297"/>
    </row>
    <row r="25" spans="2:20" x14ac:dyDescent="0.25">
      <c r="B25" s="296"/>
      <c r="T25" s="297"/>
    </row>
    <row r="26" spans="2:20" x14ac:dyDescent="0.25">
      <c r="B26" s="296"/>
      <c r="T26" s="297"/>
    </row>
    <row r="27" spans="2:20" x14ac:dyDescent="0.25">
      <c r="B27" s="296"/>
      <c r="T27" s="297"/>
    </row>
    <row r="28" spans="2:20" x14ac:dyDescent="0.25">
      <c r="B28" s="296"/>
      <c r="T28" s="297"/>
    </row>
    <row r="29" spans="2:20" x14ac:dyDescent="0.25">
      <c r="B29" s="296"/>
      <c r="T29" s="297"/>
    </row>
    <row r="30" spans="2:20" x14ac:dyDescent="0.25">
      <c r="B30" s="296"/>
      <c r="T30" s="297"/>
    </row>
    <row r="31" spans="2:20" ht="15.75" thickBot="1" x14ac:dyDescent="0.3">
      <c r="B31" s="298"/>
      <c r="C31" s="299"/>
      <c r="D31" s="299"/>
      <c r="E31" s="299"/>
      <c r="F31" s="299"/>
      <c r="G31" s="299"/>
      <c r="H31" s="299"/>
      <c r="I31" s="299"/>
      <c r="J31" s="299"/>
      <c r="K31" s="299"/>
      <c r="L31" s="299"/>
      <c r="M31" s="299"/>
      <c r="N31" s="299"/>
      <c r="O31" s="299"/>
      <c r="P31" s="299"/>
      <c r="Q31" s="299"/>
      <c r="R31" s="299"/>
      <c r="S31" s="299"/>
      <c r="T31" s="300"/>
    </row>
    <row r="64" spans="6:6" x14ac:dyDescent="0.25">
      <c r="F64" s="220"/>
    </row>
  </sheetData>
  <mergeCells count="1">
    <mergeCell ref="B2:T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87B02-FC57-4AD1-B62A-FF32887981A5}">
  <dimension ref="B1:CJ72"/>
  <sheetViews>
    <sheetView topLeftCell="A58" zoomScale="60" zoomScaleNormal="60" workbookViewId="0">
      <selection activeCell="E86" sqref="E86:E91"/>
    </sheetView>
  </sheetViews>
  <sheetFormatPr baseColWidth="10" defaultColWidth="11.42578125" defaultRowHeight="15" x14ac:dyDescent="0.25"/>
  <cols>
    <col min="1" max="2" width="1.5703125" style="140" customWidth="1"/>
    <col min="3" max="3" width="2.5703125" style="140" customWidth="1"/>
    <col min="4" max="4" width="25.5703125" style="140" customWidth="1"/>
    <col min="5" max="5" width="35.5703125" style="140" customWidth="1"/>
    <col min="6" max="6" width="32.28515625" style="140" customWidth="1"/>
    <col min="7" max="7" width="20" style="140" customWidth="1"/>
    <col min="8" max="8" width="43.42578125" style="140" customWidth="1"/>
    <col min="9" max="9" width="16.140625" style="140" customWidth="1"/>
    <col min="10" max="10" width="19.85546875" style="140" customWidth="1"/>
    <col min="11" max="11" width="19.7109375" style="140" customWidth="1"/>
    <col min="12" max="12" width="2.42578125" style="140" customWidth="1"/>
    <col min="13" max="13" width="17.28515625" style="140" customWidth="1"/>
    <col min="14" max="14" width="21.42578125" style="140" customWidth="1"/>
    <col min="15" max="15" width="20.5703125" style="140" customWidth="1"/>
    <col min="16" max="16" width="16.140625" style="140" customWidth="1"/>
    <col min="17" max="17" width="20.85546875" style="140" customWidth="1"/>
    <col min="18" max="18" width="21.140625" style="140" customWidth="1"/>
    <col min="19" max="19" width="18.7109375" style="140" customWidth="1"/>
    <col min="20" max="20" width="15.28515625" style="140" customWidth="1"/>
    <col min="21" max="21" width="14.28515625" style="140" customWidth="1"/>
    <col min="22" max="22" width="20.140625" style="140" customWidth="1"/>
    <col min="23" max="23" width="11.5703125" style="140" customWidth="1"/>
    <col min="24" max="25" width="6.42578125" style="140" customWidth="1"/>
    <col min="26" max="26" width="5.5703125" style="140" customWidth="1"/>
    <col min="27" max="28" width="9.85546875" style="140" customWidth="1"/>
    <col min="29" max="30" width="9.42578125" style="140" customWidth="1"/>
    <col min="31" max="31" width="5.5703125" style="140" customWidth="1"/>
    <col min="32" max="32" width="20.42578125" style="140" customWidth="1"/>
    <col min="33" max="33" width="7.85546875" style="140" customWidth="1"/>
    <col min="34" max="34" width="6.5703125" style="140" customWidth="1"/>
    <col min="35" max="35" width="13.42578125" style="140" customWidth="1"/>
    <col min="36" max="37" width="7.140625" style="140" customWidth="1"/>
    <col min="38" max="40" width="16.85546875" style="140" customWidth="1"/>
    <col min="41" max="41" width="5.5703125" style="140" customWidth="1"/>
    <col min="42" max="42" width="17.140625" style="140" customWidth="1"/>
    <col min="43" max="43" width="15.28515625" style="140" customWidth="1"/>
    <col min="44" max="44" width="16.28515625" style="140" customWidth="1"/>
    <col min="45" max="45" width="14.5703125" style="140" customWidth="1"/>
    <col min="46" max="46" width="16" style="140" customWidth="1"/>
    <col min="47" max="47" width="15" style="140" customWidth="1"/>
    <col min="48" max="82" width="5.5703125" style="140" customWidth="1"/>
    <col min="83" max="83" width="11.5703125" style="140" customWidth="1"/>
    <col min="84" max="84" width="8.42578125" style="140" customWidth="1"/>
    <col min="85" max="85" width="8.7109375" style="140" customWidth="1"/>
    <col min="86" max="86" width="11.42578125" style="140"/>
    <col min="87" max="87" width="43.7109375" style="140" customWidth="1"/>
    <col min="88" max="88" width="67.85546875" style="140" customWidth="1"/>
    <col min="89" max="89" width="13.28515625" style="140" customWidth="1"/>
    <col min="90" max="95" width="11.42578125" style="140"/>
    <col min="96" max="96" width="12.85546875" style="140" customWidth="1"/>
    <col min="97" max="97" width="16.85546875" style="140" customWidth="1"/>
    <col min="98" max="98" width="19.28515625" style="140" customWidth="1"/>
    <col min="99" max="99" width="21.140625" style="140" customWidth="1"/>
    <col min="100" max="100" width="18" style="140" customWidth="1"/>
    <col min="101" max="16384" width="11.42578125" style="140"/>
  </cols>
  <sheetData>
    <row r="1" spans="2:86" ht="74.25" customHeight="1" x14ac:dyDescent="0.25"/>
    <row r="2" spans="2:86" ht="33.75" customHeight="1" thickBot="1" x14ac:dyDescent="0.3">
      <c r="B2" s="141"/>
      <c r="C2" s="142"/>
      <c r="D2" s="142"/>
      <c r="E2" s="142"/>
      <c r="F2" s="142"/>
      <c r="G2" s="142"/>
      <c r="H2" s="142"/>
      <c r="I2" s="142"/>
      <c r="J2" s="142"/>
      <c r="K2" s="142"/>
      <c r="L2" s="142"/>
      <c r="M2" s="142"/>
      <c r="N2" s="142"/>
      <c r="O2" s="142"/>
      <c r="P2" s="142"/>
      <c r="Q2" s="142"/>
      <c r="R2" s="142"/>
      <c r="S2" s="142"/>
      <c r="T2" s="142"/>
      <c r="U2" s="142"/>
      <c r="V2" s="142"/>
      <c r="W2" s="142"/>
      <c r="X2" s="142"/>
      <c r="Y2" s="142"/>
    </row>
    <row r="3" spans="2:86" ht="33" customHeight="1" thickBot="1" x14ac:dyDescent="0.3">
      <c r="B3" s="143"/>
      <c r="C3" s="144"/>
      <c r="D3" s="792"/>
      <c r="E3" s="793"/>
      <c r="F3" s="793"/>
      <c r="G3" s="162" t="s">
        <v>43</v>
      </c>
      <c r="H3" s="796" t="s">
        <v>205</v>
      </c>
      <c r="I3" s="797"/>
      <c r="J3" s="797"/>
      <c r="K3" s="797"/>
      <c r="L3" s="797"/>
      <c r="M3" s="797"/>
      <c r="N3" s="797"/>
      <c r="O3" s="797"/>
      <c r="P3" s="797"/>
      <c r="Q3" s="797"/>
      <c r="R3" s="797"/>
      <c r="S3" s="797"/>
      <c r="T3" s="797"/>
      <c r="U3" s="797"/>
      <c r="V3" s="797"/>
      <c r="W3" s="797"/>
      <c r="X3" s="797"/>
      <c r="Y3" s="798"/>
      <c r="Z3" s="163"/>
      <c r="AA3" s="163"/>
      <c r="AB3" s="163"/>
      <c r="AC3" s="163"/>
      <c r="AD3" s="163"/>
      <c r="AE3" s="163"/>
      <c r="AF3" s="163"/>
      <c r="AG3" s="163"/>
      <c r="AH3" s="163"/>
      <c r="CE3" s="146"/>
      <c r="CF3" s="146"/>
      <c r="CG3" s="146"/>
      <c r="CH3" s="146"/>
    </row>
    <row r="4" spans="2:86" ht="33" customHeight="1" thickBot="1" x14ac:dyDescent="0.3">
      <c r="B4" s="143"/>
      <c r="C4" s="144"/>
      <c r="D4" s="794"/>
      <c r="E4" s="795"/>
      <c r="F4" s="795"/>
      <c r="G4" s="145" t="s">
        <v>206</v>
      </c>
      <c r="H4" s="799" t="s">
        <v>207</v>
      </c>
      <c r="I4" s="800"/>
      <c r="J4" s="801"/>
      <c r="K4" s="802" t="s">
        <v>208</v>
      </c>
      <c r="L4" s="803"/>
      <c r="M4" s="803"/>
      <c r="N4" s="803"/>
      <c r="O4" s="803"/>
      <c r="P4" s="804" t="s">
        <v>209</v>
      </c>
      <c r="Q4" s="804"/>
      <c r="R4" s="804"/>
      <c r="S4" s="805"/>
      <c r="T4" s="802" t="s">
        <v>210</v>
      </c>
      <c r="U4" s="806"/>
      <c r="V4" s="807">
        <v>1</v>
      </c>
      <c r="W4" s="808"/>
      <c r="X4" s="808"/>
      <c r="Y4" s="809"/>
      <c r="Z4" s="164"/>
      <c r="AA4" s="164"/>
      <c r="AB4" s="164"/>
      <c r="AC4" s="165"/>
      <c r="AD4" s="165"/>
      <c r="AE4" s="165"/>
      <c r="AF4" s="165"/>
      <c r="AG4" s="165"/>
      <c r="AH4" s="165"/>
      <c r="CE4" s="146"/>
      <c r="CF4" s="146"/>
      <c r="CG4" s="146"/>
      <c r="CH4" s="146"/>
    </row>
    <row r="5" spans="2:86" x14ac:dyDescent="0.25">
      <c r="B5" s="143"/>
      <c r="C5" s="144"/>
      <c r="D5" s="147"/>
      <c r="E5" s="147"/>
      <c r="F5" s="148"/>
      <c r="G5" s="829"/>
      <c r="H5" s="829"/>
      <c r="I5" s="829"/>
      <c r="J5" s="829"/>
      <c r="K5" s="825"/>
      <c r="L5" s="825"/>
      <c r="M5" s="825"/>
      <c r="N5" s="825"/>
      <c r="O5" s="825"/>
      <c r="P5" s="825"/>
      <c r="Q5" s="825"/>
      <c r="R5" s="825"/>
      <c r="S5" s="825"/>
      <c r="T5" s="829"/>
      <c r="U5" s="829"/>
      <c r="V5" s="829"/>
      <c r="W5" s="829"/>
      <c r="X5" s="829"/>
      <c r="Y5" s="829"/>
      <c r="CE5" s="146"/>
      <c r="CF5" s="146"/>
      <c r="CG5" s="146"/>
      <c r="CH5" s="146"/>
    </row>
    <row r="6" spans="2:86" ht="6.75" customHeight="1" thickBot="1" x14ac:dyDescent="0.3">
      <c r="B6" s="143"/>
      <c r="D6" s="149"/>
      <c r="E6" s="149"/>
      <c r="F6" s="149"/>
      <c r="G6" s="149"/>
      <c r="H6" s="149"/>
      <c r="I6" s="149"/>
      <c r="J6" s="149"/>
      <c r="K6" s="149"/>
      <c r="L6" s="149"/>
      <c r="M6" s="149"/>
      <c r="N6" s="150"/>
      <c r="O6" s="150"/>
      <c r="P6" s="150"/>
      <c r="Q6" s="150"/>
      <c r="R6" s="149"/>
      <c r="S6" s="146"/>
      <c r="T6" s="146"/>
      <c r="U6" s="146"/>
      <c r="V6" s="146"/>
      <c r="W6" s="146"/>
      <c r="X6" s="146"/>
      <c r="Y6" s="146"/>
      <c r="CE6" s="146"/>
      <c r="CF6" s="146"/>
      <c r="CG6" s="146"/>
      <c r="CH6" s="146"/>
    </row>
    <row r="7" spans="2:86" ht="15" customHeight="1" x14ac:dyDescent="0.25">
      <c r="B7" s="143"/>
      <c r="C7" s="144"/>
      <c r="D7" s="812" t="s">
        <v>460</v>
      </c>
      <c r="E7" s="813"/>
      <c r="F7" s="813"/>
      <c r="G7" s="813"/>
      <c r="H7" s="813"/>
      <c r="I7" s="813"/>
      <c r="J7" s="813"/>
      <c r="K7" s="813"/>
      <c r="L7" s="813"/>
      <c r="M7" s="813"/>
      <c r="N7" s="813"/>
      <c r="O7" s="813"/>
      <c r="P7" s="813"/>
      <c r="Q7" s="813"/>
      <c r="R7" s="813"/>
      <c r="S7" s="813"/>
      <c r="T7" s="813"/>
      <c r="U7" s="813"/>
      <c r="V7" s="813"/>
      <c r="W7" s="813"/>
      <c r="X7" s="813"/>
      <c r="Y7" s="814"/>
      <c r="Z7" s="268"/>
      <c r="AA7" s="268"/>
      <c r="AB7" s="268"/>
      <c r="AC7" s="268"/>
      <c r="AD7" s="268"/>
      <c r="AE7" s="268"/>
      <c r="AF7" s="268"/>
      <c r="AG7" s="268"/>
      <c r="AH7" s="268"/>
      <c r="AI7" s="268"/>
      <c r="AJ7" s="268"/>
      <c r="AK7" s="268"/>
      <c r="AL7" s="268"/>
      <c r="AM7" s="268"/>
      <c r="AN7" s="268"/>
      <c r="AO7" s="268"/>
      <c r="CE7" s="146"/>
      <c r="CF7" s="146"/>
      <c r="CG7" s="146"/>
      <c r="CH7" s="146"/>
    </row>
    <row r="8" spans="2:86" ht="7.5" customHeight="1" thickBot="1" x14ac:dyDescent="0.3">
      <c r="B8" s="143"/>
      <c r="D8" s="815"/>
      <c r="E8" s="816"/>
      <c r="F8" s="816"/>
      <c r="G8" s="816"/>
      <c r="H8" s="816"/>
      <c r="I8" s="816"/>
      <c r="J8" s="816"/>
      <c r="K8" s="816"/>
      <c r="L8" s="816"/>
      <c r="M8" s="816"/>
      <c r="N8" s="816"/>
      <c r="O8" s="816"/>
      <c r="P8" s="816"/>
      <c r="Q8" s="816"/>
      <c r="R8" s="816"/>
      <c r="S8" s="816"/>
      <c r="T8" s="816"/>
      <c r="U8" s="816"/>
      <c r="V8" s="816"/>
      <c r="W8" s="816"/>
      <c r="X8" s="816"/>
      <c r="Y8" s="817"/>
      <c r="Z8" s="268"/>
      <c r="AA8" s="268"/>
      <c r="AB8" s="268"/>
      <c r="AC8" s="268"/>
      <c r="AD8" s="268"/>
      <c r="AE8" s="268"/>
      <c r="AF8" s="268"/>
      <c r="AG8" s="268"/>
      <c r="AH8" s="268"/>
      <c r="AI8" s="268"/>
      <c r="AJ8" s="268"/>
      <c r="AK8" s="268"/>
      <c r="AL8" s="268"/>
      <c r="AM8" s="268"/>
      <c r="AN8" s="268"/>
      <c r="AO8" s="268"/>
      <c r="CE8" s="146"/>
      <c r="CF8" s="146"/>
      <c r="CG8" s="146"/>
      <c r="CH8" s="146"/>
    </row>
    <row r="9" spans="2:86" ht="20.25" customHeight="1" thickBot="1" x14ac:dyDescent="0.3">
      <c r="B9" s="143"/>
      <c r="D9" s="810" t="s">
        <v>43</v>
      </c>
      <c r="E9" s="811"/>
      <c r="F9" s="818" t="str">
        <f>'Datos del proceso'!A10</f>
        <v>GESTIÓN FINANCIERAS</v>
      </c>
      <c r="G9" s="819"/>
      <c r="H9" s="819"/>
      <c r="I9" s="819"/>
      <c r="J9" s="819"/>
      <c r="K9" s="819"/>
      <c r="L9" s="819"/>
      <c r="M9" s="819"/>
      <c r="N9" s="819"/>
      <c r="O9" s="819"/>
      <c r="P9" s="819"/>
      <c r="Q9" s="819"/>
      <c r="R9" s="819"/>
      <c r="S9" s="819"/>
      <c r="T9" s="819"/>
      <c r="U9" s="819"/>
      <c r="V9" s="819"/>
      <c r="W9" s="819"/>
      <c r="X9" s="819"/>
      <c r="Y9" s="820"/>
      <c r="CE9" s="146"/>
      <c r="CF9" s="146"/>
      <c r="CG9" s="146"/>
      <c r="CH9" s="146"/>
    </row>
    <row r="10" spans="2:86" ht="24.75" customHeight="1" thickBot="1" x14ac:dyDescent="0.3">
      <c r="B10" s="143"/>
      <c r="D10" s="810" t="s">
        <v>130</v>
      </c>
      <c r="E10" s="811"/>
      <c r="F10" s="821" t="str">
        <f>'Datos del proceso'!I10</f>
        <v>Administrar las operaciones financieras y económicas de la FUGA de manera eficaz, transparente y oportuna para la toma de decisiones en cumplimiento de su misión durante la ejecución del plan de desarrollo, cumpliendo con el 100% de  las solicitudes internas de acuerdo a los procedimientos establecidos</v>
      </c>
      <c r="G10" s="822"/>
      <c r="H10" s="822"/>
      <c r="I10" s="822"/>
      <c r="J10" s="822"/>
      <c r="K10" s="822"/>
      <c r="L10" s="822"/>
      <c r="M10" s="822"/>
      <c r="N10" s="822"/>
      <c r="O10" s="822"/>
      <c r="P10" s="822"/>
      <c r="Q10" s="822"/>
      <c r="R10" s="822"/>
      <c r="S10" s="822"/>
      <c r="T10" s="822"/>
      <c r="U10" s="822"/>
      <c r="V10" s="822"/>
      <c r="W10" s="822"/>
      <c r="X10" s="822"/>
      <c r="Y10" s="823"/>
      <c r="CE10" s="146"/>
      <c r="CF10" s="146"/>
      <c r="CG10" s="146"/>
      <c r="CH10" s="146"/>
    </row>
    <row r="11" spans="2:86" ht="1.5" customHeight="1" x14ac:dyDescent="0.25">
      <c r="B11" s="143"/>
      <c r="C11" s="144"/>
      <c r="D11" s="824"/>
      <c r="E11" s="824"/>
      <c r="G11" s="825"/>
      <c r="H11" s="825"/>
      <c r="I11" s="825"/>
      <c r="J11" s="825"/>
      <c r="K11" s="825"/>
      <c r="L11" s="825"/>
      <c r="M11" s="825"/>
      <c r="N11" s="825"/>
      <c r="O11" s="825"/>
      <c r="P11" s="825"/>
      <c r="Q11" s="825"/>
      <c r="R11" s="825"/>
      <c r="S11" s="825"/>
      <c r="T11" s="825"/>
      <c r="U11" s="825"/>
      <c r="V11" s="825"/>
      <c r="W11" s="825"/>
      <c r="X11" s="825"/>
      <c r="Y11" s="825"/>
      <c r="CE11" s="146"/>
      <c r="CF11" s="146"/>
      <c r="CG11" s="146"/>
      <c r="CH11" s="146"/>
    </row>
    <row r="12" spans="2:86" ht="7.5" customHeight="1" x14ac:dyDescent="0.25">
      <c r="B12" s="143"/>
      <c r="S12" s="146"/>
      <c r="T12" s="146"/>
      <c r="U12" s="146"/>
      <c r="V12" s="146"/>
      <c r="W12" s="146"/>
      <c r="X12" s="146"/>
      <c r="Y12" s="146"/>
      <c r="CE12" s="146"/>
      <c r="CF12" s="146"/>
      <c r="CG12" s="146"/>
      <c r="CH12" s="146"/>
    </row>
    <row r="13" spans="2:86" ht="30" customHeight="1" x14ac:dyDescent="0.25">
      <c r="B13" s="143"/>
      <c r="D13" s="826" t="s">
        <v>211</v>
      </c>
      <c r="E13" s="826"/>
      <c r="F13" s="826"/>
      <c r="G13" s="826"/>
      <c r="H13" s="826"/>
      <c r="I13" s="826"/>
      <c r="J13" s="826"/>
      <c r="K13" s="826"/>
      <c r="L13" s="826"/>
      <c r="M13" s="826"/>
      <c r="N13" s="826"/>
      <c r="O13" s="826"/>
      <c r="P13" s="826"/>
      <c r="Q13" s="826"/>
      <c r="R13" s="826"/>
      <c r="S13" s="826"/>
      <c r="T13" s="826"/>
      <c r="U13" s="826"/>
      <c r="V13" s="826"/>
      <c r="W13" s="826"/>
      <c r="X13" s="826"/>
      <c r="Y13" s="826"/>
      <c r="CE13" s="146"/>
      <c r="CF13" s="146"/>
      <c r="CG13" s="146"/>
      <c r="CH13" s="146"/>
    </row>
    <row r="14" spans="2:86" x14ac:dyDescent="0.25">
      <c r="B14" s="143"/>
      <c r="C14" s="144"/>
      <c r="D14" s="827" t="s">
        <v>212</v>
      </c>
      <c r="E14" s="827"/>
      <c r="F14" s="827"/>
      <c r="G14" s="827"/>
      <c r="H14" s="827"/>
      <c r="I14" s="827"/>
      <c r="J14" s="827"/>
      <c r="K14" s="827"/>
      <c r="L14" s="827"/>
      <c r="M14" s="827"/>
      <c r="N14" s="827"/>
      <c r="O14" s="827"/>
      <c r="Q14" s="828" t="s">
        <v>213</v>
      </c>
      <c r="R14" s="828"/>
      <c r="S14" s="828"/>
      <c r="T14" s="828"/>
      <c r="U14" s="828"/>
      <c r="V14" s="828"/>
      <c r="W14" s="828"/>
      <c r="X14" s="828"/>
      <c r="Y14" s="828"/>
      <c r="CE14" s="146"/>
      <c r="CF14" s="146"/>
      <c r="CG14" s="146"/>
      <c r="CH14" s="146"/>
    </row>
    <row r="15" spans="2:86" ht="54.75" customHeight="1" x14ac:dyDescent="0.25">
      <c r="B15" s="143"/>
      <c r="C15" s="144"/>
      <c r="D15" s="151" t="s">
        <v>214</v>
      </c>
      <c r="E15" s="847" t="s">
        <v>215</v>
      </c>
      <c r="F15" s="847"/>
      <c r="G15" s="847"/>
      <c r="H15" s="847"/>
      <c r="I15" s="571" t="s">
        <v>216</v>
      </c>
      <c r="J15" s="571"/>
      <c r="K15" s="847" t="s">
        <v>215</v>
      </c>
      <c r="L15" s="847"/>
      <c r="M15" s="847"/>
      <c r="N15" s="152" t="s">
        <v>217</v>
      </c>
      <c r="O15" s="153" t="s">
        <v>215</v>
      </c>
      <c r="Q15" s="153" t="s">
        <v>218</v>
      </c>
      <c r="R15" s="293" t="s">
        <v>529</v>
      </c>
      <c r="S15" s="166" t="s">
        <v>219</v>
      </c>
      <c r="T15" s="153" t="s">
        <v>13</v>
      </c>
      <c r="U15" s="153" t="s">
        <v>317</v>
      </c>
      <c r="V15" s="167" t="s">
        <v>318</v>
      </c>
      <c r="W15" s="571" t="s">
        <v>220</v>
      </c>
      <c r="X15" s="571"/>
      <c r="Y15" s="571"/>
      <c r="CE15" s="146"/>
      <c r="CF15" s="146"/>
      <c r="CG15" s="146"/>
      <c r="CH15" s="146"/>
    </row>
    <row r="16" spans="2:86" ht="88.5" customHeight="1" x14ac:dyDescent="0.25">
      <c r="B16" s="143"/>
      <c r="D16" s="147"/>
      <c r="E16" s="848"/>
      <c r="F16" s="848"/>
      <c r="G16" s="848"/>
      <c r="H16" s="848"/>
      <c r="I16" s="829"/>
      <c r="J16" s="829"/>
      <c r="K16" s="845"/>
      <c r="L16" s="845"/>
      <c r="M16" s="845"/>
      <c r="N16" s="168"/>
      <c r="O16" s="169"/>
      <c r="Q16" s="830" t="s">
        <v>319</v>
      </c>
      <c r="R16" s="830"/>
      <c r="S16" s="849" t="s">
        <v>320</v>
      </c>
      <c r="T16" s="830" t="s">
        <v>321</v>
      </c>
      <c r="U16" s="168" t="s">
        <v>322</v>
      </c>
      <c r="V16" s="168" t="s">
        <v>323</v>
      </c>
      <c r="W16" s="833" t="s">
        <v>324</v>
      </c>
      <c r="X16" s="834"/>
      <c r="Y16" s="835"/>
      <c r="CE16" s="146"/>
      <c r="CF16" s="146"/>
      <c r="CG16" s="146"/>
      <c r="CH16" s="146"/>
    </row>
    <row r="17" spans="2:86" ht="89.25" customHeight="1" x14ac:dyDescent="0.25">
      <c r="B17" s="143"/>
      <c r="D17" s="147"/>
      <c r="E17" s="842"/>
      <c r="F17" s="843"/>
      <c r="G17" s="843"/>
      <c r="H17" s="844"/>
      <c r="I17" s="829"/>
      <c r="J17" s="829"/>
      <c r="K17" s="845"/>
      <c r="L17" s="845"/>
      <c r="M17" s="845"/>
      <c r="N17" s="168"/>
      <c r="O17" s="169"/>
      <c r="Q17" s="831"/>
      <c r="R17" s="831"/>
      <c r="S17" s="850"/>
      <c r="T17" s="831"/>
      <c r="U17" s="168" t="s">
        <v>325</v>
      </c>
      <c r="V17" s="168" t="s">
        <v>326</v>
      </c>
      <c r="W17" s="836"/>
      <c r="X17" s="837"/>
      <c r="Y17" s="838"/>
      <c r="Z17" s="146"/>
      <c r="AA17" s="146"/>
      <c r="AB17" s="146"/>
      <c r="AC17" s="146"/>
      <c r="AD17" s="146"/>
      <c r="AE17" s="146"/>
      <c r="AF17" s="146"/>
      <c r="AG17" s="146"/>
      <c r="AH17" s="146"/>
      <c r="AI17" s="146"/>
      <c r="AJ17" s="146"/>
      <c r="AK17" s="146"/>
      <c r="AL17" s="146"/>
      <c r="AM17" s="146"/>
      <c r="AN17" s="146"/>
      <c r="AO17" s="146"/>
      <c r="CE17" s="146"/>
      <c r="CF17" s="146"/>
      <c r="CG17" s="146"/>
      <c r="CH17" s="146"/>
    </row>
    <row r="18" spans="2:86" ht="104.25" customHeight="1" x14ac:dyDescent="0.25">
      <c r="B18" s="143"/>
      <c r="D18" s="147"/>
      <c r="E18" s="846"/>
      <c r="F18" s="846"/>
      <c r="G18" s="846"/>
      <c r="H18" s="846"/>
      <c r="I18" s="829"/>
      <c r="J18" s="829"/>
      <c r="K18" s="845"/>
      <c r="L18" s="845"/>
      <c r="M18" s="845"/>
      <c r="N18" s="168"/>
      <c r="O18" s="169"/>
      <c r="Q18" s="832"/>
      <c r="R18" s="832"/>
      <c r="S18" s="851"/>
      <c r="T18" s="832"/>
      <c r="U18" s="168"/>
      <c r="V18" s="168"/>
      <c r="W18" s="839"/>
      <c r="X18" s="840"/>
      <c r="Y18" s="841"/>
      <c r="Z18" s="146"/>
      <c r="AA18" s="146"/>
      <c r="AB18" s="146"/>
      <c r="AC18" s="146"/>
      <c r="AD18" s="146"/>
      <c r="AE18" s="146"/>
      <c r="AF18" s="146"/>
      <c r="AG18" s="146"/>
      <c r="AH18" s="146"/>
      <c r="AI18" s="146"/>
      <c r="AJ18" s="146"/>
      <c r="AK18" s="146"/>
      <c r="AL18" s="146"/>
      <c r="AM18" s="146"/>
      <c r="AN18" s="146"/>
      <c r="AO18" s="146"/>
      <c r="CE18" s="146"/>
      <c r="CF18" s="146"/>
      <c r="CG18" s="146"/>
      <c r="CH18" s="146"/>
    </row>
    <row r="19" spans="2:86" ht="15" customHeight="1" x14ac:dyDescent="0.25">
      <c r="B19" s="143"/>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row>
    <row r="20" spans="2:86" x14ac:dyDescent="0.25">
      <c r="B20" s="143"/>
      <c r="C20" s="852" t="s">
        <v>221</v>
      </c>
      <c r="D20" s="853"/>
      <c r="E20" s="853"/>
      <c r="F20" s="853"/>
      <c r="G20" s="853"/>
      <c r="H20" s="853"/>
      <c r="I20" s="853"/>
      <c r="J20" s="853"/>
      <c r="K20" s="853"/>
      <c r="L20" s="853"/>
      <c r="M20" s="853"/>
      <c r="N20" s="853"/>
      <c r="O20" s="853"/>
      <c r="P20" s="853"/>
      <c r="Q20" s="853"/>
      <c r="R20" s="853"/>
      <c r="S20" s="853"/>
      <c r="T20" s="853"/>
      <c r="U20" s="853"/>
      <c r="V20" s="853"/>
      <c r="W20" s="853"/>
      <c r="X20" s="853"/>
      <c r="Y20" s="853"/>
      <c r="Z20" s="146"/>
      <c r="AA20" s="864" t="s">
        <v>224</v>
      </c>
      <c r="AB20" s="864"/>
      <c r="AC20" s="864"/>
      <c r="AD20" s="864"/>
      <c r="AE20" s="864"/>
      <c r="AF20" s="864"/>
      <c r="AG20" s="864"/>
      <c r="AH20" s="864"/>
      <c r="AI20" s="864"/>
      <c r="AJ20" s="864"/>
      <c r="AK20" s="864"/>
      <c r="AL20" s="864"/>
      <c r="AM20" s="864"/>
      <c r="AN20" s="864"/>
      <c r="AO20" s="146"/>
      <c r="AP20" s="154"/>
      <c r="AQ20" s="154"/>
      <c r="AR20" s="154"/>
      <c r="AS20" s="154"/>
      <c r="AT20" s="154"/>
      <c r="AU20" s="154"/>
      <c r="AV20" s="146"/>
      <c r="AW20" s="154"/>
      <c r="AX20" s="154"/>
      <c r="AY20" s="154"/>
      <c r="AZ20" s="154"/>
      <c r="BA20" s="154"/>
      <c r="BB20" s="154"/>
      <c r="BC20" s="154"/>
      <c r="BD20" s="154"/>
      <c r="BE20" s="154"/>
      <c r="BF20" s="154"/>
      <c r="BG20" s="154"/>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H20" s="146"/>
    </row>
    <row r="21" spans="2:86" ht="6" customHeight="1" x14ac:dyDescent="0.25">
      <c r="B21" s="143"/>
      <c r="D21" s="146"/>
      <c r="E21" s="146"/>
      <c r="F21" s="146"/>
      <c r="G21" s="146"/>
      <c r="H21" s="146"/>
      <c r="I21" s="146"/>
      <c r="J21" s="146"/>
      <c r="K21" s="146"/>
      <c r="L21" s="146"/>
      <c r="M21" s="146"/>
      <c r="N21" s="146"/>
      <c r="O21" s="146"/>
      <c r="P21" s="146"/>
      <c r="Q21" s="146"/>
      <c r="R21" s="146"/>
      <c r="S21" s="146"/>
      <c r="T21" s="146"/>
      <c r="U21" s="146"/>
      <c r="V21" s="146"/>
      <c r="W21" s="146"/>
      <c r="X21" s="146"/>
      <c r="Y21" s="146"/>
      <c r="Z21" s="154"/>
      <c r="AO21" s="154"/>
      <c r="AV21" s="146"/>
      <c r="AW21" s="156"/>
      <c r="AX21" s="156"/>
      <c r="AY21" s="156"/>
      <c r="AZ21" s="156"/>
      <c r="BA21" s="156"/>
      <c r="BB21" s="156"/>
      <c r="BC21" s="156"/>
      <c r="BD21" s="156"/>
      <c r="BE21" s="156"/>
      <c r="BF21" s="156"/>
      <c r="BG21" s="15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row>
    <row r="22" spans="2:86" ht="24.75" customHeight="1" x14ac:dyDescent="0.25">
      <c r="B22" s="143"/>
      <c r="D22" s="854" t="s">
        <v>327</v>
      </c>
      <c r="E22" s="854"/>
      <c r="F22" s="854"/>
      <c r="G22" s="854"/>
      <c r="H22" s="855" t="s">
        <v>328</v>
      </c>
      <c r="I22" s="856"/>
      <c r="J22" s="856"/>
      <c r="K22" s="856"/>
      <c r="L22" s="856"/>
      <c r="M22" s="856"/>
      <c r="N22" s="856"/>
      <c r="O22" s="856"/>
      <c r="P22" s="856"/>
      <c r="Q22" s="857"/>
      <c r="R22" s="858" t="s">
        <v>223</v>
      </c>
      <c r="S22" s="859"/>
      <c r="T22" s="859"/>
      <c r="U22" s="859"/>
      <c r="V22" s="859"/>
      <c r="W22" s="859"/>
      <c r="X22" s="859"/>
      <c r="Y22" s="860"/>
      <c r="Z22" s="154"/>
      <c r="AA22" s="871" t="s">
        <v>230</v>
      </c>
      <c r="AB22" s="871"/>
      <c r="AC22" s="871" t="s">
        <v>231</v>
      </c>
      <c r="AD22" s="871"/>
      <c r="AE22" s="871"/>
      <c r="AF22" s="159" t="s">
        <v>232</v>
      </c>
      <c r="AG22" s="871" t="s">
        <v>233</v>
      </c>
      <c r="AH22" s="871"/>
      <c r="AI22" s="159" t="s">
        <v>234</v>
      </c>
      <c r="AJ22" s="871" t="s">
        <v>24</v>
      </c>
      <c r="AK22" s="871"/>
      <c r="AL22" s="159" t="s">
        <v>235</v>
      </c>
      <c r="AM22" s="159" t="s">
        <v>236</v>
      </c>
      <c r="AN22" s="159" t="s">
        <v>237</v>
      </c>
      <c r="AO22" s="154"/>
      <c r="AP22" s="155"/>
      <c r="AQ22" s="155"/>
      <c r="AR22" s="155"/>
      <c r="AS22" s="155"/>
      <c r="AT22" s="155"/>
      <c r="AU22" s="155"/>
      <c r="AV22" s="146"/>
      <c r="AW22" s="156"/>
      <c r="AX22" s="156"/>
      <c r="AY22" s="156"/>
      <c r="AZ22" s="156"/>
      <c r="BA22" s="156"/>
      <c r="BB22" s="156"/>
      <c r="BC22" s="156"/>
      <c r="BD22" s="156"/>
      <c r="BE22" s="156"/>
      <c r="BF22" s="156"/>
      <c r="BG22" s="156"/>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146"/>
      <c r="CD22" s="146"/>
      <c r="CE22" s="146"/>
      <c r="CF22" s="146"/>
      <c r="CG22" s="146"/>
      <c r="CH22" s="146"/>
    </row>
    <row r="23" spans="2:86" ht="15" customHeight="1" x14ac:dyDescent="0.25">
      <c r="B23" s="143"/>
      <c r="D23" s="854"/>
      <c r="E23" s="854"/>
      <c r="F23" s="854"/>
      <c r="G23" s="854"/>
      <c r="H23" s="865" t="s">
        <v>225</v>
      </c>
      <c r="I23" s="866" t="s">
        <v>226</v>
      </c>
      <c r="J23" s="866"/>
      <c r="K23" s="867" t="s">
        <v>227</v>
      </c>
      <c r="L23" s="868"/>
      <c r="M23" s="869"/>
      <c r="N23" s="870" t="s">
        <v>228</v>
      </c>
      <c r="O23" s="870" t="s">
        <v>229</v>
      </c>
      <c r="P23" s="882" t="s">
        <v>329</v>
      </c>
      <c r="Q23" s="883"/>
      <c r="R23" s="861"/>
      <c r="S23" s="862"/>
      <c r="T23" s="862"/>
      <c r="U23" s="862"/>
      <c r="V23" s="862"/>
      <c r="W23" s="862"/>
      <c r="X23" s="862"/>
      <c r="Y23" s="863"/>
      <c r="Z23" s="154"/>
      <c r="AA23" s="888" t="s">
        <v>332</v>
      </c>
      <c r="AB23" s="835"/>
      <c r="AC23" s="829" t="str">
        <f>IF(AA23="Aceptar el riesgo","No aplica","SI")</f>
        <v>No aplica</v>
      </c>
      <c r="AD23" s="829"/>
      <c r="AE23" s="829"/>
      <c r="AF23" s="845"/>
      <c r="AG23" s="845"/>
      <c r="AH23" s="845"/>
      <c r="AI23" s="561"/>
      <c r="AJ23" s="561"/>
      <c r="AK23" s="561"/>
      <c r="AL23" s="561"/>
      <c r="AM23" s="561"/>
      <c r="AN23" s="561"/>
      <c r="AO23" s="154"/>
      <c r="AP23" s="155"/>
      <c r="AQ23" s="155"/>
      <c r="AR23" s="155"/>
      <c r="AS23" s="155"/>
      <c r="AT23" s="155"/>
      <c r="AU23" s="155"/>
      <c r="AV23" s="154"/>
      <c r="AW23" s="156"/>
      <c r="AX23" s="156"/>
      <c r="AY23" s="156"/>
      <c r="AZ23" s="156"/>
      <c r="BA23" s="156"/>
      <c r="BB23" s="156"/>
      <c r="BC23" s="156"/>
      <c r="BD23" s="156"/>
      <c r="BE23" s="156"/>
      <c r="BF23" s="156"/>
      <c r="BG23" s="156"/>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row>
    <row r="24" spans="2:86" ht="46.5" customHeight="1" x14ac:dyDescent="0.25">
      <c r="B24" s="143"/>
      <c r="D24" s="157" t="s">
        <v>4</v>
      </c>
      <c r="E24" s="157" t="s">
        <v>242</v>
      </c>
      <c r="F24" s="886" t="s">
        <v>239</v>
      </c>
      <c r="G24" s="887"/>
      <c r="H24" s="854"/>
      <c r="I24" s="866"/>
      <c r="J24" s="866"/>
      <c r="K24" s="867" t="s">
        <v>240</v>
      </c>
      <c r="L24" s="869"/>
      <c r="M24" s="158" t="s">
        <v>241</v>
      </c>
      <c r="N24" s="870"/>
      <c r="O24" s="870"/>
      <c r="P24" s="884"/>
      <c r="Q24" s="885"/>
      <c r="R24" s="872" t="s">
        <v>4</v>
      </c>
      <c r="S24" s="872"/>
      <c r="T24" s="872" t="s">
        <v>2</v>
      </c>
      <c r="U24" s="872"/>
      <c r="V24" s="872" t="s">
        <v>239</v>
      </c>
      <c r="W24" s="872"/>
      <c r="X24" s="872"/>
      <c r="Y24" s="872"/>
      <c r="Z24" s="154"/>
      <c r="AA24" s="836"/>
      <c r="AB24" s="838"/>
      <c r="AC24" s="829"/>
      <c r="AD24" s="829"/>
      <c r="AE24" s="829"/>
      <c r="AF24" s="845"/>
      <c r="AG24" s="845"/>
      <c r="AH24" s="845"/>
      <c r="AI24" s="561"/>
      <c r="AJ24" s="561"/>
      <c r="AK24" s="561"/>
      <c r="AL24" s="561"/>
      <c r="AM24" s="561"/>
      <c r="AN24" s="561"/>
      <c r="AO24" s="154"/>
      <c r="AP24" s="170"/>
      <c r="AQ24" s="170"/>
      <c r="AR24" s="170"/>
      <c r="AS24" s="170"/>
      <c r="AT24" s="170"/>
      <c r="AU24" s="170"/>
      <c r="AV24" s="154"/>
      <c r="AW24" s="156"/>
      <c r="AX24" s="156"/>
      <c r="AY24" s="156"/>
      <c r="AZ24" s="156"/>
      <c r="BA24" s="156"/>
      <c r="BB24" s="156"/>
      <c r="BC24" s="156"/>
      <c r="BD24" s="156"/>
      <c r="BE24" s="156"/>
      <c r="BF24" s="156"/>
      <c r="BG24" s="156"/>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row>
    <row r="25" spans="2:86" ht="15" customHeight="1" x14ac:dyDescent="0.25">
      <c r="B25" s="143"/>
      <c r="D25" s="829" t="s">
        <v>243</v>
      </c>
      <c r="E25" s="829" t="s">
        <v>245</v>
      </c>
      <c r="F25" s="829"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829"/>
      <c r="H25" s="873" t="s">
        <v>330</v>
      </c>
      <c r="I25" s="876" t="str">
        <f>G62</f>
        <v>Fuerte</v>
      </c>
      <c r="J25" s="876"/>
      <c r="K25" s="833" t="s">
        <v>244</v>
      </c>
      <c r="L25" s="877"/>
      <c r="M25" s="889" t="str">
        <f>IF(K25="El control se ejecuta de manera consistente por parte del responsable","Fuerte",IF(K25="El control se ejecuta algunas veces por parte del responsable.","Moderado","Débil"))</f>
        <v>Fuerte</v>
      </c>
      <c r="N25" s="876"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Fuerte</v>
      </c>
      <c r="O25" s="876" t="str">
        <f>IF(N25="Fuerte","NO","SI")</f>
        <v>NO</v>
      </c>
      <c r="P25" s="829" t="str">
        <f>G65</f>
        <v>Fuerte</v>
      </c>
      <c r="Q25" s="829"/>
      <c r="R25" s="829" t="s">
        <v>243</v>
      </c>
      <c r="S25" s="829"/>
      <c r="T25" s="829" t="s">
        <v>331</v>
      </c>
      <c r="U25" s="829"/>
      <c r="V25" s="829"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829"/>
      <c r="X25" s="829"/>
      <c r="Y25" s="829"/>
      <c r="Z25" s="154"/>
      <c r="AA25" s="836"/>
      <c r="AB25" s="838"/>
      <c r="AC25" s="829"/>
      <c r="AD25" s="829"/>
      <c r="AE25" s="829"/>
      <c r="AF25" s="845"/>
      <c r="AG25" s="845"/>
      <c r="AH25" s="845"/>
      <c r="AI25" s="561"/>
      <c r="AJ25" s="561"/>
      <c r="AK25" s="561"/>
      <c r="AL25" s="561"/>
      <c r="AM25" s="561"/>
      <c r="AN25" s="561"/>
      <c r="AO25" s="154"/>
      <c r="AP25" s="154"/>
      <c r="AQ25" s="154"/>
      <c r="AR25" s="154"/>
      <c r="AS25" s="154"/>
      <c r="AT25" s="154"/>
      <c r="AU25" s="154"/>
      <c r="AV25" s="154"/>
      <c r="AW25" s="156"/>
      <c r="AX25" s="156"/>
      <c r="AY25" s="156"/>
      <c r="AZ25" s="156"/>
      <c r="BA25" s="156"/>
      <c r="BB25" s="156"/>
      <c r="BC25" s="156"/>
      <c r="BD25" s="156"/>
      <c r="BE25" s="156"/>
      <c r="BF25" s="156"/>
      <c r="BG25" s="156"/>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row>
    <row r="26" spans="2:86" ht="75" customHeight="1" x14ac:dyDescent="0.25">
      <c r="B26" s="143"/>
      <c r="D26" s="829"/>
      <c r="E26" s="829"/>
      <c r="F26" s="829"/>
      <c r="G26" s="829"/>
      <c r="H26" s="874"/>
      <c r="I26" s="876"/>
      <c r="J26" s="876"/>
      <c r="K26" s="878"/>
      <c r="L26" s="879"/>
      <c r="M26" s="890"/>
      <c r="N26" s="876"/>
      <c r="O26" s="876"/>
      <c r="P26" s="829"/>
      <c r="Q26" s="829"/>
      <c r="R26" s="829"/>
      <c r="S26" s="829"/>
      <c r="T26" s="829"/>
      <c r="U26" s="829"/>
      <c r="V26" s="829"/>
      <c r="W26" s="829"/>
      <c r="X26" s="829"/>
      <c r="Y26" s="829"/>
      <c r="Z26" s="154"/>
      <c r="AA26" s="839"/>
      <c r="AB26" s="841"/>
      <c r="AC26" s="829"/>
      <c r="AD26" s="829"/>
      <c r="AE26" s="829"/>
      <c r="AF26" s="845"/>
      <c r="AG26" s="845"/>
      <c r="AH26" s="845"/>
      <c r="AI26" s="561"/>
      <c r="AJ26" s="561"/>
      <c r="AK26" s="561"/>
      <c r="AL26" s="561"/>
      <c r="AM26" s="561"/>
      <c r="AN26" s="561"/>
      <c r="AO26" s="154"/>
      <c r="AP26" s="154"/>
      <c r="AQ26" s="154"/>
      <c r="AR26" s="154"/>
      <c r="AS26" s="154"/>
      <c r="AT26" s="154"/>
      <c r="AU26" s="154"/>
      <c r="AV26" s="154"/>
      <c r="AW26" s="156"/>
      <c r="AX26" s="156"/>
      <c r="AY26" s="156"/>
      <c r="AZ26" s="156"/>
      <c r="BA26" s="156"/>
      <c r="BB26" s="156"/>
      <c r="BC26" s="156"/>
      <c r="BD26" s="156"/>
      <c r="BE26" s="156"/>
      <c r="BF26" s="156"/>
      <c r="BG26" s="156"/>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row>
    <row r="27" spans="2:86" ht="33.75" customHeight="1" x14ac:dyDescent="0.25">
      <c r="B27" s="143"/>
      <c r="D27" s="829"/>
      <c r="E27" s="829"/>
      <c r="F27" s="829"/>
      <c r="G27" s="829"/>
      <c r="H27" s="874"/>
      <c r="I27" s="876"/>
      <c r="J27" s="876"/>
      <c r="K27" s="878"/>
      <c r="L27" s="879"/>
      <c r="M27" s="890"/>
      <c r="N27" s="876"/>
      <c r="O27" s="876"/>
      <c r="P27" s="829"/>
      <c r="Q27" s="829"/>
      <c r="R27" s="829"/>
      <c r="S27" s="829"/>
      <c r="T27" s="829"/>
      <c r="U27" s="829"/>
      <c r="V27" s="829"/>
      <c r="W27" s="829"/>
      <c r="X27" s="829"/>
      <c r="Y27" s="829"/>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row>
    <row r="28" spans="2:86" ht="133.5" customHeight="1" x14ac:dyDescent="0.25">
      <c r="B28" s="143"/>
      <c r="D28" s="829"/>
      <c r="E28" s="829"/>
      <c r="F28" s="829"/>
      <c r="G28" s="829"/>
      <c r="H28" s="875"/>
      <c r="I28" s="876"/>
      <c r="J28" s="876"/>
      <c r="K28" s="880"/>
      <c r="L28" s="881"/>
      <c r="M28" s="891"/>
      <c r="N28" s="876"/>
      <c r="O28" s="876"/>
      <c r="P28" s="829"/>
      <c r="Q28" s="829"/>
      <c r="R28" s="829"/>
      <c r="S28" s="829"/>
      <c r="T28" s="829"/>
      <c r="U28" s="829"/>
      <c r="V28" s="829"/>
      <c r="W28" s="829"/>
      <c r="X28" s="829"/>
      <c r="Y28" s="829"/>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row>
    <row r="29" spans="2:86" ht="48" customHeight="1" x14ac:dyDescent="0.25">
      <c r="B29" s="143"/>
      <c r="H29" s="873" t="s">
        <v>333</v>
      </c>
      <c r="I29" s="876" t="str">
        <f>I62</f>
        <v>Moderado</v>
      </c>
      <c r="J29" s="876"/>
      <c r="K29" s="833" t="s">
        <v>244</v>
      </c>
      <c r="L29" s="877"/>
      <c r="M29" s="889" t="str">
        <f>IF(K29="El control se ejecuta de manera consistente por parte del responsable","Fuerte",IF(K29="El control se ejecuta algunas veces por parte del responsable.","Moderado","Débil"))</f>
        <v>Fuerte</v>
      </c>
      <c r="N29" s="876"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Moderado</v>
      </c>
      <c r="O29" s="876" t="str">
        <f>IF(N29="Fuerte","NO","SI")</f>
        <v>SI</v>
      </c>
      <c r="P29" s="829"/>
      <c r="Q29" s="829"/>
      <c r="R29" s="146"/>
      <c r="S29" s="146"/>
      <c r="T29" s="146"/>
      <c r="U29" s="146"/>
      <c r="V29" s="146"/>
      <c r="W29" s="146"/>
      <c r="X29" s="146"/>
      <c r="Y29" s="146"/>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row>
    <row r="30" spans="2:86" ht="48" customHeight="1" x14ac:dyDescent="0.25">
      <c r="B30" s="143"/>
      <c r="H30" s="874"/>
      <c r="I30" s="876"/>
      <c r="J30" s="876"/>
      <c r="K30" s="878"/>
      <c r="L30" s="879"/>
      <c r="M30" s="890"/>
      <c r="N30" s="876"/>
      <c r="O30" s="876"/>
      <c r="P30" s="829"/>
      <c r="Q30" s="829"/>
      <c r="R30" s="146"/>
      <c r="S30" s="146"/>
      <c r="T30" s="146"/>
      <c r="U30" s="146"/>
      <c r="V30" s="146"/>
      <c r="W30" s="146"/>
      <c r="X30" s="146"/>
      <c r="Y30" s="146"/>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row>
    <row r="31" spans="2:86" ht="48" customHeight="1" x14ac:dyDescent="0.25">
      <c r="B31" s="143"/>
      <c r="H31" s="874"/>
      <c r="I31" s="876"/>
      <c r="J31" s="876"/>
      <c r="K31" s="878"/>
      <c r="L31" s="879"/>
      <c r="M31" s="890"/>
      <c r="N31" s="876"/>
      <c r="O31" s="876"/>
      <c r="P31" s="829"/>
      <c r="Q31" s="829"/>
      <c r="R31" s="146"/>
      <c r="S31" s="146"/>
      <c r="T31" s="146"/>
      <c r="U31" s="146"/>
      <c r="V31" s="146"/>
      <c r="W31" s="146"/>
      <c r="X31" s="146"/>
      <c r="Y31" s="146"/>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row>
    <row r="32" spans="2:86" ht="75" customHeight="1" x14ac:dyDescent="0.25">
      <c r="B32" s="143"/>
      <c r="H32" s="875"/>
      <c r="I32" s="876"/>
      <c r="J32" s="876"/>
      <c r="K32" s="880"/>
      <c r="L32" s="881"/>
      <c r="M32" s="891"/>
      <c r="N32" s="876"/>
      <c r="O32" s="876"/>
      <c r="P32" s="829"/>
      <c r="Q32" s="829"/>
    </row>
    <row r="33" spans="2:88" ht="37.5" customHeight="1" x14ac:dyDescent="0.25">
      <c r="B33" s="143"/>
      <c r="H33" s="892"/>
      <c r="I33" s="876">
        <f>K62</f>
        <v>0</v>
      </c>
      <c r="J33" s="876"/>
      <c r="K33" s="833"/>
      <c r="L33" s="877"/>
      <c r="M33" s="889" t="str">
        <f>IF(K33="El control se ejecuta de manera consistente por parte del responsable","Fuerte",IF(K33="El control se ejecuta algunas veces por parte del responsable.","Moderado","Débil"))</f>
        <v>Débil</v>
      </c>
      <c r="N33" s="876"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876" t="str">
        <f>IF(N33="Fuerte","NO","SI")</f>
        <v>SI</v>
      </c>
      <c r="P33" s="829"/>
      <c r="Q33" s="829"/>
    </row>
    <row r="34" spans="2:88" ht="37.5" customHeight="1" x14ac:dyDescent="0.25">
      <c r="B34" s="143"/>
      <c r="H34" s="892"/>
      <c r="I34" s="876"/>
      <c r="J34" s="876"/>
      <c r="K34" s="878"/>
      <c r="L34" s="879"/>
      <c r="M34" s="890"/>
      <c r="N34" s="876"/>
      <c r="O34" s="876"/>
      <c r="P34" s="829"/>
      <c r="Q34" s="829"/>
    </row>
    <row r="35" spans="2:88" ht="37.5" customHeight="1" x14ac:dyDescent="0.25">
      <c r="B35" s="143"/>
      <c r="H35" s="892"/>
      <c r="I35" s="876"/>
      <c r="J35" s="876"/>
      <c r="K35" s="878"/>
      <c r="L35" s="879"/>
      <c r="M35" s="890"/>
      <c r="N35" s="876"/>
      <c r="O35" s="876"/>
      <c r="P35" s="829"/>
      <c r="Q35" s="829"/>
    </row>
    <row r="36" spans="2:88" ht="37.5" customHeight="1" x14ac:dyDescent="0.25">
      <c r="B36" s="143"/>
      <c r="H36" s="892"/>
      <c r="I36" s="876"/>
      <c r="J36" s="876"/>
      <c r="K36" s="880"/>
      <c r="L36" s="881"/>
      <c r="M36" s="891"/>
      <c r="N36" s="876"/>
      <c r="O36" s="876"/>
      <c r="P36" s="829"/>
      <c r="Q36" s="829"/>
    </row>
    <row r="37" spans="2:88" ht="15" customHeight="1" x14ac:dyDescent="0.25">
      <c r="B37" s="143"/>
    </row>
    <row r="38" spans="2:88" ht="15" customHeight="1" x14ac:dyDescent="0.25">
      <c r="B38" s="143"/>
    </row>
    <row r="39" spans="2:88" x14ac:dyDescent="0.25">
      <c r="B39" s="143"/>
    </row>
    <row r="40" spans="2:88" ht="15" customHeight="1" x14ac:dyDescent="0.25">
      <c r="B40" s="143"/>
      <c r="M40" s="893" t="s">
        <v>246</v>
      </c>
      <c r="N40" s="893"/>
      <c r="O40" s="893"/>
      <c r="P40" s="893"/>
      <c r="Q40" s="893"/>
    </row>
    <row r="41" spans="2:88" ht="15" customHeight="1" x14ac:dyDescent="0.25">
      <c r="B41" s="143"/>
      <c r="D41" s="895" t="s">
        <v>334</v>
      </c>
      <c r="E41" s="896"/>
      <c r="F41" s="896"/>
      <c r="G41" s="896"/>
      <c r="H41" s="896"/>
      <c r="I41" s="896"/>
      <c r="J41" s="896"/>
      <c r="K41" s="897"/>
      <c r="M41" s="894"/>
      <c r="N41" s="894"/>
      <c r="O41" s="894"/>
      <c r="P41" s="894"/>
      <c r="Q41" s="894"/>
    </row>
    <row r="42" spans="2:88" ht="15" customHeight="1" x14ac:dyDescent="0.25">
      <c r="B42" s="143"/>
    </row>
    <row r="43" spans="2:88" ht="15" customHeight="1" x14ac:dyDescent="0.25">
      <c r="B43" s="143"/>
      <c r="F43" s="576" t="s">
        <v>250</v>
      </c>
      <c r="G43" s="577"/>
      <c r="H43" s="576" t="s">
        <v>251</v>
      </c>
      <c r="I43" s="577"/>
      <c r="J43" s="576" t="s">
        <v>252</v>
      </c>
      <c r="K43" s="577"/>
      <c r="M43" s="898" t="s">
        <v>253</v>
      </c>
      <c r="N43" s="898" t="s">
        <v>335</v>
      </c>
      <c r="O43" s="898" t="s">
        <v>254</v>
      </c>
      <c r="P43" s="898" t="s">
        <v>255</v>
      </c>
      <c r="Q43" s="898" t="s">
        <v>256</v>
      </c>
    </row>
    <row r="44" spans="2:88" x14ac:dyDescent="0.25">
      <c r="B44" s="143"/>
      <c r="D44" s="153" t="s">
        <v>258</v>
      </c>
      <c r="E44" s="153" t="s">
        <v>259</v>
      </c>
      <c r="F44" s="153" t="s">
        <v>260</v>
      </c>
      <c r="G44" s="153" t="s">
        <v>261</v>
      </c>
      <c r="H44" s="153" t="s">
        <v>260</v>
      </c>
      <c r="I44" s="153" t="s">
        <v>261</v>
      </c>
      <c r="J44" s="153" t="s">
        <v>260</v>
      </c>
      <c r="K44" s="153" t="s">
        <v>261</v>
      </c>
      <c r="M44" s="899"/>
      <c r="N44" s="899"/>
      <c r="O44" s="899"/>
      <c r="P44" s="899"/>
      <c r="Q44" s="899"/>
    </row>
    <row r="45" spans="2:88" x14ac:dyDescent="0.25">
      <c r="B45" s="143"/>
      <c r="D45" s="907" t="s">
        <v>263</v>
      </c>
      <c r="E45" s="849" t="s">
        <v>264</v>
      </c>
      <c r="F45" s="830" t="s">
        <v>265</v>
      </c>
      <c r="G45" s="889">
        <f>IF(F45=[4]Listas!$S$2,15,IF(F45=[4]Listas!$S$3,0,""))</f>
        <v>15</v>
      </c>
      <c r="H45" s="830" t="s">
        <v>265</v>
      </c>
      <c r="I45" s="889">
        <f>IF(H45=[4]Listas!$S$2,15,IF(H45=[4]Listas!$S$3,0,""))</f>
        <v>15</v>
      </c>
      <c r="J45" s="830"/>
      <c r="K45" s="889" t="str">
        <f>IF(J45=[4]Listas!$S$2,15,IF(J45=[4]Listas!$S$3,0,""))</f>
        <v/>
      </c>
      <c r="M45" s="900"/>
      <c r="N45" s="900"/>
      <c r="O45" s="900"/>
      <c r="P45" s="900"/>
      <c r="Q45" s="900"/>
    </row>
    <row r="46" spans="2:88" ht="37.5" customHeight="1" x14ac:dyDescent="0.25">
      <c r="B46" s="143"/>
      <c r="D46" s="908"/>
      <c r="E46" s="851"/>
      <c r="F46" s="832"/>
      <c r="G46" s="891"/>
      <c r="H46" s="832"/>
      <c r="I46" s="891"/>
      <c r="J46" s="832"/>
      <c r="K46" s="891"/>
      <c r="M46" s="160" t="s">
        <v>267</v>
      </c>
      <c r="N46" s="160" t="s">
        <v>268</v>
      </c>
      <c r="O46" s="160" t="s">
        <v>268</v>
      </c>
      <c r="P46" s="160">
        <v>2</v>
      </c>
      <c r="Q46" s="160">
        <v>2</v>
      </c>
      <c r="CJ46" s="156"/>
    </row>
    <row r="47" spans="2:88" ht="37.5" customHeight="1" x14ac:dyDescent="0.25">
      <c r="B47" s="143"/>
      <c r="D47" s="908"/>
      <c r="E47" s="909" t="s">
        <v>270</v>
      </c>
      <c r="F47" s="830" t="s">
        <v>271</v>
      </c>
      <c r="G47" s="889">
        <f>IF(F47=[4]Listas!$S$4,15,IF(F47=[4]Listas!$S$5,0,""))</f>
        <v>15</v>
      </c>
      <c r="H47" s="830" t="s">
        <v>271</v>
      </c>
      <c r="I47" s="889">
        <f>IF(H47=[4]Listas!$S$4,15,IF(H47=[4]Listas!$S$5,0,""))</f>
        <v>15</v>
      </c>
      <c r="J47" s="830"/>
      <c r="K47" s="889" t="str">
        <f>IF(J47=[4]Listas!$S$4,15,IF(J47=[4]Listas!$S$5,0,""))</f>
        <v/>
      </c>
      <c r="M47" s="171" t="s">
        <v>267</v>
      </c>
      <c r="N47" s="171" t="s">
        <v>268</v>
      </c>
      <c r="O47" s="171" t="s">
        <v>272</v>
      </c>
      <c r="P47" s="171">
        <v>2</v>
      </c>
      <c r="Q47" s="171">
        <v>1</v>
      </c>
    </row>
    <row r="48" spans="2:88" ht="37.5" customHeight="1" x14ac:dyDescent="0.25">
      <c r="B48" s="143"/>
      <c r="D48" s="825"/>
      <c r="E48" s="906"/>
      <c r="F48" s="832"/>
      <c r="G48" s="891"/>
      <c r="H48" s="832"/>
      <c r="I48" s="891"/>
      <c r="J48" s="832"/>
      <c r="K48" s="891"/>
      <c r="M48" s="171" t="s">
        <v>267</v>
      </c>
      <c r="N48" s="171" t="s">
        <v>268</v>
      </c>
      <c r="O48" s="171" t="s">
        <v>277</v>
      </c>
      <c r="P48" s="171">
        <v>2</v>
      </c>
      <c r="Q48" s="171">
        <v>0</v>
      </c>
    </row>
    <row r="49" spans="2:23" ht="37.5" customHeight="1" x14ac:dyDescent="0.25">
      <c r="B49" s="143"/>
      <c r="D49" s="901" t="s">
        <v>274</v>
      </c>
      <c r="E49" s="904" t="s">
        <v>275</v>
      </c>
      <c r="F49" s="907" t="s">
        <v>276</v>
      </c>
      <c r="G49" s="889">
        <f>IF(F49=[4]Listas!$S$6,15,IF(F49=[4]Listas!$S$7,0,""))</f>
        <v>15</v>
      </c>
      <c r="H49" s="830" t="s">
        <v>276</v>
      </c>
      <c r="I49" s="889">
        <f>IF(H49=[4]Listas!$S$6,15,IF(H49=[4]Listas!$S$7,0,""))</f>
        <v>15</v>
      </c>
      <c r="J49" s="830"/>
      <c r="K49" s="889" t="str">
        <f>IF(J49=[4]Listas!$S$6,15,IF(J49=[4]Listas!$S$7,0,""))</f>
        <v/>
      </c>
      <c r="M49" s="171" t="s">
        <v>267</v>
      </c>
      <c r="N49" s="171" t="s">
        <v>277</v>
      </c>
      <c r="O49" s="171" t="s">
        <v>268</v>
      </c>
      <c r="P49" s="171">
        <v>0</v>
      </c>
      <c r="Q49" s="171">
        <v>2</v>
      </c>
    </row>
    <row r="50" spans="2:23" ht="37.5" customHeight="1" x14ac:dyDescent="0.25">
      <c r="B50" s="143"/>
      <c r="D50" s="903"/>
      <c r="E50" s="906"/>
      <c r="F50" s="825"/>
      <c r="G50" s="891"/>
      <c r="H50" s="832"/>
      <c r="I50" s="891"/>
      <c r="J50" s="832"/>
      <c r="K50" s="891"/>
      <c r="M50" s="171" t="s">
        <v>283</v>
      </c>
      <c r="N50" s="171" t="s">
        <v>268</v>
      </c>
      <c r="O50" s="171" t="s">
        <v>268</v>
      </c>
      <c r="P50" s="171">
        <v>1</v>
      </c>
      <c r="Q50" s="171">
        <v>1</v>
      </c>
    </row>
    <row r="51" spans="2:23" ht="37.5" customHeight="1" x14ac:dyDescent="0.25">
      <c r="B51" s="143"/>
      <c r="D51" s="901" t="s">
        <v>280</v>
      </c>
      <c r="E51" s="904" t="s">
        <v>281</v>
      </c>
      <c r="F51" s="830" t="s">
        <v>282</v>
      </c>
      <c r="G51" s="889">
        <f>IF(F51=[4]Listas!$S$8,15,IF('[4]Riesgos de gestión'!F51=[4]Listas!$S$9,10,IF('[4]Riesgos de gestión'!F51=[4]Listas!$S$10,0,"")))</f>
        <v>15</v>
      </c>
      <c r="H51" s="830" t="s">
        <v>336</v>
      </c>
      <c r="I51" s="889">
        <f>IF(H51=[4]Listas!$S$8,15,IF(H51=[4]Listas!$S$9,10,IF(H51=[4]Listas!$S$10,0,"")))</f>
        <v>10</v>
      </c>
      <c r="J51" s="830"/>
      <c r="K51" s="889" t="str">
        <f>IF(J51=[4]Listas!$S$8,15,IF(J51=[4]Listas!$S$9,10,IF(J51=[4]Listas!$S$10,0,"")))</f>
        <v/>
      </c>
      <c r="M51" s="171" t="s">
        <v>283</v>
      </c>
      <c r="N51" s="171" t="s">
        <v>268</v>
      </c>
      <c r="O51" s="171" t="s">
        <v>272</v>
      </c>
      <c r="P51" s="171">
        <v>1</v>
      </c>
      <c r="Q51" s="171">
        <v>0</v>
      </c>
    </row>
    <row r="52" spans="2:23" ht="37.5" customHeight="1" x14ac:dyDescent="0.25">
      <c r="B52" s="143"/>
      <c r="D52" s="902"/>
      <c r="E52" s="905"/>
      <c r="F52" s="831"/>
      <c r="G52" s="890"/>
      <c r="H52" s="831"/>
      <c r="I52" s="890"/>
      <c r="J52" s="831"/>
      <c r="K52" s="890"/>
      <c r="M52" s="171" t="s">
        <v>283</v>
      </c>
      <c r="N52" s="171" t="s">
        <v>268</v>
      </c>
      <c r="O52" s="171" t="s">
        <v>277</v>
      </c>
      <c r="P52" s="171">
        <v>1</v>
      </c>
      <c r="Q52" s="171">
        <v>0</v>
      </c>
    </row>
    <row r="53" spans="2:23" ht="37.5" customHeight="1" x14ac:dyDescent="0.25">
      <c r="B53" s="143"/>
      <c r="D53" s="903"/>
      <c r="E53" s="906"/>
      <c r="F53" s="832"/>
      <c r="G53" s="891"/>
      <c r="H53" s="832"/>
      <c r="I53" s="891"/>
      <c r="J53" s="832"/>
      <c r="K53" s="891"/>
      <c r="M53" s="171" t="s">
        <v>283</v>
      </c>
      <c r="N53" s="171" t="s">
        <v>277</v>
      </c>
      <c r="O53" s="171" t="s">
        <v>268</v>
      </c>
      <c r="P53" s="171">
        <v>0</v>
      </c>
      <c r="Q53" s="171">
        <v>1</v>
      </c>
    </row>
    <row r="54" spans="2:23" ht="37.5" customHeight="1" x14ac:dyDescent="0.25">
      <c r="B54" s="143"/>
      <c r="D54" s="901" t="s">
        <v>286</v>
      </c>
      <c r="E54" s="904" t="s">
        <v>287</v>
      </c>
      <c r="F54" s="830" t="s">
        <v>288</v>
      </c>
      <c r="G54" s="889">
        <f>IF(F54=[4]Listas!$S$11,15,IF(F54=[4]Listas!$S$12,0,""))</f>
        <v>15</v>
      </c>
      <c r="H54" s="830" t="s">
        <v>288</v>
      </c>
      <c r="I54" s="889">
        <f>IF(H54=[4]Listas!$S$11,15,IF(H54=[4]Listas!$S$12,0,""))</f>
        <v>15</v>
      </c>
      <c r="J54" s="830"/>
      <c r="K54" s="889" t="str">
        <f>IF(J54=[4]Listas!$S$11,15,IF(J54=[4]Listas!$S$12,0,""))</f>
        <v/>
      </c>
    </row>
    <row r="55" spans="2:23" ht="37.5" customHeight="1" x14ac:dyDescent="0.25">
      <c r="B55" s="143"/>
      <c r="D55" s="903"/>
      <c r="E55" s="906"/>
      <c r="F55" s="832"/>
      <c r="G55" s="891"/>
      <c r="H55" s="832"/>
      <c r="I55" s="891"/>
      <c r="J55" s="832"/>
      <c r="K55" s="891"/>
      <c r="M55" s="910" t="s">
        <v>294</v>
      </c>
      <c r="N55" s="910"/>
      <c r="O55" s="910"/>
      <c r="P55" s="911" t="s">
        <v>295</v>
      </c>
      <c r="Q55" s="911"/>
      <c r="R55" s="911"/>
    </row>
    <row r="56" spans="2:23" ht="37.5" customHeight="1" x14ac:dyDescent="0.25">
      <c r="B56" s="143"/>
      <c r="D56" s="873" t="s">
        <v>291</v>
      </c>
      <c r="E56" s="904" t="s">
        <v>292</v>
      </c>
      <c r="F56" s="830" t="s">
        <v>293</v>
      </c>
      <c r="G56" s="889">
        <f>IF(F56=[4]Listas!$S$13,15,IF(F56=[4]Listas!$S$14,0,""))</f>
        <v>15</v>
      </c>
      <c r="H56" s="907" t="s">
        <v>293</v>
      </c>
      <c r="I56" s="889">
        <f>IF(H56=[4]Listas!$S$13,15,IF(H56=[4]Listas!$S$14,0,""))</f>
        <v>15</v>
      </c>
      <c r="J56" s="830"/>
      <c r="K56" s="889" t="str">
        <f>IF(J56=[4]Listas!$S$13,15,IF(J56=[4]Listas!$S$14,0,""))</f>
        <v/>
      </c>
      <c r="M56" s="910"/>
      <c r="N56" s="910"/>
      <c r="O56" s="910"/>
      <c r="P56" s="911"/>
      <c r="Q56" s="911"/>
      <c r="R56" s="911"/>
      <c r="S56" s="161"/>
      <c r="T56" s="161"/>
      <c r="U56" s="161"/>
      <c r="V56" s="161"/>
      <c r="W56" s="161"/>
    </row>
    <row r="57" spans="2:23" ht="37.5" customHeight="1" x14ac:dyDescent="0.25">
      <c r="B57" s="143"/>
      <c r="D57" s="874"/>
      <c r="E57" s="905"/>
      <c r="F57" s="831"/>
      <c r="G57" s="890"/>
      <c r="H57" s="908"/>
      <c r="I57" s="890"/>
      <c r="J57" s="831"/>
      <c r="K57" s="890"/>
      <c r="M57" s="910"/>
      <c r="N57" s="910"/>
      <c r="O57" s="910"/>
      <c r="P57" s="911"/>
      <c r="Q57" s="911"/>
      <c r="R57" s="911"/>
      <c r="S57" s="161"/>
      <c r="T57" s="161"/>
      <c r="U57" s="161"/>
      <c r="V57" s="161"/>
      <c r="W57" s="161"/>
    </row>
    <row r="58" spans="2:23" ht="37.5" customHeight="1" x14ac:dyDescent="0.25">
      <c r="B58" s="143"/>
      <c r="D58" s="875"/>
      <c r="E58" s="906"/>
      <c r="F58" s="832"/>
      <c r="G58" s="891"/>
      <c r="H58" s="825"/>
      <c r="I58" s="891"/>
      <c r="J58" s="832"/>
      <c r="K58" s="891"/>
      <c r="S58" s="161"/>
      <c r="T58" s="161"/>
      <c r="U58" s="161"/>
      <c r="V58" s="161"/>
      <c r="W58" s="161"/>
    </row>
    <row r="59" spans="2:23" ht="37.5" customHeight="1" x14ac:dyDescent="0.25">
      <c r="B59" s="143"/>
      <c r="D59" s="877" t="s">
        <v>299</v>
      </c>
      <c r="E59" s="904" t="s">
        <v>300</v>
      </c>
      <c r="F59" s="907" t="s">
        <v>301</v>
      </c>
      <c r="G59" s="889">
        <f>IF(F59=[4]Listas!$S$15,10,IF('[4]Riesgos de gestión'!F59=[4]Listas!$S$16,5,IF('[4]Riesgos de gestión'!F59=[4]Listas!$S$17,0,"")))</f>
        <v>10</v>
      </c>
      <c r="H59" s="907" t="s">
        <v>301</v>
      </c>
      <c r="I59" s="889">
        <f>IF(H59=[4]Listas!$S$15,10,IF('[4]Riesgos de gestión'!H59=[4]Listas!$S$16,5,IF('[4]Riesgos de gestión'!H59=[4]Listas!$S$17,0,"")))</f>
        <v>10</v>
      </c>
      <c r="J59" s="830"/>
      <c r="K59" s="889" t="str">
        <f>IF(J59=[4]Listas!$S$15,10,IF('[4]Riesgos de gestión'!J59=[4]Listas!$S$16,5,IF('[4]Riesgos de gestión'!J59=[4]Listas!$S$17,0,"")))</f>
        <v/>
      </c>
      <c r="S59" s="161"/>
      <c r="T59" s="161"/>
      <c r="U59" s="161"/>
      <c r="V59" s="161"/>
      <c r="W59" s="161"/>
    </row>
    <row r="60" spans="2:23" ht="37.5" customHeight="1" x14ac:dyDescent="0.25">
      <c r="D60" s="879"/>
      <c r="E60" s="906"/>
      <c r="F60" s="825"/>
      <c r="G60" s="891"/>
      <c r="H60" s="825"/>
      <c r="I60" s="891"/>
      <c r="J60" s="832"/>
      <c r="K60" s="891"/>
      <c r="S60" s="161"/>
      <c r="T60" s="161"/>
      <c r="U60" s="161"/>
      <c r="V60" s="161"/>
      <c r="W60" s="161"/>
    </row>
    <row r="61" spans="2:23" x14ac:dyDescent="0.25">
      <c r="F61" s="172" t="s">
        <v>304</v>
      </c>
      <c r="G61" s="173">
        <f>SUM(G45:G60)</f>
        <v>100</v>
      </c>
      <c r="H61" s="172" t="s">
        <v>305</v>
      </c>
      <c r="I61" s="173">
        <f>SUM(I45:I60)</f>
        <v>95</v>
      </c>
      <c r="J61" s="172" t="s">
        <v>305</v>
      </c>
      <c r="K61" s="173"/>
      <c r="S61" s="161"/>
      <c r="T61" s="161"/>
      <c r="U61" s="161"/>
      <c r="V61" s="161"/>
      <c r="W61" s="161"/>
    </row>
    <row r="62" spans="2:23" ht="15" customHeight="1" x14ac:dyDescent="0.25">
      <c r="D62" s="912" t="s">
        <v>337</v>
      </c>
      <c r="F62" s="172" t="s">
        <v>307</v>
      </c>
      <c r="G62" s="174" t="str">
        <f>IF(G61&lt;=85,"Débil",IF(G61&lt;=95,"Moderado","Fuerte"))</f>
        <v>Fuerte</v>
      </c>
      <c r="H62" s="172" t="s">
        <v>308</v>
      </c>
      <c r="I62" s="174" t="str">
        <f>IF(I61&lt;=85,"Débil",IF(I61&lt;=95,"Moderado","Fuerte"))</f>
        <v>Moderado</v>
      </c>
      <c r="J62" s="172" t="s">
        <v>308</v>
      </c>
      <c r="K62" s="174"/>
      <c r="S62" s="161"/>
      <c r="T62" s="161"/>
      <c r="U62" s="161"/>
      <c r="V62" s="161"/>
      <c r="W62" s="161"/>
    </row>
    <row r="63" spans="2:23" x14ac:dyDescent="0.25">
      <c r="D63" s="913"/>
      <c r="S63" s="161"/>
      <c r="T63" s="161"/>
      <c r="U63" s="161"/>
      <c r="V63" s="161"/>
      <c r="W63" s="161"/>
    </row>
    <row r="64" spans="2:23" x14ac:dyDescent="0.25">
      <c r="D64" s="913"/>
      <c r="F64" s="154" t="s">
        <v>313</v>
      </c>
      <c r="G64" s="914">
        <f>AVERAGE(G61,I61)</f>
        <v>97.5</v>
      </c>
      <c r="H64" s="915"/>
      <c r="I64" s="915"/>
      <c r="J64" s="915"/>
      <c r="K64" s="916"/>
      <c r="S64" s="161"/>
      <c r="T64" s="161"/>
      <c r="U64" s="161"/>
      <c r="V64" s="161"/>
      <c r="W64" s="161"/>
    </row>
    <row r="65" spans="4:23" x14ac:dyDescent="0.25">
      <c r="D65" s="913"/>
      <c r="F65" s="154" t="s">
        <v>316</v>
      </c>
      <c r="G65" s="914" t="str">
        <f>IF(G64&lt;=85,"Débil",IF(G64&lt;=95,"Moderado","Fuerte"))</f>
        <v>Fuerte</v>
      </c>
      <c r="H65" s="915"/>
      <c r="I65" s="915"/>
      <c r="J65" s="915"/>
      <c r="K65" s="916"/>
      <c r="S65" s="161"/>
      <c r="T65" s="161"/>
      <c r="U65" s="161"/>
      <c r="V65" s="161"/>
      <c r="W65" s="161"/>
    </row>
    <row r="66" spans="4:23" x14ac:dyDescent="0.25">
      <c r="D66" s="913"/>
      <c r="S66" s="161"/>
      <c r="T66" s="161"/>
      <c r="U66" s="161"/>
      <c r="V66" s="161"/>
      <c r="W66" s="161"/>
    </row>
    <row r="67" spans="4:23" x14ac:dyDescent="0.25">
      <c r="D67" s="913"/>
      <c r="R67" s="161"/>
      <c r="S67" s="161"/>
      <c r="T67" s="161"/>
      <c r="U67" s="161"/>
      <c r="V67" s="161"/>
      <c r="W67" s="161"/>
    </row>
    <row r="68" spans="4:23" x14ac:dyDescent="0.25">
      <c r="D68" s="913"/>
      <c r="E68" s="140" t="s">
        <v>310</v>
      </c>
      <c r="R68" s="161"/>
      <c r="S68" s="161"/>
      <c r="T68" s="161"/>
      <c r="U68" s="161"/>
      <c r="V68" s="161"/>
      <c r="W68" s="161"/>
    </row>
    <row r="69" spans="4:23" x14ac:dyDescent="0.25">
      <c r="D69" s="913"/>
      <c r="E69" s="140" t="s">
        <v>312</v>
      </c>
      <c r="R69" s="161"/>
      <c r="S69" s="161"/>
      <c r="T69" s="161"/>
      <c r="U69" s="161"/>
      <c r="V69" s="161"/>
      <c r="W69" s="161"/>
    </row>
    <row r="70" spans="4:23" x14ac:dyDescent="0.25">
      <c r="D70" s="913"/>
      <c r="E70" s="140" t="s">
        <v>315</v>
      </c>
      <c r="R70" s="161"/>
      <c r="S70" s="161"/>
      <c r="T70" s="161"/>
      <c r="U70" s="161"/>
      <c r="V70" s="161"/>
      <c r="W70" s="161"/>
    </row>
    <row r="71" spans="4:23" x14ac:dyDescent="0.25">
      <c r="R71" s="161"/>
      <c r="S71" s="161"/>
      <c r="T71" s="161"/>
      <c r="U71" s="161"/>
      <c r="V71" s="161"/>
      <c r="W71" s="161"/>
    </row>
    <row r="72" spans="4:23" x14ac:dyDescent="0.25">
      <c r="R72" s="161"/>
      <c r="S72" s="161"/>
      <c r="T72" s="161"/>
      <c r="U72" s="161"/>
      <c r="V72" s="161"/>
      <c r="W72" s="161"/>
    </row>
  </sheetData>
  <mergeCells count="163">
    <mergeCell ref="D62:D70"/>
    <mergeCell ref="G64:K64"/>
    <mergeCell ref="G65:K65"/>
    <mergeCell ref="J56:J58"/>
    <mergeCell ref="K56:K58"/>
    <mergeCell ref="D59:D60"/>
    <mergeCell ref="E59:E60"/>
    <mergeCell ref="F59:F60"/>
    <mergeCell ref="G59:G60"/>
    <mergeCell ref="H59:H60"/>
    <mergeCell ref="I59:I60"/>
    <mergeCell ref="J59:J60"/>
    <mergeCell ref="K59:K60"/>
    <mergeCell ref="J54:J55"/>
    <mergeCell ref="K54:K55"/>
    <mergeCell ref="M55:O57"/>
    <mergeCell ref="P55:R57"/>
    <mergeCell ref="D56:D58"/>
    <mergeCell ref="E56:E58"/>
    <mergeCell ref="F56:F58"/>
    <mergeCell ref="G56:G58"/>
    <mergeCell ref="H56:H58"/>
    <mergeCell ref="I56:I58"/>
    <mergeCell ref="D54:D55"/>
    <mergeCell ref="E54:E55"/>
    <mergeCell ref="F54:F55"/>
    <mergeCell ref="G54:G55"/>
    <mergeCell ref="H54:H55"/>
    <mergeCell ref="I54:I55"/>
    <mergeCell ref="K47:K48"/>
    <mergeCell ref="J49:J50"/>
    <mergeCell ref="K49:K50"/>
    <mergeCell ref="D51:D53"/>
    <mergeCell ref="E51:E53"/>
    <mergeCell ref="F51:F53"/>
    <mergeCell ref="G51:G53"/>
    <mergeCell ref="H51:H53"/>
    <mergeCell ref="I51:I53"/>
    <mergeCell ref="J51:J53"/>
    <mergeCell ref="K51:K53"/>
    <mergeCell ref="D49:D50"/>
    <mergeCell ref="E49:E50"/>
    <mergeCell ref="F49:F50"/>
    <mergeCell ref="G49:G50"/>
    <mergeCell ref="H49:H50"/>
    <mergeCell ref="I49:I50"/>
    <mergeCell ref="D45:D48"/>
    <mergeCell ref="E45:E46"/>
    <mergeCell ref="F45:F46"/>
    <mergeCell ref="G45:G46"/>
    <mergeCell ref="H45:H46"/>
    <mergeCell ref="I45:I46"/>
    <mergeCell ref="E47:E48"/>
    <mergeCell ref="F47:F48"/>
    <mergeCell ref="G47:G48"/>
    <mergeCell ref="H47:H48"/>
    <mergeCell ref="I47:I48"/>
    <mergeCell ref="J47:J48"/>
    <mergeCell ref="H29:H32"/>
    <mergeCell ref="I29:J32"/>
    <mergeCell ref="K29:L32"/>
    <mergeCell ref="M29:M32"/>
    <mergeCell ref="H33:H36"/>
    <mergeCell ref="I33:J36"/>
    <mergeCell ref="K33:L36"/>
    <mergeCell ref="M40:Q41"/>
    <mergeCell ref="D41:K41"/>
    <mergeCell ref="F43:G43"/>
    <mergeCell ref="H43:I43"/>
    <mergeCell ref="J43:K43"/>
    <mergeCell ref="M43:M45"/>
    <mergeCell ref="N43:N45"/>
    <mergeCell ref="O43:O45"/>
    <mergeCell ref="P43:P45"/>
    <mergeCell ref="Q43:Q45"/>
    <mergeCell ref="J45:J46"/>
    <mergeCell ref="K45:K46"/>
    <mergeCell ref="N29:N32"/>
    <mergeCell ref="O29:O32"/>
    <mergeCell ref="V25:Y28"/>
    <mergeCell ref="AA23:AB26"/>
    <mergeCell ref="AC23:AE26"/>
    <mergeCell ref="M25:M28"/>
    <mergeCell ref="N25:N28"/>
    <mergeCell ref="O25:O28"/>
    <mergeCell ref="P25:Q36"/>
    <mergeCell ref="R25:S28"/>
    <mergeCell ref="T25:U28"/>
    <mergeCell ref="M33:M36"/>
    <mergeCell ref="N33:N36"/>
    <mergeCell ref="O33:O36"/>
    <mergeCell ref="D25:D28"/>
    <mergeCell ref="E25:E28"/>
    <mergeCell ref="F25:G28"/>
    <mergeCell ref="H25:H28"/>
    <mergeCell ref="I25:J28"/>
    <mergeCell ref="K25:L28"/>
    <mergeCell ref="P23:Q24"/>
    <mergeCell ref="F24:G24"/>
    <mergeCell ref="K24:L24"/>
    <mergeCell ref="C20:Y20"/>
    <mergeCell ref="D22:G23"/>
    <mergeCell ref="H22:Q22"/>
    <mergeCell ref="R22:Y23"/>
    <mergeCell ref="AA20:AN20"/>
    <mergeCell ref="H23:H24"/>
    <mergeCell ref="I23:J24"/>
    <mergeCell ref="K23:M23"/>
    <mergeCell ref="N23:N24"/>
    <mergeCell ref="O23:O24"/>
    <mergeCell ref="AA22:AB22"/>
    <mergeCell ref="AC22:AE22"/>
    <mergeCell ref="AG22:AH22"/>
    <mergeCell ref="AJ22:AK22"/>
    <mergeCell ref="R24:S24"/>
    <mergeCell ref="T24:U24"/>
    <mergeCell ref="V24:Y24"/>
    <mergeCell ref="AN23:AN26"/>
    <mergeCell ref="AF23:AF26"/>
    <mergeCell ref="AG23:AH26"/>
    <mergeCell ref="AI23:AI26"/>
    <mergeCell ref="AJ23:AK26"/>
    <mergeCell ref="AL23:AL26"/>
    <mergeCell ref="AM23:AM26"/>
    <mergeCell ref="T16:T18"/>
    <mergeCell ref="W16:Y18"/>
    <mergeCell ref="E17:H17"/>
    <mergeCell ref="I17:J17"/>
    <mergeCell ref="K17:M17"/>
    <mergeCell ref="E18:H18"/>
    <mergeCell ref="I18:J18"/>
    <mergeCell ref="K18:M18"/>
    <mergeCell ref="E15:H15"/>
    <mergeCell ref="I15:J15"/>
    <mergeCell ref="K15:M15"/>
    <mergeCell ref="W15:Y15"/>
    <mergeCell ref="E16:H16"/>
    <mergeCell ref="I16:J16"/>
    <mergeCell ref="K16:M16"/>
    <mergeCell ref="Q16:Q18"/>
    <mergeCell ref="R16:R18"/>
    <mergeCell ref="S16:S18"/>
    <mergeCell ref="D11:E11"/>
    <mergeCell ref="G11:Y11"/>
    <mergeCell ref="D13:Y13"/>
    <mergeCell ref="D14:O14"/>
    <mergeCell ref="Q14:Y14"/>
    <mergeCell ref="G5:M5"/>
    <mergeCell ref="N5:Q5"/>
    <mergeCell ref="R5:U5"/>
    <mergeCell ref="V5:Y5"/>
    <mergeCell ref="D9:E9"/>
    <mergeCell ref="D3:F4"/>
    <mergeCell ref="H3:Y3"/>
    <mergeCell ref="H4:J4"/>
    <mergeCell ref="K4:O4"/>
    <mergeCell ref="P4:S4"/>
    <mergeCell ref="T4:U4"/>
    <mergeCell ref="V4:Y4"/>
    <mergeCell ref="D10:E10"/>
    <mergeCell ref="D7:Y8"/>
    <mergeCell ref="F9:Y9"/>
    <mergeCell ref="F10:Y10"/>
  </mergeCells>
  <conditionalFormatting sqref="F25">
    <cfRule type="containsText" dxfId="24" priority="8" operator="containsText" text="Extremo">
      <formula>NOT(ISERROR(SEARCH("Extremo",F25)))</formula>
    </cfRule>
    <cfRule type="containsText" dxfId="23" priority="9" operator="containsText" text="Alto">
      <formula>NOT(ISERROR(SEARCH("Alto",F25)))</formula>
    </cfRule>
    <cfRule type="containsText" dxfId="22" priority="10" operator="containsText" text="Moderado">
      <formula>NOT(ISERROR(SEARCH("Moderado",F25)))</formula>
    </cfRule>
    <cfRule type="containsText" dxfId="21" priority="11" operator="containsText" text="Bajo">
      <formula>NOT(ISERROR(SEARCH("Bajo",F25)))</formula>
    </cfRule>
  </conditionalFormatting>
  <conditionalFormatting sqref="P25:Q36">
    <cfRule type="containsText" dxfId="20" priority="1" operator="containsText" text="Fuerte">
      <formula>NOT(ISERROR(SEARCH("Fuerte",P25)))</formula>
    </cfRule>
    <cfRule type="containsText" dxfId="19" priority="2" operator="containsText" text="Moderado">
      <formula>NOT(ISERROR(SEARCH("Moderado",P25)))</formula>
    </cfRule>
    <cfRule type="containsText" dxfId="18" priority="3" operator="containsText" text="Débil">
      <formula>NOT(ISERROR(SEARCH("Débil",P25)))</formula>
    </cfRule>
  </conditionalFormatting>
  <conditionalFormatting sqref="V25">
    <cfRule type="containsText" dxfId="17" priority="4" operator="containsText" text="Extremo">
      <formula>NOT(ISERROR(SEARCH("Extremo",V25)))</formula>
    </cfRule>
    <cfRule type="containsText" dxfId="16" priority="5" operator="containsText" text="Alto">
      <formula>NOT(ISERROR(SEARCH("Alto",V25)))</formula>
    </cfRule>
    <cfRule type="containsText" dxfId="15" priority="6" operator="containsText" text="Moderado">
      <formula>NOT(ISERROR(SEARCH("Moderado",V25)))</formula>
    </cfRule>
    <cfRule type="containsText" dxfId="14" priority="7" operator="containsText" text="Bajo">
      <formula>NOT(ISERROR(SEARCH("Bajo",V25)))</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EF624D-2BEF-4AAF-95D0-30235392BA5F}">
          <x14:formula1>
            <xm:f>'Riesgos de segInf'!$G$114:$G$116</xm:f>
          </x14:formula1>
          <xm:sqref>R16:R18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8C48-8FC7-41AE-AE9D-FC6C5E39FF83}">
  <dimension ref="A1:AL154"/>
  <sheetViews>
    <sheetView zoomScale="80" zoomScaleNormal="80" workbookViewId="0">
      <selection activeCell="B1" sqref="B1"/>
    </sheetView>
  </sheetViews>
  <sheetFormatPr baseColWidth="10" defaultRowHeight="15" x14ac:dyDescent="0.25"/>
  <cols>
    <col min="1" max="1" width="16.28515625" customWidth="1"/>
    <col min="2" max="2" width="6.28515625" customWidth="1"/>
    <col min="3" max="3" width="17.28515625" customWidth="1"/>
    <col min="4" max="4" width="64.140625" customWidth="1"/>
    <col min="5" max="5" width="18.140625" customWidth="1"/>
    <col min="6" max="6" width="18.28515625" customWidth="1"/>
    <col min="7" max="7" width="15.140625" customWidth="1"/>
    <col min="8" max="8" width="10" customWidth="1"/>
    <col min="9" max="9" width="23.28515625" customWidth="1"/>
    <col min="10" max="10" width="14.42578125" customWidth="1"/>
    <col min="11" max="11" width="27.5703125" customWidth="1"/>
  </cols>
  <sheetData>
    <row r="1" spans="1:38" ht="102.75" customHeight="1" x14ac:dyDescent="0.25"/>
    <row r="2" spans="1:38" ht="33.75" customHeight="1" x14ac:dyDescent="0.25"/>
    <row r="4" spans="1:38" ht="15.75" thickBot="1" x14ac:dyDescent="0.3"/>
    <row r="5" spans="1:38" ht="15" customHeight="1" x14ac:dyDescent="0.25">
      <c r="A5" s="812" t="s">
        <v>512</v>
      </c>
      <c r="B5" s="813"/>
      <c r="C5" s="813"/>
      <c r="D5" s="813"/>
      <c r="E5" s="813"/>
      <c r="F5" s="813"/>
      <c r="G5" s="813"/>
      <c r="H5" s="813"/>
      <c r="I5" s="813"/>
      <c r="J5" s="813"/>
      <c r="K5" s="813"/>
      <c r="L5" s="929"/>
      <c r="M5" s="295"/>
      <c r="N5" s="295"/>
      <c r="O5" s="295"/>
      <c r="P5" s="295"/>
      <c r="Q5" s="295"/>
      <c r="R5" s="295"/>
      <c r="S5" s="295"/>
      <c r="T5" s="295"/>
      <c r="U5" s="295"/>
      <c r="V5" s="295"/>
      <c r="W5" s="295"/>
      <c r="X5" s="295"/>
      <c r="Y5" s="295"/>
      <c r="Z5" s="295"/>
      <c r="AA5" s="295"/>
      <c r="AB5" s="295"/>
      <c r="AC5" s="295"/>
      <c r="AD5" s="295"/>
      <c r="AE5" s="295"/>
      <c r="AF5" s="295"/>
      <c r="AG5" s="295"/>
      <c r="AH5" s="295"/>
      <c r="AI5" s="295"/>
      <c r="AJ5" s="295"/>
      <c r="AK5" s="295"/>
      <c r="AL5" s="295"/>
    </row>
    <row r="6" spans="1:38" ht="15.75" customHeight="1" thickBot="1" x14ac:dyDescent="0.3">
      <c r="A6" s="815"/>
      <c r="B6" s="816"/>
      <c r="C6" s="816"/>
      <c r="D6" s="816"/>
      <c r="E6" s="816"/>
      <c r="F6" s="816"/>
      <c r="G6" s="816"/>
      <c r="H6" s="816"/>
      <c r="I6" s="816"/>
      <c r="J6" s="816"/>
      <c r="K6" s="816"/>
      <c r="L6" s="930"/>
      <c r="M6" s="295"/>
      <c r="N6" s="295"/>
      <c r="O6" s="295"/>
      <c r="P6" s="295"/>
      <c r="Q6" s="295"/>
      <c r="R6" s="295"/>
      <c r="S6" s="295"/>
      <c r="T6" s="295"/>
      <c r="U6" s="295"/>
      <c r="V6" s="295"/>
      <c r="W6" s="295"/>
      <c r="X6" s="295"/>
      <c r="Y6" s="295"/>
      <c r="Z6" s="295"/>
      <c r="AA6" s="295"/>
      <c r="AB6" s="295"/>
      <c r="AC6" s="295"/>
      <c r="AD6" s="295"/>
      <c r="AE6" s="295"/>
      <c r="AF6" s="295"/>
      <c r="AG6" s="295"/>
      <c r="AH6" s="295"/>
      <c r="AI6" s="295"/>
      <c r="AJ6" s="295"/>
      <c r="AK6" s="295"/>
      <c r="AL6" s="295"/>
    </row>
    <row r="7" spans="1:38" ht="28.5" thickBot="1" x14ac:dyDescent="0.3">
      <c r="A7" s="294"/>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row>
    <row r="8" spans="1:38" ht="27" customHeight="1" thickBot="1" x14ac:dyDescent="0.3">
      <c r="D8" s="937" t="s">
        <v>456</v>
      </c>
      <c r="E8" s="938"/>
      <c r="F8" s="938"/>
      <c r="G8" s="939"/>
      <c r="H8" s="140"/>
      <c r="I8" s="140"/>
      <c r="J8" s="140"/>
    </row>
    <row r="9" spans="1:38" ht="28.5" customHeight="1" thickBot="1" x14ac:dyDescent="0.3">
      <c r="D9" s="943" t="s">
        <v>398</v>
      </c>
      <c r="E9" s="944"/>
      <c r="F9" s="944"/>
      <c r="G9" s="945"/>
    </row>
    <row r="10" spans="1:38" x14ac:dyDescent="0.25">
      <c r="D10" s="230" t="s">
        <v>394</v>
      </c>
      <c r="E10" s="231" t="s">
        <v>392</v>
      </c>
      <c r="F10" s="231" t="s">
        <v>378</v>
      </c>
      <c r="G10" s="232" t="s">
        <v>393</v>
      </c>
    </row>
    <row r="11" spans="1:38" s="220" customFormat="1" ht="18.75" customHeight="1" x14ac:dyDescent="0.35">
      <c r="D11" s="226" t="s">
        <v>390</v>
      </c>
      <c r="E11" s="258"/>
      <c r="F11" s="258"/>
      <c r="G11" s="259"/>
    </row>
    <row r="12" spans="1:38" s="220" customFormat="1" ht="18" customHeight="1" x14ac:dyDescent="0.35">
      <c r="D12" s="226" t="s">
        <v>391</v>
      </c>
      <c r="E12" s="258"/>
      <c r="F12" s="258"/>
      <c r="G12" s="259"/>
    </row>
    <row r="13" spans="1:38" s="220" customFormat="1" ht="31.5" customHeight="1" x14ac:dyDescent="0.35">
      <c r="D13" s="226" t="s">
        <v>382</v>
      </c>
      <c r="E13" s="258"/>
      <c r="F13" s="258"/>
      <c r="G13" s="259"/>
    </row>
    <row r="14" spans="1:38" s="220" customFormat="1" ht="17.25" customHeight="1" x14ac:dyDescent="0.35">
      <c r="D14" s="226" t="s">
        <v>383</v>
      </c>
      <c r="E14" s="258"/>
      <c r="F14" s="258"/>
      <c r="G14" s="259"/>
    </row>
    <row r="15" spans="1:38" s="220" customFormat="1" ht="31.5" customHeight="1" x14ac:dyDescent="0.35">
      <c r="D15" s="226" t="s">
        <v>384</v>
      </c>
      <c r="E15" s="258"/>
      <c r="F15" s="258"/>
      <c r="G15" s="259"/>
    </row>
    <row r="16" spans="1:38" s="220" customFormat="1" ht="16.5" customHeight="1" x14ac:dyDescent="0.35">
      <c r="D16" s="226" t="s">
        <v>385</v>
      </c>
      <c r="E16" s="258"/>
      <c r="F16" s="258"/>
      <c r="G16" s="259"/>
    </row>
    <row r="17" spans="4:7" s="220" customFormat="1" ht="16.5" customHeight="1" x14ac:dyDescent="0.35">
      <c r="D17" s="226" t="s">
        <v>397</v>
      </c>
      <c r="E17" s="258"/>
      <c r="F17" s="258"/>
      <c r="G17" s="259"/>
    </row>
    <row r="18" spans="4:7" s="220" customFormat="1" ht="31.5" customHeight="1" x14ac:dyDescent="0.35">
      <c r="D18" s="226" t="s">
        <v>386</v>
      </c>
      <c r="E18" s="258"/>
      <c r="F18" s="258"/>
      <c r="G18" s="259"/>
    </row>
    <row r="19" spans="4:7" s="220" customFormat="1" ht="31.5" customHeight="1" x14ac:dyDescent="0.35">
      <c r="D19" s="226" t="s">
        <v>387</v>
      </c>
      <c r="E19" s="258"/>
      <c r="F19" s="258"/>
      <c r="G19" s="259"/>
    </row>
    <row r="20" spans="4:7" s="220" customFormat="1" ht="31.5" customHeight="1" x14ac:dyDescent="0.35">
      <c r="D20" s="226" t="s">
        <v>388</v>
      </c>
      <c r="E20" s="258"/>
      <c r="F20" s="258"/>
      <c r="G20" s="259"/>
    </row>
    <row r="21" spans="4:7" s="220" customFormat="1" ht="31.5" customHeight="1" thickBot="1" x14ac:dyDescent="0.4">
      <c r="D21" s="233" t="s">
        <v>389</v>
      </c>
      <c r="E21" s="260"/>
      <c r="F21" s="260"/>
      <c r="G21" s="261"/>
    </row>
    <row r="22" spans="4:7" ht="15.75" thickBot="1" x14ac:dyDescent="0.3">
      <c r="D22" s="234" t="s">
        <v>396</v>
      </c>
      <c r="E22" s="235">
        <f>COUNTIF(E11:E21,"X")</f>
        <v>0</v>
      </c>
      <c r="F22" s="235">
        <f t="shared" ref="F22:G22" si="0">COUNTIF(F11:F21,"X")</f>
        <v>0</v>
      </c>
      <c r="G22" s="235">
        <f t="shared" si="0"/>
        <v>0</v>
      </c>
    </row>
    <row r="23" spans="4:7" ht="27" thickBot="1" x14ac:dyDescent="0.45">
      <c r="D23" s="255" t="s">
        <v>399</v>
      </c>
      <c r="E23" s="940" t="str">
        <f>IF(E22&lt;=3,"Bajo",IF(E22&lt;=5,"Moderado",IF(E22&lt;=7,"Medio",IF(E22&lt;=9,"Alto","Critico"))))</f>
        <v>Bajo</v>
      </c>
      <c r="F23" s="941"/>
      <c r="G23" s="942"/>
    </row>
    <row r="24" spans="4:7" ht="27" thickBot="1" x14ac:dyDescent="0.45">
      <c r="D24" s="256"/>
      <c r="E24" s="257"/>
      <c r="F24" s="257"/>
      <c r="G24" s="257"/>
    </row>
    <row r="25" spans="4:7" ht="25.5" customHeight="1" thickBot="1" x14ac:dyDescent="0.3">
      <c r="D25" s="937" t="s">
        <v>455</v>
      </c>
      <c r="E25" s="938"/>
      <c r="F25" s="938"/>
      <c r="G25" s="939"/>
    </row>
    <row r="26" spans="4:7" ht="15.75" thickBot="1" x14ac:dyDescent="0.3">
      <c r="D26" s="943" t="s">
        <v>398</v>
      </c>
      <c r="E26" s="944"/>
      <c r="F26" s="944"/>
      <c r="G26" s="945"/>
    </row>
    <row r="27" spans="4:7" ht="15.75" thickBot="1" x14ac:dyDescent="0.3">
      <c r="D27" s="236" t="s">
        <v>394</v>
      </c>
      <c r="E27" s="237" t="s">
        <v>392</v>
      </c>
      <c r="F27" s="237" t="s">
        <v>378</v>
      </c>
      <c r="G27" s="238" t="s">
        <v>393</v>
      </c>
    </row>
    <row r="28" spans="4:7" x14ac:dyDescent="0.25">
      <c r="D28" s="223" t="s">
        <v>400</v>
      </c>
      <c r="E28" s="224"/>
      <c r="F28" s="224"/>
      <c r="G28" s="225"/>
    </row>
    <row r="29" spans="4:7" ht="30" x14ac:dyDescent="0.25">
      <c r="D29" s="226" t="s">
        <v>401</v>
      </c>
      <c r="E29" s="242"/>
      <c r="F29" s="242"/>
      <c r="G29" s="243"/>
    </row>
    <row r="30" spans="4:7" x14ac:dyDescent="0.25">
      <c r="D30" s="239" t="s">
        <v>402</v>
      </c>
      <c r="E30" s="242"/>
      <c r="F30" s="242"/>
      <c r="G30" s="243"/>
    </row>
    <row r="31" spans="4:7" x14ac:dyDescent="0.25">
      <c r="D31" s="226" t="s">
        <v>403</v>
      </c>
      <c r="E31" s="242"/>
      <c r="F31" s="242"/>
      <c r="G31" s="243"/>
    </row>
    <row r="32" spans="4:7" x14ac:dyDescent="0.25">
      <c r="D32" s="226" t="s">
        <v>404</v>
      </c>
      <c r="E32" s="242"/>
      <c r="F32" s="242"/>
      <c r="G32" s="243"/>
    </row>
    <row r="33" spans="4:7" ht="30" x14ac:dyDescent="0.25">
      <c r="D33" s="226" t="s">
        <v>405</v>
      </c>
      <c r="E33" s="242"/>
      <c r="F33" s="242"/>
      <c r="G33" s="243"/>
    </row>
    <row r="34" spans="4:7" ht="30" x14ac:dyDescent="0.25">
      <c r="D34" s="226" t="s">
        <v>406</v>
      </c>
      <c r="E34" s="242"/>
      <c r="F34" s="242"/>
      <c r="G34" s="243"/>
    </row>
    <row r="35" spans="4:7" ht="30" x14ac:dyDescent="0.25">
      <c r="D35" s="226" t="s">
        <v>407</v>
      </c>
      <c r="E35" s="242"/>
      <c r="F35" s="242"/>
      <c r="G35" s="243"/>
    </row>
    <row r="36" spans="4:7" ht="30" x14ac:dyDescent="0.25">
      <c r="D36" s="226" t="s">
        <v>408</v>
      </c>
      <c r="E36" s="242"/>
      <c r="F36" s="242"/>
      <c r="G36" s="243"/>
    </row>
    <row r="37" spans="4:7" ht="30" x14ac:dyDescent="0.25">
      <c r="D37" s="226" t="s">
        <v>416</v>
      </c>
      <c r="E37" s="242"/>
      <c r="F37" s="242"/>
      <c r="G37" s="243"/>
    </row>
    <row r="38" spans="4:7" ht="30" x14ac:dyDescent="0.25">
      <c r="D38" s="226" t="s">
        <v>417</v>
      </c>
      <c r="E38" s="242"/>
      <c r="F38" s="242"/>
      <c r="G38" s="243"/>
    </row>
    <row r="39" spans="4:7" ht="30" x14ac:dyDescent="0.25">
      <c r="D39" s="226" t="s">
        <v>418</v>
      </c>
      <c r="E39" s="242"/>
      <c r="F39" s="242"/>
      <c r="G39" s="243"/>
    </row>
    <row r="40" spans="4:7" ht="30" x14ac:dyDescent="0.25">
      <c r="D40" s="226" t="s">
        <v>409</v>
      </c>
      <c r="E40" s="242"/>
      <c r="F40" s="242"/>
      <c r="G40" s="243"/>
    </row>
    <row r="41" spans="4:7" ht="30" x14ac:dyDescent="0.25">
      <c r="D41" s="226" t="s">
        <v>410</v>
      </c>
      <c r="E41" s="242"/>
      <c r="F41" s="242"/>
      <c r="G41" s="243"/>
    </row>
    <row r="42" spans="4:7" ht="30" x14ac:dyDescent="0.25">
      <c r="D42" s="226" t="s">
        <v>411</v>
      </c>
      <c r="E42" s="242"/>
      <c r="F42" s="242"/>
      <c r="G42" s="243"/>
    </row>
    <row r="43" spans="4:7" ht="30" x14ac:dyDescent="0.25">
      <c r="D43" s="226" t="s">
        <v>412</v>
      </c>
      <c r="E43" s="242"/>
      <c r="F43" s="242"/>
      <c r="G43" s="243"/>
    </row>
    <row r="44" spans="4:7" ht="30" x14ac:dyDescent="0.25">
      <c r="D44" s="226" t="s">
        <v>413</v>
      </c>
      <c r="E44" s="242"/>
      <c r="F44" s="242"/>
      <c r="G44" s="243"/>
    </row>
    <row r="45" spans="4:7" x14ac:dyDescent="0.25">
      <c r="D45" s="239" t="s">
        <v>414</v>
      </c>
      <c r="E45" s="242"/>
      <c r="F45" s="242"/>
      <c r="G45" s="243"/>
    </row>
    <row r="46" spans="4:7" ht="45" x14ac:dyDescent="0.25">
      <c r="D46" s="226" t="s">
        <v>415</v>
      </c>
      <c r="E46" s="242"/>
      <c r="F46" s="242"/>
      <c r="G46" s="243"/>
    </row>
    <row r="47" spans="4:7" ht="45" x14ac:dyDescent="0.25">
      <c r="D47" s="226" t="s">
        <v>419</v>
      </c>
      <c r="E47" s="242"/>
      <c r="F47" s="242"/>
      <c r="G47" s="243"/>
    </row>
    <row r="48" spans="4:7" ht="45" x14ac:dyDescent="0.25">
      <c r="D48" s="226" t="s">
        <v>420</v>
      </c>
      <c r="E48" s="242"/>
      <c r="F48" s="242"/>
      <c r="G48" s="243"/>
    </row>
    <row r="49" spans="1:7" ht="75" x14ac:dyDescent="0.25">
      <c r="D49" s="226" t="s">
        <v>421</v>
      </c>
      <c r="E49" s="242"/>
      <c r="F49" s="242"/>
      <c r="G49" s="243"/>
    </row>
    <row r="50" spans="1:7" ht="30" x14ac:dyDescent="0.25">
      <c r="D50" s="226" t="s">
        <v>422</v>
      </c>
      <c r="E50" s="242"/>
      <c r="F50" s="242"/>
      <c r="G50" s="243"/>
    </row>
    <row r="51" spans="1:7" ht="45" x14ac:dyDescent="0.25">
      <c r="A51" t="s">
        <v>395</v>
      </c>
      <c r="D51" s="226" t="s">
        <v>423</v>
      </c>
      <c r="E51" s="242"/>
      <c r="F51" s="242"/>
      <c r="G51" s="243"/>
    </row>
    <row r="52" spans="1:7" ht="30" x14ac:dyDescent="0.25">
      <c r="A52" t="s">
        <v>377</v>
      </c>
      <c r="D52" s="226" t="s">
        <v>424</v>
      </c>
      <c r="E52" s="242"/>
      <c r="F52" s="242"/>
      <c r="G52" s="243"/>
    </row>
    <row r="53" spans="1:7" ht="45" x14ac:dyDescent="0.25">
      <c r="A53" t="s">
        <v>378</v>
      </c>
      <c r="D53" s="226" t="s">
        <v>425</v>
      </c>
      <c r="E53" s="242"/>
      <c r="F53" s="242"/>
      <c r="G53" s="243"/>
    </row>
    <row r="54" spans="1:7" ht="45" x14ac:dyDescent="0.25">
      <c r="A54" t="s">
        <v>393</v>
      </c>
      <c r="D54" s="226" t="s">
        <v>426</v>
      </c>
      <c r="E54" s="242"/>
      <c r="F54" s="242"/>
      <c r="G54" s="243"/>
    </row>
    <row r="55" spans="1:7" ht="60" x14ac:dyDescent="0.25">
      <c r="D55" s="226" t="s">
        <v>427</v>
      </c>
      <c r="E55" s="242"/>
      <c r="F55" s="242"/>
      <c r="G55" s="243"/>
    </row>
    <row r="56" spans="1:7" ht="30" x14ac:dyDescent="0.25">
      <c r="D56" s="226" t="s">
        <v>428</v>
      </c>
      <c r="E56" s="242"/>
      <c r="F56" s="242"/>
      <c r="G56" s="243"/>
    </row>
    <row r="57" spans="1:7" ht="30" x14ac:dyDescent="0.25">
      <c r="D57" s="226" t="s">
        <v>429</v>
      </c>
      <c r="E57" s="242"/>
      <c r="F57" s="242"/>
      <c r="G57" s="243"/>
    </row>
    <row r="58" spans="1:7" ht="30" x14ac:dyDescent="0.25">
      <c r="D58" s="226" t="s">
        <v>430</v>
      </c>
      <c r="E58" s="242"/>
      <c r="F58" s="242"/>
      <c r="G58" s="243"/>
    </row>
    <row r="59" spans="1:7" ht="30" x14ac:dyDescent="0.25">
      <c r="D59" s="226" t="s">
        <v>431</v>
      </c>
      <c r="E59" s="242"/>
      <c r="F59" s="242"/>
      <c r="G59" s="243"/>
    </row>
    <row r="60" spans="1:7" ht="21.75" customHeight="1" x14ac:dyDescent="0.25">
      <c r="D60" s="239" t="s">
        <v>432</v>
      </c>
      <c r="E60" s="242"/>
      <c r="F60" s="242"/>
      <c r="G60" s="243"/>
    </row>
    <row r="61" spans="1:7" ht="32.25" customHeight="1" x14ac:dyDescent="0.25">
      <c r="D61" s="226" t="s">
        <v>433</v>
      </c>
      <c r="E61" s="242"/>
      <c r="F61" s="242"/>
      <c r="G61" s="243"/>
    </row>
    <row r="62" spans="1:7" ht="30" x14ac:dyDescent="0.25">
      <c r="D62" s="226" t="s">
        <v>434</v>
      </c>
      <c r="E62" s="242"/>
      <c r="F62" s="242"/>
      <c r="G62" s="243"/>
    </row>
    <row r="63" spans="1:7" ht="30" x14ac:dyDescent="0.25">
      <c r="D63" s="226" t="s">
        <v>435</v>
      </c>
      <c r="E63" s="242"/>
      <c r="F63" s="242"/>
      <c r="G63" s="243"/>
    </row>
    <row r="64" spans="1:7" ht="45" x14ac:dyDescent="0.25">
      <c r="D64" s="226" t="s">
        <v>436</v>
      </c>
      <c r="E64" s="242"/>
      <c r="F64" s="242"/>
      <c r="G64" s="243"/>
    </row>
    <row r="65" spans="3:12" ht="30" x14ac:dyDescent="0.25">
      <c r="D65" s="226" t="s">
        <v>437</v>
      </c>
      <c r="E65" s="242"/>
      <c r="F65" s="242"/>
      <c r="G65" s="243"/>
    </row>
    <row r="66" spans="3:12" ht="45" x14ac:dyDescent="0.25">
      <c r="D66" s="226" t="s">
        <v>438</v>
      </c>
      <c r="E66" s="242"/>
      <c r="F66" s="242"/>
      <c r="G66" s="243"/>
    </row>
    <row r="67" spans="3:12" ht="45" x14ac:dyDescent="0.25">
      <c r="D67" s="226" t="s">
        <v>439</v>
      </c>
      <c r="E67" s="242"/>
      <c r="F67" s="242"/>
      <c r="G67" s="243"/>
    </row>
    <row r="68" spans="3:12" ht="30" x14ac:dyDescent="0.25">
      <c r="D68" s="226" t="s">
        <v>440</v>
      </c>
      <c r="E68" s="242"/>
      <c r="F68" s="242"/>
      <c r="G68" s="243"/>
    </row>
    <row r="69" spans="3:12" ht="30" x14ac:dyDescent="0.25">
      <c r="D69" s="226" t="s">
        <v>441</v>
      </c>
      <c r="E69" s="242"/>
      <c r="F69" s="242"/>
      <c r="G69" s="243"/>
    </row>
    <row r="70" spans="3:12" ht="30" x14ac:dyDescent="0.25">
      <c r="D70" s="226" t="s">
        <v>442</v>
      </c>
      <c r="E70" s="242"/>
      <c r="F70" s="242"/>
      <c r="G70" s="243"/>
    </row>
    <row r="71" spans="3:12" ht="30.75" thickBot="1" x14ac:dyDescent="0.3">
      <c r="D71" s="228" t="s">
        <v>443</v>
      </c>
      <c r="E71" s="244"/>
      <c r="F71" s="244"/>
      <c r="G71" s="245"/>
    </row>
    <row r="72" spans="3:12" ht="15.75" thickBot="1" x14ac:dyDescent="0.3">
      <c r="D72" s="234" t="s">
        <v>396</v>
      </c>
      <c r="E72" s="235">
        <f>COUNTIF(E28:E71,"X")</f>
        <v>0</v>
      </c>
      <c r="F72" s="235">
        <f t="shared" ref="F72:G72" si="1">COUNTIF(F28:F71,"X")</f>
        <v>0</v>
      </c>
      <c r="G72" s="235">
        <f t="shared" si="1"/>
        <v>0</v>
      </c>
    </row>
    <row r="73" spans="3:12" ht="30" customHeight="1" thickBot="1" x14ac:dyDescent="0.45">
      <c r="D73" s="253" t="s">
        <v>444</v>
      </c>
      <c r="E73" s="946" t="str">
        <f>IF(E72&lt;=8,"Critico",IF(E72&lt;=17,"Alto",IF(E72&lt;=26,"Medio",IF(E72&lt;=35,"Moderado","Bajo"))))</f>
        <v>Critico</v>
      </c>
      <c r="F73" s="947"/>
      <c r="G73" s="948"/>
    </row>
    <row r="74" spans="3:12" ht="52.5" customHeight="1" thickBot="1" x14ac:dyDescent="0.3">
      <c r="D74" s="254" t="s">
        <v>445</v>
      </c>
      <c r="E74" s="949" t="str">
        <f>VLOOKUP(E73,C150:D154,2,0)</f>
        <v>Urgentemente
Implementar un sistema de administración
de riesgos</v>
      </c>
      <c r="F74" s="950"/>
      <c r="G74" s="951"/>
    </row>
    <row r="79" spans="3:12" ht="15.75" thickBot="1" x14ac:dyDescent="0.3"/>
    <row r="80" spans="3:12" ht="16.5" thickBot="1" x14ac:dyDescent="0.3">
      <c r="C80" s="931" t="s">
        <v>213</v>
      </c>
      <c r="D80" s="932"/>
      <c r="E80" s="932"/>
      <c r="F80" s="932"/>
      <c r="G80" s="932"/>
      <c r="H80" s="932"/>
      <c r="I80" s="932"/>
      <c r="J80" s="932"/>
      <c r="K80" s="932"/>
      <c r="L80" s="933"/>
    </row>
    <row r="81" spans="3:12" ht="18" x14ac:dyDescent="0.25">
      <c r="C81" s="263" t="s">
        <v>457</v>
      </c>
      <c r="D81" s="262" t="s">
        <v>380</v>
      </c>
      <c r="E81" s="917" t="s">
        <v>381</v>
      </c>
      <c r="F81" s="918"/>
      <c r="G81" s="919" t="s">
        <v>458</v>
      </c>
      <c r="H81" s="920"/>
      <c r="I81" s="921" t="s">
        <v>342</v>
      </c>
      <c r="J81" s="921"/>
      <c r="K81" s="921" t="s">
        <v>220</v>
      </c>
      <c r="L81" s="934"/>
    </row>
    <row r="82" spans="3:12" x14ac:dyDescent="0.25">
      <c r="C82" s="239"/>
      <c r="D82" s="222"/>
      <c r="E82" s="927"/>
      <c r="F82" s="928"/>
      <c r="G82" s="447"/>
      <c r="H82" s="447"/>
      <c r="I82" s="447"/>
      <c r="J82" s="447"/>
      <c r="K82" s="447"/>
      <c r="L82" s="922"/>
    </row>
    <row r="83" spans="3:12" x14ac:dyDescent="0.25">
      <c r="C83" s="239"/>
      <c r="D83" s="222"/>
      <c r="E83" s="927"/>
      <c r="F83" s="928"/>
      <c r="G83" s="447"/>
      <c r="H83" s="447"/>
      <c r="I83" s="447"/>
      <c r="J83" s="447"/>
      <c r="K83" s="447"/>
      <c r="L83" s="922"/>
    </row>
    <row r="84" spans="3:12" ht="15.75" thickBot="1" x14ac:dyDescent="0.3">
      <c r="C84" s="240"/>
      <c r="D84" s="241"/>
      <c r="E84" s="923"/>
      <c r="F84" s="924"/>
      <c r="G84" s="925"/>
      <c r="H84" s="925"/>
      <c r="I84" s="925"/>
      <c r="J84" s="925"/>
      <c r="K84" s="925"/>
      <c r="L84" s="926"/>
    </row>
    <row r="138" spans="6:6" x14ac:dyDescent="0.25">
      <c r="F138" s="221"/>
    </row>
    <row r="148" spans="3:11" ht="15.75" thickBot="1" x14ac:dyDescent="0.3"/>
    <row r="149" spans="3:11" ht="27" customHeight="1" thickBot="1" x14ac:dyDescent="0.5">
      <c r="C149" s="935" t="s">
        <v>454</v>
      </c>
      <c r="D149" s="936"/>
      <c r="K149" s="252"/>
    </row>
    <row r="150" spans="3:11" ht="31.5" x14ac:dyDescent="0.35">
      <c r="C150" s="247" t="s">
        <v>446</v>
      </c>
      <c r="D150" s="246" t="s">
        <v>450</v>
      </c>
      <c r="K150" s="180"/>
    </row>
    <row r="151" spans="3:11" ht="31.5" x14ac:dyDescent="0.35">
      <c r="C151" s="250" t="s">
        <v>447</v>
      </c>
      <c r="D151" s="227" t="s">
        <v>449</v>
      </c>
      <c r="K151" s="180"/>
    </row>
    <row r="152" spans="3:11" ht="30.75" x14ac:dyDescent="0.3">
      <c r="C152" s="248" t="s">
        <v>379</v>
      </c>
      <c r="D152" s="227" t="s">
        <v>451</v>
      </c>
      <c r="K152" s="183"/>
    </row>
    <row r="153" spans="3:11" ht="31.5" x14ac:dyDescent="0.35">
      <c r="C153" s="249" t="s">
        <v>376</v>
      </c>
      <c r="D153" s="227" t="s">
        <v>452</v>
      </c>
      <c r="K153" s="179"/>
    </row>
    <row r="154" spans="3:11" ht="45.75" thickBot="1" x14ac:dyDescent="0.3">
      <c r="C154" s="251" t="s">
        <v>448</v>
      </c>
      <c r="D154" s="229" t="s">
        <v>453</v>
      </c>
    </row>
  </sheetData>
  <mergeCells count="26">
    <mergeCell ref="A5:L6"/>
    <mergeCell ref="C80:L80"/>
    <mergeCell ref="K81:L81"/>
    <mergeCell ref="G83:H83"/>
    <mergeCell ref="C149:D149"/>
    <mergeCell ref="D25:G25"/>
    <mergeCell ref="D8:G8"/>
    <mergeCell ref="E23:G23"/>
    <mergeCell ref="D9:G9"/>
    <mergeCell ref="D26:G26"/>
    <mergeCell ref="E73:G73"/>
    <mergeCell ref="E74:G74"/>
    <mergeCell ref="E82:F82"/>
    <mergeCell ref="G82:H82"/>
    <mergeCell ref="I82:J82"/>
    <mergeCell ref="K82:L82"/>
    <mergeCell ref="E81:F81"/>
    <mergeCell ref="G81:H81"/>
    <mergeCell ref="I81:J81"/>
    <mergeCell ref="K83:L83"/>
    <mergeCell ref="E84:F84"/>
    <mergeCell ref="G84:H84"/>
    <mergeCell ref="I84:J84"/>
    <mergeCell ref="K84:L84"/>
    <mergeCell ref="E83:F83"/>
    <mergeCell ref="I83:J83"/>
  </mergeCell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A28D047F-277A-4FCE-916F-30B1D716674B}">
            <xm:f>NOT(ISERROR(SEARCH($C$154,E23)))</xm:f>
            <xm:f>$C$154</xm:f>
            <x14:dxf>
              <fill>
                <patternFill>
                  <bgColor rgb="FFFF0000"/>
                </patternFill>
              </fill>
            </x14:dxf>
          </x14:cfRule>
          <x14:cfRule type="containsText" priority="2" operator="containsText" id="{FE380077-2956-498C-9401-48955C025474}">
            <xm:f>NOT(ISERROR(SEARCH($C$153,E23)))</xm:f>
            <xm:f>$C$153</xm:f>
            <x14:dxf>
              <fill>
                <patternFill>
                  <bgColor theme="9" tint="-0.24994659260841701"/>
                </patternFill>
              </fill>
            </x14:dxf>
          </x14:cfRule>
          <x14:cfRule type="containsText" priority="3" operator="containsText" id="{CBEFEB8E-9817-4CB4-B4F5-A62B596A198F}">
            <xm:f>NOT(ISERROR(SEARCH($C$152,E23)))</xm:f>
            <xm:f>$C$152</xm:f>
            <x14:dxf>
              <fill>
                <patternFill>
                  <bgColor theme="2" tint="-0.24994659260841701"/>
                </patternFill>
              </fill>
            </x14:dxf>
          </x14:cfRule>
          <x14:cfRule type="containsText" priority="4" operator="containsText" id="{48B59B6C-7777-4EB5-8B7E-F78B9E7FC79D}">
            <xm:f>NOT(ISERROR(SEARCH($C$151,E23)))</xm:f>
            <xm:f>$C$151</xm:f>
            <x14:dxf>
              <fill>
                <patternFill>
                  <bgColor theme="9" tint="0.59996337778862885"/>
                </patternFill>
              </fill>
            </x14:dxf>
          </x14:cfRule>
          <x14:cfRule type="containsText" priority="5" operator="containsText" id="{4B7C9679-75E4-4E23-9496-06F671764513}">
            <xm:f>NOT(ISERROR(SEARCH($C$150,E23)))</xm:f>
            <xm:f>$C$150</xm:f>
            <x14:dxf>
              <fill>
                <patternFill>
                  <bgColor rgb="FFFFFF00"/>
                </patternFill>
              </fill>
            </x14:dxf>
          </x14:cfRule>
          <xm:sqref>E23:G24</xm:sqref>
        </x14:conditionalFormatting>
        <x14:conditionalFormatting xmlns:xm="http://schemas.microsoft.com/office/excel/2006/main">
          <x14:cfRule type="containsText" priority="6" operator="containsText" id="{5A625724-D68E-4371-9AFD-72C401230C96}">
            <xm:f>NOT(ISERROR(SEARCH($C$154,E73)))</xm:f>
            <xm:f>$C$154</xm:f>
            <x14:dxf>
              <fill>
                <patternFill>
                  <bgColor rgb="FFFF0000"/>
                </patternFill>
              </fill>
            </x14:dxf>
          </x14:cfRule>
          <x14:cfRule type="containsText" priority="7" operator="containsText" id="{18823C9A-F5A1-4D6B-BE16-CF094F4DFAC4}">
            <xm:f>NOT(ISERROR(SEARCH($C$153,E73)))</xm:f>
            <xm:f>$C$153</xm:f>
            <x14:dxf>
              <fill>
                <patternFill>
                  <bgColor theme="9" tint="-0.24994659260841701"/>
                </patternFill>
              </fill>
            </x14:dxf>
          </x14:cfRule>
          <x14:cfRule type="containsText" priority="8" operator="containsText" id="{F3712C52-2290-44E9-90B9-9D6C876851F1}">
            <xm:f>NOT(ISERROR(SEARCH($C$152,E73)))</xm:f>
            <xm:f>$C$152</xm:f>
            <x14:dxf>
              <fill>
                <patternFill>
                  <bgColor theme="2" tint="-0.24994659260841701"/>
                </patternFill>
              </fill>
            </x14:dxf>
          </x14:cfRule>
          <x14:cfRule type="containsText" priority="9" operator="containsText" id="{E0333732-D339-4D02-908B-F7EBA604AD3B}">
            <xm:f>NOT(ISERROR(SEARCH($C$151,E73)))</xm:f>
            <xm:f>$C$151</xm:f>
            <x14:dxf>
              <fill>
                <patternFill>
                  <bgColor theme="9" tint="0.59996337778862885"/>
                </patternFill>
              </fill>
            </x14:dxf>
          </x14:cfRule>
          <x14:cfRule type="containsText" priority="10" operator="containsText" id="{F30D1C36-BC74-4688-9A16-1E4432786235}">
            <xm:f>NOT(ISERROR(SEARCH($C$150,E73)))</xm:f>
            <xm:f>$C$150</xm:f>
            <x14:dxf>
              <fill>
                <patternFill>
                  <bgColor rgb="FFFFFF00"/>
                </patternFill>
              </fill>
            </x14:dxf>
          </x14:cfRule>
          <xm:sqref>E73:G73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K55"/>
  <sheetViews>
    <sheetView zoomScale="41" zoomScaleNormal="41" workbookViewId="0">
      <selection activeCell="C6" sqref="C6"/>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83"/>
      <c r="B1" s="952" t="s">
        <v>55</v>
      </c>
      <c r="C1" s="952"/>
      <c r="D1" s="952"/>
      <c r="E1" s="83"/>
      <c r="F1" s="83"/>
      <c r="G1" s="83"/>
      <c r="H1" s="83"/>
      <c r="I1" s="83"/>
      <c r="J1" s="83"/>
      <c r="K1" s="83"/>
      <c r="L1" s="83"/>
      <c r="M1" s="83"/>
      <c r="N1" s="83"/>
      <c r="O1" s="83"/>
      <c r="P1" s="83"/>
      <c r="Q1" s="83"/>
      <c r="R1" s="83"/>
      <c r="S1" s="83"/>
      <c r="T1" s="83"/>
      <c r="U1" s="83"/>
      <c r="V1" s="83"/>
      <c r="W1" s="83"/>
      <c r="X1" s="83"/>
      <c r="Y1" s="83"/>
      <c r="Z1" s="83"/>
      <c r="AA1" s="83"/>
      <c r="AB1" s="83"/>
      <c r="AC1" s="83"/>
      <c r="AD1" s="83"/>
      <c r="AE1" s="83"/>
    </row>
    <row r="2" spans="1:37" x14ac:dyDescent="0.25">
      <c r="A2" s="83"/>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row>
    <row r="3" spans="1:37" ht="25.5" x14ac:dyDescent="0.25">
      <c r="A3" s="83"/>
      <c r="B3" s="11"/>
      <c r="C3" s="12" t="s">
        <v>52</v>
      </c>
      <c r="D3" s="12" t="s">
        <v>4</v>
      </c>
      <c r="E3" s="83"/>
      <c r="F3" s="83"/>
      <c r="G3" s="83"/>
      <c r="H3" s="83"/>
      <c r="I3" s="83"/>
      <c r="J3" s="83"/>
      <c r="K3" s="83"/>
      <c r="L3" s="83"/>
      <c r="M3" s="83"/>
      <c r="N3" s="83"/>
      <c r="O3" s="83"/>
      <c r="P3" s="83"/>
      <c r="Q3" s="83"/>
      <c r="R3" s="83"/>
      <c r="S3" s="83"/>
      <c r="T3" s="83"/>
      <c r="U3" s="83"/>
      <c r="V3" s="83"/>
      <c r="W3" s="83"/>
      <c r="X3" s="83"/>
      <c r="Y3" s="83"/>
      <c r="Z3" s="83"/>
      <c r="AA3" s="83"/>
      <c r="AB3" s="83"/>
      <c r="AC3" s="83"/>
      <c r="AD3" s="83"/>
      <c r="AE3" s="83"/>
    </row>
    <row r="4" spans="1:37" ht="51" x14ac:dyDescent="0.25">
      <c r="A4" s="83"/>
      <c r="B4" s="13" t="s">
        <v>51</v>
      </c>
      <c r="C4" s="14" t="s">
        <v>102</v>
      </c>
      <c r="D4" s="15">
        <v>0.2</v>
      </c>
      <c r="E4" s="83"/>
      <c r="F4" s="83"/>
      <c r="G4" s="83"/>
      <c r="H4" s="83"/>
      <c r="I4" s="83"/>
      <c r="J4" s="83"/>
      <c r="K4" s="83"/>
      <c r="L4" s="83"/>
      <c r="M4" s="83"/>
      <c r="N4" s="83"/>
      <c r="O4" s="83"/>
      <c r="P4" s="83"/>
      <c r="Q4" s="83"/>
      <c r="R4" s="83"/>
      <c r="S4" s="83"/>
      <c r="T4" s="83"/>
      <c r="U4" s="83"/>
      <c r="V4" s="83"/>
      <c r="W4" s="83"/>
      <c r="X4" s="83"/>
      <c r="Y4" s="83"/>
      <c r="Z4" s="83"/>
      <c r="AA4" s="83"/>
      <c r="AB4" s="83"/>
      <c r="AC4" s="83"/>
      <c r="AD4" s="83"/>
      <c r="AE4" s="83"/>
    </row>
    <row r="5" spans="1:37" ht="51" x14ac:dyDescent="0.25">
      <c r="A5" s="83"/>
      <c r="B5" s="16" t="s">
        <v>53</v>
      </c>
      <c r="C5" s="17" t="s">
        <v>103</v>
      </c>
      <c r="D5" s="18">
        <v>0.4</v>
      </c>
      <c r="E5" s="83"/>
      <c r="F5" s="83"/>
      <c r="G5" s="83"/>
      <c r="H5" s="83"/>
      <c r="I5" s="83"/>
      <c r="J5" s="83"/>
      <c r="K5" s="83"/>
      <c r="L5" s="83"/>
      <c r="M5" s="83"/>
      <c r="N5" s="83"/>
      <c r="O5" s="83"/>
      <c r="P5" s="83"/>
      <c r="Q5" s="83"/>
      <c r="R5" s="83"/>
      <c r="S5" s="83"/>
      <c r="T5" s="83"/>
      <c r="U5" s="83"/>
      <c r="V5" s="83"/>
      <c r="W5" s="83"/>
      <c r="X5" s="83"/>
      <c r="Y5" s="83"/>
      <c r="Z5" s="83"/>
      <c r="AA5" s="83"/>
      <c r="AB5" s="83"/>
      <c r="AC5" s="83"/>
      <c r="AD5" s="83"/>
      <c r="AE5" s="83"/>
    </row>
    <row r="6" spans="1:37" ht="51" x14ac:dyDescent="0.25">
      <c r="A6" s="83"/>
      <c r="B6" s="19" t="s">
        <v>107</v>
      </c>
      <c r="C6" s="17" t="s">
        <v>104</v>
      </c>
      <c r="D6" s="18">
        <v>0.6</v>
      </c>
      <c r="E6" s="83"/>
      <c r="F6" s="83"/>
      <c r="G6" s="83"/>
      <c r="H6" s="83"/>
      <c r="I6" s="83"/>
      <c r="J6" s="83"/>
      <c r="K6" s="83"/>
      <c r="L6" s="83"/>
      <c r="M6" s="83"/>
      <c r="N6" s="83"/>
      <c r="O6" s="83"/>
      <c r="P6" s="83"/>
      <c r="Q6" s="83"/>
      <c r="R6" s="83"/>
      <c r="S6" s="83"/>
      <c r="T6" s="83"/>
      <c r="U6" s="83"/>
      <c r="V6" s="83"/>
      <c r="W6" s="83"/>
      <c r="X6" s="83"/>
      <c r="Y6" s="83"/>
      <c r="Z6" s="83"/>
      <c r="AA6" s="83"/>
      <c r="AB6" s="83"/>
      <c r="AC6" s="83"/>
      <c r="AD6" s="83"/>
      <c r="AE6" s="83"/>
    </row>
    <row r="7" spans="1:37" ht="76.5" x14ac:dyDescent="0.25">
      <c r="A7" s="83"/>
      <c r="B7" s="20" t="s">
        <v>6</v>
      </c>
      <c r="C7" s="17" t="s">
        <v>105</v>
      </c>
      <c r="D7" s="18">
        <v>0.8</v>
      </c>
      <c r="E7" s="83"/>
      <c r="F7" s="83"/>
      <c r="G7" s="83"/>
      <c r="H7" s="83"/>
      <c r="I7" s="83"/>
      <c r="J7" s="83"/>
      <c r="K7" s="83"/>
      <c r="L7" s="83"/>
      <c r="M7" s="83"/>
      <c r="N7" s="83"/>
      <c r="O7" s="83"/>
      <c r="P7" s="83"/>
      <c r="Q7" s="83"/>
      <c r="R7" s="83"/>
      <c r="S7" s="83"/>
      <c r="T7" s="83"/>
      <c r="U7" s="83"/>
      <c r="V7" s="83"/>
      <c r="W7" s="83"/>
      <c r="X7" s="83"/>
      <c r="Y7" s="83"/>
      <c r="Z7" s="83"/>
      <c r="AA7" s="83"/>
      <c r="AB7" s="83"/>
      <c r="AC7" s="83"/>
      <c r="AD7" s="83"/>
      <c r="AE7" s="83"/>
    </row>
    <row r="8" spans="1:37" ht="51" x14ac:dyDescent="0.25">
      <c r="A8" s="83"/>
      <c r="B8" s="21" t="s">
        <v>54</v>
      </c>
      <c r="C8" s="17" t="s">
        <v>106</v>
      </c>
      <c r="D8" s="18">
        <v>1</v>
      </c>
      <c r="E8" s="83"/>
      <c r="F8" s="83"/>
      <c r="G8" s="83"/>
      <c r="H8" s="83"/>
      <c r="I8" s="83"/>
      <c r="J8" s="83"/>
      <c r="K8" s="83"/>
      <c r="L8" s="83"/>
      <c r="M8" s="83"/>
      <c r="N8" s="83"/>
      <c r="O8" s="83"/>
      <c r="P8" s="83"/>
      <c r="Q8" s="83"/>
      <c r="R8" s="83"/>
      <c r="S8" s="83"/>
      <c r="T8" s="83"/>
      <c r="U8" s="83"/>
      <c r="V8" s="83"/>
      <c r="W8" s="83"/>
      <c r="X8" s="83"/>
      <c r="Y8" s="83"/>
      <c r="Z8" s="83"/>
      <c r="AA8" s="83"/>
      <c r="AB8" s="83"/>
      <c r="AC8" s="83"/>
      <c r="AD8" s="83"/>
      <c r="AE8" s="83"/>
    </row>
    <row r="9" spans="1:37" x14ac:dyDescent="0.25">
      <c r="A9" s="83"/>
      <c r="B9" s="107"/>
      <c r="C9" s="107"/>
      <c r="D9" s="107"/>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row>
    <row r="10" spans="1:37" ht="16.5" x14ac:dyDescent="0.25">
      <c r="A10" s="83"/>
      <c r="B10" s="108"/>
      <c r="C10" s="107"/>
      <c r="D10" s="107"/>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row>
    <row r="11" spans="1:37" x14ac:dyDescent="0.25">
      <c r="A11" s="83"/>
      <c r="B11" s="107"/>
      <c r="C11" s="107"/>
      <c r="D11" s="107"/>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row>
    <row r="12" spans="1:37" x14ac:dyDescent="0.25">
      <c r="A12" s="83"/>
      <c r="B12" s="107"/>
      <c r="C12" s="107"/>
      <c r="D12" s="107"/>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row>
    <row r="13" spans="1:37" x14ac:dyDescent="0.25">
      <c r="A13" s="83"/>
      <c r="B13" s="107"/>
      <c r="C13" s="107"/>
      <c r="D13" s="107"/>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row>
    <row r="14" spans="1:37" x14ac:dyDescent="0.25">
      <c r="A14" s="83"/>
      <c r="B14" s="107"/>
      <c r="C14" s="107"/>
      <c r="D14" s="107"/>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row>
    <row r="15" spans="1:37" x14ac:dyDescent="0.25">
      <c r="A15" s="83"/>
      <c r="B15" s="107"/>
      <c r="C15" s="107"/>
      <c r="D15" s="107"/>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spans="1:37" x14ac:dyDescent="0.25">
      <c r="A16" s="83"/>
      <c r="B16" s="107"/>
      <c r="C16" s="107"/>
      <c r="D16" s="107"/>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row>
    <row r="17" spans="1:37" x14ac:dyDescent="0.25">
      <c r="A17" s="83"/>
      <c r="B17" s="107"/>
      <c r="C17" s="107"/>
      <c r="D17" s="107"/>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pans="1:37" x14ac:dyDescent="0.25">
      <c r="A18" s="83"/>
      <c r="B18" s="107"/>
      <c r="C18" s="107"/>
      <c r="D18" s="107"/>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spans="1:37" x14ac:dyDescent="0.25">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row>
    <row r="20" spans="1:37" x14ac:dyDescent="0.25">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pans="1:37" x14ac:dyDescent="0.25">
      <c r="A21" s="83"/>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spans="1:37" x14ac:dyDescent="0.25">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row>
    <row r="23" spans="1:37" x14ac:dyDescent="0.25">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pans="1:37" x14ac:dyDescent="0.25">
      <c r="A24" s="83"/>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spans="1:37" x14ac:dyDescent="0.25">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row>
    <row r="26" spans="1:37" x14ac:dyDescent="0.25">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row>
    <row r="27" spans="1:37" x14ac:dyDescent="0.25">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row>
    <row r="28" spans="1:37" x14ac:dyDescent="0.25">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pans="1:37" x14ac:dyDescent="0.25">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spans="1:37" x14ac:dyDescent="0.25">
      <c r="A30" s="83"/>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row>
    <row r="31" spans="1:37"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row>
    <row r="32" spans="1:37" x14ac:dyDescent="0.25">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row>
    <row r="33" spans="1:31" x14ac:dyDescent="0.25">
      <c r="A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row>
    <row r="34" spans="1:31" x14ac:dyDescent="0.25">
      <c r="A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row>
    <row r="35" spans="1:31" x14ac:dyDescent="0.25">
      <c r="A35" s="83"/>
    </row>
    <row r="36" spans="1:31" x14ac:dyDescent="0.25">
      <c r="A36" s="83"/>
    </row>
    <row r="37" spans="1:31" x14ac:dyDescent="0.25">
      <c r="A37" s="83"/>
    </row>
    <row r="38" spans="1:31" x14ac:dyDescent="0.25">
      <c r="A38" s="83"/>
    </row>
    <row r="39" spans="1:31" x14ac:dyDescent="0.25">
      <c r="A39" s="83"/>
    </row>
    <row r="40" spans="1:31" x14ac:dyDescent="0.25">
      <c r="A40" s="83"/>
    </row>
    <row r="41" spans="1:31" x14ac:dyDescent="0.25">
      <c r="A41" s="83"/>
    </row>
    <row r="42" spans="1:31" x14ac:dyDescent="0.25">
      <c r="A42" s="83"/>
    </row>
    <row r="43" spans="1:31" x14ac:dyDescent="0.25">
      <c r="A43" s="83"/>
    </row>
    <row r="44" spans="1:31" x14ac:dyDescent="0.25">
      <c r="A44" s="83"/>
    </row>
    <row r="45" spans="1:31" x14ac:dyDescent="0.25">
      <c r="A45" s="83"/>
    </row>
    <row r="46" spans="1:31" x14ac:dyDescent="0.25">
      <c r="A46" s="83"/>
    </row>
    <row r="47" spans="1:31" x14ac:dyDescent="0.25">
      <c r="A47" s="83"/>
    </row>
    <row r="48" spans="1:31" x14ac:dyDescent="0.25">
      <c r="A48" s="83"/>
    </row>
    <row r="49" spans="1:1" x14ac:dyDescent="0.25">
      <c r="A49" s="83"/>
    </row>
    <row r="50" spans="1:1" x14ac:dyDescent="0.25">
      <c r="A50" s="83"/>
    </row>
    <row r="51" spans="1:1" x14ac:dyDescent="0.25">
      <c r="A51" s="83"/>
    </row>
    <row r="52" spans="1:1" x14ac:dyDescent="0.25">
      <c r="A52" s="83"/>
    </row>
    <row r="53" spans="1:1" x14ac:dyDescent="0.25">
      <c r="A53" s="83"/>
    </row>
    <row r="54" spans="1:1" x14ac:dyDescent="0.25">
      <c r="A54" s="83"/>
    </row>
    <row r="55" spans="1:1" x14ac:dyDescent="0.25">
      <c r="A55" s="83"/>
    </row>
  </sheetData>
  <mergeCells count="1">
    <mergeCell ref="B1:D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249977111117893"/>
  </sheetPr>
  <dimension ref="A1:U232"/>
  <sheetViews>
    <sheetView zoomScale="48" zoomScaleNormal="48" workbookViewId="0">
      <selection activeCell="D5" sqref="D5"/>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83"/>
      <c r="B1" s="953" t="s">
        <v>63</v>
      </c>
      <c r="C1" s="953"/>
      <c r="D1" s="953"/>
      <c r="E1" s="83"/>
      <c r="F1" s="83"/>
      <c r="G1" s="83"/>
      <c r="H1" s="83"/>
      <c r="I1" s="83"/>
      <c r="J1" s="83"/>
      <c r="K1" s="83"/>
      <c r="L1" s="83"/>
      <c r="M1" s="83"/>
      <c r="N1" s="83"/>
      <c r="O1" s="83"/>
      <c r="P1" s="83"/>
      <c r="Q1" s="83"/>
      <c r="R1" s="83"/>
      <c r="S1" s="83"/>
      <c r="T1" s="83"/>
      <c r="U1" s="83"/>
    </row>
    <row r="2" spans="1:21" x14ac:dyDescent="0.25">
      <c r="A2" s="83"/>
      <c r="B2" s="83"/>
      <c r="C2" s="83"/>
      <c r="D2" s="83"/>
      <c r="E2" s="83"/>
      <c r="F2" s="83"/>
      <c r="G2" s="83"/>
      <c r="H2" s="83"/>
      <c r="I2" s="83"/>
      <c r="J2" s="83"/>
      <c r="K2" s="83"/>
      <c r="L2" s="83"/>
      <c r="M2" s="83"/>
      <c r="N2" s="83"/>
      <c r="O2" s="83"/>
      <c r="P2" s="83"/>
      <c r="Q2" s="83"/>
      <c r="R2" s="83"/>
      <c r="S2" s="83"/>
      <c r="T2" s="83"/>
      <c r="U2" s="83"/>
    </row>
    <row r="3" spans="1:21" ht="30" x14ac:dyDescent="0.25">
      <c r="A3" s="83"/>
      <c r="B3" s="104"/>
      <c r="C3" s="36" t="s">
        <v>56</v>
      </c>
      <c r="D3" s="36" t="s">
        <v>57</v>
      </c>
      <c r="E3" s="83"/>
      <c r="F3" s="83"/>
      <c r="G3" s="83"/>
      <c r="H3" s="83"/>
      <c r="I3" s="83"/>
      <c r="J3" s="83"/>
      <c r="K3" s="83"/>
      <c r="L3" s="83"/>
      <c r="M3" s="83"/>
      <c r="N3" s="83"/>
      <c r="O3" s="83"/>
      <c r="P3" s="83"/>
      <c r="Q3" s="83"/>
      <c r="R3" s="83"/>
      <c r="S3" s="83"/>
      <c r="T3" s="83"/>
      <c r="U3" s="83"/>
    </row>
    <row r="4" spans="1:21" ht="52.5" customHeight="1" x14ac:dyDescent="0.25">
      <c r="A4" s="103" t="s">
        <v>83</v>
      </c>
      <c r="B4" s="39" t="s">
        <v>101</v>
      </c>
      <c r="C4" s="44" t="s">
        <v>158</v>
      </c>
      <c r="D4" s="37" t="s">
        <v>97</v>
      </c>
      <c r="E4" s="83"/>
      <c r="F4" s="83"/>
      <c r="G4" s="83"/>
      <c r="H4" s="83"/>
      <c r="I4" s="83"/>
      <c r="J4" s="83"/>
      <c r="K4" s="83"/>
      <c r="L4" s="83"/>
      <c r="M4" s="83"/>
      <c r="N4" s="83"/>
      <c r="O4" s="83"/>
      <c r="P4" s="83"/>
      <c r="Q4" s="83"/>
      <c r="R4" s="83"/>
      <c r="S4" s="83"/>
      <c r="T4" s="83"/>
      <c r="U4" s="83"/>
    </row>
    <row r="5" spans="1:21" ht="111.75" customHeight="1" x14ac:dyDescent="0.25">
      <c r="A5" s="103" t="s">
        <v>84</v>
      </c>
      <c r="B5" s="40" t="s">
        <v>59</v>
      </c>
      <c r="C5" s="45" t="s">
        <v>93</v>
      </c>
      <c r="D5" s="38" t="s">
        <v>554</v>
      </c>
      <c r="E5" s="83"/>
      <c r="F5" s="83"/>
      <c r="G5" s="83"/>
      <c r="H5" s="83"/>
      <c r="I5" s="83"/>
      <c r="J5" s="83"/>
      <c r="K5" s="83"/>
      <c r="L5" s="83"/>
      <c r="M5" s="83"/>
      <c r="N5" s="83"/>
      <c r="O5" s="83"/>
      <c r="P5" s="83"/>
      <c r="Q5" s="83"/>
      <c r="R5" s="83"/>
      <c r="S5" s="83"/>
      <c r="T5" s="83"/>
      <c r="U5" s="83"/>
    </row>
    <row r="6" spans="1:21" ht="67.5" x14ac:dyDescent="0.25">
      <c r="A6" s="103" t="s">
        <v>81</v>
      </c>
      <c r="B6" s="41" t="s">
        <v>60</v>
      </c>
      <c r="C6" s="45" t="s">
        <v>94</v>
      </c>
      <c r="D6" s="38" t="s">
        <v>100</v>
      </c>
      <c r="E6" s="83"/>
      <c r="F6" s="83"/>
      <c r="G6" s="83"/>
      <c r="H6" s="83"/>
      <c r="I6" s="83"/>
      <c r="J6" s="83"/>
      <c r="K6" s="83"/>
      <c r="L6" s="83"/>
      <c r="M6" s="83"/>
      <c r="N6" s="83"/>
      <c r="O6" s="83"/>
      <c r="P6" s="83"/>
      <c r="Q6" s="83"/>
      <c r="R6" s="83"/>
      <c r="S6" s="83"/>
      <c r="T6" s="83"/>
      <c r="U6" s="83"/>
    </row>
    <row r="7" spans="1:21" ht="101.25" x14ac:dyDescent="0.25">
      <c r="A7" s="103" t="s">
        <v>7</v>
      </c>
      <c r="B7" s="42" t="s">
        <v>61</v>
      </c>
      <c r="C7" s="45" t="s">
        <v>95</v>
      </c>
      <c r="D7" s="38" t="s">
        <v>99</v>
      </c>
      <c r="E7" s="83"/>
      <c r="F7" s="83"/>
      <c r="G7" s="83"/>
      <c r="H7" s="83"/>
      <c r="I7" s="83"/>
      <c r="J7" s="83"/>
      <c r="K7" s="83"/>
      <c r="L7" s="83"/>
      <c r="M7" s="83"/>
      <c r="N7" s="83"/>
      <c r="O7" s="83"/>
      <c r="P7" s="83"/>
      <c r="Q7" s="83"/>
      <c r="R7" s="83"/>
      <c r="S7" s="83"/>
      <c r="T7" s="83"/>
      <c r="U7" s="83"/>
    </row>
    <row r="8" spans="1:21" ht="67.5" x14ac:dyDescent="0.25">
      <c r="A8" s="103" t="s">
        <v>85</v>
      </c>
      <c r="B8" s="43" t="s">
        <v>62</v>
      </c>
      <c r="C8" s="45" t="s">
        <v>96</v>
      </c>
      <c r="D8" s="38" t="s">
        <v>118</v>
      </c>
      <c r="E8" s="83"/>
      <c r="F8" s="83"/>
      <c r="G8" s="83"/>
      <c r="H8" s="83"/>
      <c r="I8" s="83"/>
      <c r="J8" s="83"/>
      <c r="K8" s="83"/>
      <c r="L8" s="83"/>
      <c r="M8" s="83"/>
      <c r="N8" s="83"/>
      <c r="O8" s="83"/>
      <c r="P8" s="83"/>
      <c r="Q8" s="83"/>
      <c r="R8" s="83"/>
      <c r="S8" s="83"/>
      <c r="T8" s="83"/>
      <c r="U8" s="83"/>
    </row>
    <row r="9" spans="1:21" ht="20.25" x14ac:dyDescent="0.25">
      <c r="A9" s="103"/>
      <c r="B9" s="103"/>
      <c r="C9" s="105"/>
      <c r="D9" s="105"/>
      <c r="E9" s="83"/>
      <c r="F9" s="83"/>
      <c r="G9" s="83"/>
      <c r="H9" s="83"/>
      <c r="I9" s="83"/>
      <c r="J9" s="83"/>
      <c r="K9" s="83"/>
      <c r="L9" s="83"/>
      <c r="M9" s="83"/>
      <c r="N9" s="83"/>
      <c r="O9" s="83"/>
      <c r="P9" s="83"/>
      <c r="Q9" s="83"/>
      <c r="R9" s="83"/>
      <c r="S9" s="83"/>
      <c r="T9" s="83"/>
      <c r="U9" s="83"/>
    </row>
    <row r="10" spans="1:21" ht="16.5" x14ac:dyDescent="0.25">
      <c r="A10" s="103"/>
      <c r="B10" s="106"/>
      <c r="C10" s="106"/>
      <c r="D10" s="106"/>
      <c r="E10" s="83"/>
      <c r="F10" s="83"/>
      <c r="G10" s="83"/>
      <c r="H10" s="83"/>
      <c r="I10" s="83"/>
      <c r="J10" s="83"/>
      <c r="K10" s="83"/>
      <c r="L10" s="83"/>
      <c r="M10" s="83"/>
      <c r="N10" s="83"/>
      <c r="O10" s="83"/>
      <c r="P10" s="83"/>
      <c r="Q10" s="83"/>
      <c r="R10" s="83"/>
      <c r="S10" s="83"/>
      <c r="T10" s="83"/>
      <c r="U10" s="83"/>
    </row>
    <row r="11" spans="1:21" x14ac:dyDescent="0.25">
      <c r="A11" s="103"/>
      <c r="B11" s="103" t="s">
        <v>91</v>
      </c>
      <c r="C11" s="103" t="s">
        <v>146</v>
      </c>
      <c r="D11" s="103" t="s">
        <v>153</v>
      </c>
      <c r="E11" s="83"/>
      <c r="F11" s="83"/>
      <c r="G11" s="83"/>
      <c r="H11" s="83"/>
      <c r="I11" s="83"/>
      <c r="J11" s="83"/>
      <c r="K11" s="83"/>
      <c r="L11" s="83"/>
      <c r="M11" s="83"/>
      <c r="N11" s="83"/>
      <c r="O11" s="83"/>
      <c r="P11" s="83"/>
      <c r="Q11" s="83"/>
      <c r="R11" s="83"/>
      <c r="S11" s="83"/>
      <c r="T11" s="83"/>
      <c r="U11" s="83"/>
    </row>
    <row r="12" spans="1:21" x14ac:dyDescent="0.25">
      <c r="A12" s="103"/>
      <c r="B12" s="103" t="s">
        <v>89</v>
      </c>
      <c r="C12" s="103" t="s">
        <v>150</v>
      </c>
      <c r="D12" s="103" t="s">
        <v>154</v>
      </c>
      <c r="E12" s="83"/>
      <c r="F12" s="83"/>
      <c r="G12" s="83"/>
      <c r="H12" s="83"/>
      <c r="I12" s="83"/>
      <c r="J12" s="83"/>
      <c r="K12" s="83"/>
      <c r="L12" s="83"/>
      <c r="M12" s="83"/>
      <c r="N12" s="83"/>
      <c r="O12" s="83"/>
      <c r="P12" s="83"/>
      <c r="Q12" s="83"/>
      <c r="R12" s="83"/>
      <c r="S12" s="83"/>
      <c r="T12" s="83"/>
      <c r="U12" s="83"/>
    </row>
    <row r="13" spans="1:21" x14ac:dyDescent="0.25">
      <c r="A13" s="103"/>
      <c r="B13" s="103"/>
      <c r="C13" s="103" t="s">
        <v>149</v>
      </c>
      <c r="D13" s="103" t="s">
        <v>155</v>
      </c>
      <c r="E13" s="83"/>
      <c r="F13" s="83"/>
      <c r="G13" s="83"/>
      <c r="H13" s="83"/>
      <c r="I13" s="83"/>
      <c r="J13" s="83"/>
      <c r="K13" s="83"/>
      <c r="L13" s="83"/>
      <c r="M13" s="83"/>
      <c r="N13" s="83"/>
      <c r="O13" s="83"/>
      <c r="P13" s="83"/>
      <c r="Q13" s="83"/>
      <c r="R13" s="83"/>
      <c r="S13" s="83"/>
      <c r="T13" s="83"/>
      <c r="U13" s="83"/>
    </row>
    <row r="14" spans="1:21" x14ac:dyDescent="0.25">
      <c r="A14" s="103"/>
      <c r="B14" s="103"/>
      <c r="C14" s="103" t="s">
        <v>151</v>
      </c>
      <c r="D14" s="103" t="s">
        <v>156</v>
      </c>
      <c r="E14" s="83"/>
      <c r="F14" s="83"/>
      <c r="G14" s="83"/>
      <c r="H14" s="83"/>
      <c r="I14" s="83"/>
      <c r="J14" s="83"/>
      <c r="K14" s="83"/>
      <c r="L14" s="83"/>
      <c r="M14" s="83"/>
      <c r="N14" s="83"/>
      <c r="O14" s="83"/>
      <c r="P14" s="83"/>
      <c r="Q14" s="83"/>
      <c r="R14" s="83"/>
      <c r="S14" s="83"/>
      <c r="T14" s="83"/>
      <c r="U14" s="83"/>
    </row>
    <row r="15" spans="1:21" x14ac:dyDescent="0.25">
      <c r="A15" s="103"/>
      <c r="B15" s="103"/>
      <c r="C15" s="103" t="s">
        <v>152</v>
      </c>
      <c r="D15" s="103" t="s">
        <v>157</v>
      </c>
      <c r="E15" s="83"/>
      <c r="F15" s="83"/>
      <c r="G15" s="83"/>
      <c r="H15" s="83"/>
      <c r="I15" s="83"/>
      <c r="J15" s="83"/>
      <c r="K15" s="83"/>
      <c r="L15" s="83"/>
      <c r="M15" s="83"/>
      <c r="N15" s="83"/>
      <c r="O15" s="83"/>
      <c r="P15" s="83"/>
      <c r="Q15" s="83"/>
      <c r="R15" s="83"/>
      <c r="S15" s="83"/>
      <c r="T15" s="83"/>
      <c r="U15" s="83"/>
    </row>
    <row r="16" spans="1:21" x14ac:dyDescent="0.25">
      <c r="A16" s="103"/>
      <c r="B16" s="103"/>
      <c r="C16" s="103"/>
      <c r="D16" s="103"/>
      <c r="E16" s="83"/>
      <c r="F16" s="83"/>
      <c r="G16" s="83"/>
      <c r="H16" s="83"/>
      <c r="I16" s="83"/>
      <c r="J16" s="83"/>
      <c r="K16" s="83"/>
      <c r="L16" s="83"/>
      <c r="M16" s="83"/>
      <c r="N16" s="83"/>
      <c r="O16" s="83"/>
    </row>
    <row r="17" spans="1:15" x14ac:dyDescent="0.25">
      <c r="A17" s="103"/>
      <c r="B17" s="103"/>
      <c r="C17" s="103"/>
      <c r="D17" s="103"/>
      <c r="E17" s="83"/>
      <c r="F17" s="83"/>
      <c r="G17" s="83"/>
      <c r="H17" s="83"/>
      <c r="I17" s="83"/>
      <c r="J17" s="83"/>
      <c r="K17" s="83"/>
      <c r="L17" s="83"/>
      <c r="M17" s="83"/>
      <c r="N17" s="83"/>
      <c r="O17" s="83"/>
    </row>
    <row r="18" spans="1:15" x14ac:dyDescent="0.25">
      <c r="A18" s="103"/>
      <c r="B18" s="107"/>
      <c r="C18" s="107"/>
      <c r="D18" s="107"/>
      <c r="E18" s="83"/>
      <c r="F18" s="83"/>
      <c r="G18" s="83"/>
      <c r="H18" s="83"/>
      <c r="I18" s="83"/>
      <c r="J18" s="83"/>
      <c r="K18" s="83"/>
      <c r="L18" s="83"/>
      <c r="M18" s="83"/>
      <c r="N18" s="83"/>
      <c r="O18" s="83"/>
    </row>
    <row r="19" spans="1:15" x14ac:dyDescent="0.25">
      <c r="A19" s="103"/>
      <c r="B19" s="107"/>
      <c r="C19" s="107"/>
      <c r="D19" s="107"/>
      <c r="E19" s="83"/>
      <c r="F19" s="83"/>
      <c r="G19" s="83"/>
      <c r="H19" s="83"/>
      <c r="I19" s="83"/>
      <c r="J19" s="83"/>
      <c r="K19" s="83"/>
      <c r="L19" s="83"/>
      <c r="M19" s="83"/>
      <c r="N19" s="83"/>
      <c r="O19" s="83"/>
    </row>
    <row r="20" spans="1:15" x14ac:dyDescent="0.25">
      <c r="A20" s="103"/>
      <c r="B20" s="107"/>
      <c r="C20" s="107"/>
      <c r="D20" s="107"/>
      <c r="E20" s="83"/>
      <c r="F20" s="83"/>
      <c r="G20" s="83"/>
      <c r="H20" s="83"/>
      <c r="I20" s="83"/>
      <c r="J20" s="83"/>
      <c r="K20" s="83"/>
      <c r="L20" s="83"/>
      <c r="M20" s="83"/>
      <c r="N20" s="83"/>
      <c r="O20" s="83"/>
    </row>
    <row r="21" spans="1:15" x14ac:dyDescent="0.25">
      <c r="A21" s="103"/>
      <c r="B21" s="107"/>
      <c r="C21" s="107"/>
      <c r="D21" s="107"/>
      <c r="E21" s="83"/>
      <c r="F21" s="83"/>
      <c r="G21" s="83"/>
      <c r="H21" s="83"/>
      <c r="I21" s="83"/>
      <c r="J21" s="83"/>
      <c r="K21" s="83"/>
      <c r="L21" s="83"/>
      <c r="M21" s="83"/>
      <c r="N21" s="83"/>
      <c r="O21" s="83"/>
    </row>
    <row r="22" spans="1:15" ht="20.25" x14ac:dyDescent="0.25">
      <c r="A22" s="103"/>
      <c r="B22" s="103"/>
      <c r="C22" s="105"/>
      <c r="D22" s="105"/>
      <c r="E22" s="83"/>
      <c r="F22" s="83"/>
      <c r="G22" s="83"/>
      <c r="H22" s="83"/>
      <c r="I22" s="83"/>
      <c r="J22" s="83"/>
      <c r="K22" s="83"/>
      <c r="L22" s="83"/>
      <c r="M22" s="83"/>
      <c r="N22" s="83"/>
      <c r="O22" s="83"/>
    </row>
    <row r="23" spans="1:15" ht="20.25" x14ac:dyDescent="0.25">
      <c r="A23" s="103"/>
      <c r="B23" s="103"/>
      <c r="C23" s="105"/>
      <c r="D23" s="105"/>
      <c r="E23" s="83"/>
      <c r="F23" s="83"/>
      <c r="G23" s="83"/>
      <c r="H23" s="83"/>
      <c r="I23" s="83"/>
      <c r="J23" s="83"/>
      <c r="K23" s="83"/>
      <c r="L23" s="83"/>
      <c r="M23" s="83"/>
      <c r="N23" s="83"/>
      <c r="O23" s="83"/>
    </row>
    <row r="24" spans="1:15" ht="20.25" x14ac:dyDescent="0.25">
      <c r="A24" s="103"/>
      <c r="B24" s="103"/>
      <c r="C24" s="105"/>
      <c r="D24" s="105"/>
      <c r="E24" s="83"/>
      <c r="F24" s="83"/>
      <c r="G24" s="83"/>
      <c r="H24" s="83"/>
      <c r="I24" s="83"/>
      <c r="J24" s="83"/>
      <c r="K24" s="83"/>
      <c r="L24" s="83"/>
      <c r="M24" s="83"/>
      <c r="N24" s="83"/>
      <c r="O24" s="83"/>
    </row>
    <row r="25" spans="1:15" ht="20.25" x14ac:dyDescent="0.25">
      <c r="A25" s="103"/>
      <c r="B25" s="103"/>
      <c r="C25" s="105"/>
      <c r="D25" s="105"/>
      <c r="E25" s="83"/>
      <c r="F25" s="83"/>
      <c r="G25" s="83"/>
      <c r="H25" s="83"/>
      <c r="I25" s="83"/>
      <c r="J25" s="83"/>
      <c r="K25" s="83"/>
      <c r="L25" s="83"/>
      <c r="M25" s="83"/>
      <c r="N25" s="83"/>
      <c r="O25" s="83"/>
    </row>
    <row r="26" spans="1:15" ht="20.25" x14ac:dyDescent="0.25">
      <c r="A26" s="103"/>
      <c r="B26" s="103"/>
      <c r="C26" s="105"/>
      <c r="D26" s="105"/>
      <c r="E26" s="83"/>
      <c r="F26" s="83"/>
      <c r="G26" s="83"/>
      <c r="H26" s="83"/>
      <c r="I26" s="83"/>
      <c r="J26" s="83"/>
      <c r="K26" s="83"/>
      <c r="L26" s="83"/>
      <c r="M26" s="83"/>
      <c r="N26" s="83"/>
      <c r="O26" s="83"/>
    </row>
    <row r="27" spans="1:15" ht="20.25" x14ac:dyDescent="0.25">
      <c r="A27" s="103"/>
      <c r="B27" s="103"/>
      <c r="C27" s="105"/>
      <c r="D27" s="105"/>
      <c r="E27" s="83"/>
      <c r="F27" s="83"/>
      <c r="G27" s="83"/>
      <c r="H27" s="83"/>
      <c r="I27" s="83"/>
      <c r="J27" s="83"/>
      <c r="K27" s="83"/>
      <c r="L27" s="83"/>
      <c r="M27" s="83"/>
      <c r="N27" s="83"/>
      <c r="O27" s="83"/>
    </row>
    <row r="28" spans="1:15" ht="20.25" x14ac:dyDescent="0.25">
      <c r="A28" s="103"/>
      <c r="B28" s="103"/>
      <c r="C28" s="105"/>
      <c r="D28" s="105"/>
      <c r="E28" s="83"/>
      <c r="F28" s="83"/>
      <c r="G28" s="83"/>
      <c r="H28" s="83"/>
      <c r="I28" s="83"/>
      <c r="J28" s="83"/>
      <c r="K28" s="83"/>
      <c r="L28" s="83"/>
      <c r="M28" s="83"/>
      <c r="N28" s="83"/>
      <c r="O28" s="83"/>
    </row>
    <row r="29" spans="1:15" ht="20.25" x14ac:dyDescent="0.25">
      <c r="A29" s="103"/>
      <c r="B29" s="103"/>
      <c r="C29" s="105"/>
      <c r="D29" s="105"/>
      <c r="E29" s="83"/>
      <c r="F29" s="83"/>
      <c r="G29" s="83"/>
      <c r="H29" s="83"/>
      <c r="I29" s="83"/>
      <c r="J29" s="83"/>
      <c r="K29" s="83"/>
      <c r="L29" s="83"/>
      <c r="M29" s="83"/>
      <c r="N29" s="83"/>
      <c r="O29" s="83"/>
    </row>
    <row r="30" spans="1:15" ht="20.25" x14ac:dyDescent="0.25">
      <c r="A30" s="103"/>
      <c r="B30" s="103"/>
      <c r="C30" s="105"/>
      <c r="D30" s="105"/>
      <c r="E30" s="83"/>
      <c r="F30" s="83"/>
      <c r="G30" s="83"/>
      <c r="H30" s="83"/>
      <c r="I30" s="83"/>
      <c r="J30" s="83"/>
      <c r="K30" s="83"/>
      <c r="L30" s="83"/>
      <c r="M30" s="83"/>
      <c r="N30" s="83"/>
      <c r="O30" s="83"/>
    </row>
    <row r="31" spans="1:15" ht="20.25" x14ac:dyDescent="0.25">
      <c r="A31" s="103"/>
      <c r="B31" s="103"/>
      <c r="C31" s="105"/>
      <c r="D31" s="105"/>
      <c r="E31" s="83"/>
      <c r="F31" s="83"/>
      <c r="G31" s="83"/>
      <c r="H31" s="83"/>
      <c r="I31" s="83"/>
      <c r="J31" s="83"/>
      <c r="K31" s="83"/>
      <c r="L31" s="83"/>
      <c r="M31" s="83"/>
      <c r="N31" s="83"/>
      <c r="O31" s="83"/>
    </row>
    <row r="32" spans="1:15" ht="20.25" x14ac:dyDescent="0.25">
      <c r="A32" s="103"/>
      <c r="B32" s="103"/>
      <c r="C32" s="105"/>
      <c r="D32" s="105"/>
      <c r="E32" s="83"/>
      <c r="F32" s="83"/>
      <c r="G32" s="83"/>
      <c r="H32" s="83"/>
      <c r="I32" s="83"/>
      <c r="J32" s="83"/>
      <c r="K32" s="83"/>
      <c r="L32" s="83"/>
      <c r="M32" s="83"/>
      <c r="N32" s="83"/>
      <c r="O32" s="83"/>
    </row>
    <row r="33" spans="1:15" ht="20.25" x14ac:dyDescent="0.25">
      <c r="A33" s="103"/>
      <c r="B33" s="103"/>
      <c r="C33" s="105"/>
      <c r="D33" s="105"/>
      <c r="E33" s="83"/>
      <c r="F33" s="83"/>
      <c r="G33" s="83"/>
      <c r="H33" s="83"/>
      <c r="I33" s="83"/>
      <c r="J33" s="83"/>
      <c r="K33" s="83"/>
      <c r="L33" s="83"/>
      <c r="M33" s="83"/>
      <c r="N33" s="83"/>
      <c r="O33" s="83"/>
    </row>
    <row r="34" spans="1:15" ht="20.25" x14ac:dyDescent="0.25">
      <c r="A34" s="103"/>
      <c r="B34" s="103"/>
      <c r="C34" s="105"/>
      <c r="D34" s="105"/>
      <c r="E34" s="83"/>
      <c r="F34" s="83"/>
      <c r="G34" s="83"/>
      <c r="H34" s="83"/>
      <c r="I34" s="83"/>
      <c r="J34" s="83"/>
      <c r="K34" s="83"/>
      <c r="L34" s="83"/>
      <c r="M34" s="83"/>
      <c r="N34" s="83"/>
      <c r="O34" s="83"/>
    </row>
    <row r="35" spans="1:15" ht="20.25" x14ac:dyDescent="0.25">
      <c r="A35" s="103"/>
      <c r="B35" s="103"/>
      <c r="C35" s="105"/>
      <c r="D35" s="105"/>
      <c r="E35" s="83"/>
      <c r="F35" s="83"/>
      <c r="G35" s="83"/>
      <c r="H35" s="83"/>
      <c r="I35" s="83"/>
      <c r="J35" s="83"/>
      <c r="K35" s="83"/>
      <c r="L35" s="83"/>
      <c r="M35" s="83"/>
      <c r="N35" s="83"/>
      <c r="O35" s="83"/>
    </row>
    <row r="36" spans="1:15" ht="20.25" x14ac:dyDescent="0.25">
      <c r="A36" s="103"/>
      <c r="B36" s="103"/>
      <c r="C36" s="105"/>
      <c r="D36" s="105"/>
      <c r="E36" s="83"/>
      <c r="F36" s="83"/>
      <c r="G36" s="83"/>
      <c r="H36" s="83"/>
      <c r="I36" s="83"/>
      <c r="J36" s="83"/>
      <c r="K36" s="83"/>
      <c r="L36" s="83"/>
      <c r="M36" s="83"/>
      <c r="N36" s="83"/>
      <c r="O36" s="83"/>
    </row>
    <row r="37" spans="1:15" ht="20.25" x14ac:dyDescent="0.25">
      <c r="A37" s="103"/>
      <c r="B37" s="103"/>
      <c r="C37" s="105"/>
      <c r="D37" s="105"/>
      <c r="E37" s="83"/>
      <c r="F37" s="83"/>
      <c r="G37" s="83"/>
      <c r="H37" s="83"/>
      <c r="I37" s="83"/>
      <c r="J37" s="83"/>
      <c r="K37" s="83"/>
      <c r="L37" s="83"/>
      <c r="M37" s="83"/>
      <c r="N37" s="83"/>
      <c r="O37" s="83"/>
    </row>
    <row r="38" spans="1:15" ht="20.25" x14ac:dyDescent="0.25">
      <c r="A38" s="103"/>
      <c r="B38" s="103"/>
      <c r="C38" s="105"/>
      <c r="D38" s="105"/>
      <c r="E38" s="83"/>
      <c r="F38" s="83"/>
      <c r="G38" s="83"/>
      <c r="H38" s="83"/>
      <c r="I38" s="83"/>
      <c r="J38" s="83"/>
      <c r="K38" s="83"/>
      <c r="L38" s="83"/>
      <c r="M38" s="83"/>
      <c r="N38" s="83"/>
      <c r="O38" s="83"/>
    </row>
    <row r="39" spans="1:15" ht="20.25" x14ac:dyDescent="0.25">
      <c r="A39" s="103"/>
      <c r="B39" s="103"/>
      <c r="C39" s="105"/>
      <c r="D39" s="105"/>
      <c r="E39" s="83"/>
      <c r="F39" s="83"/>
      <c r="G39" s="83"/>
      <c r="H39" s="83"/>
      <c r="I39" s="83"/>
      <c r="J39" s="83"/>
      <c r="K39" s="83"/>
      <c r="L39" s="83"/>
      <c r="M39" s="83"/>
      <c r="N39" s="83"/>
      <c r="O39" s="83"/>
    </row>
    <row r="40" spans="1:15" ht="20.25" x14ac:dyDescent="0.25">
      <c r="A40" s="103"/>
      <c r="B40" s="103"/>
      <c r="C40" s="105"/>
      <c r="D40" s="105"/>
      <c r="E40" s="83"/>
      <c r="F40" s="83"/>
      <c r="G40" s="83"/>
      <c r="H40" s="83"/>
      <c r="I40" s="83"/>
      <c r="J40" s="83"/>
      <c r="K40" s="83"/>
      <c r="L40" s="83"/>
      <c r="M40" s="83"/>
      <c r="N40" s="83"/>
      <c r="O40" s="83"/>
    </row>
    <row r="41" spans="1:15" ht="20.25" x14ac:dyDescent="0.25">
      <c r="A41" s="103"/>
      <c r="B41" s="103"/>
      <c r="C41" s="105"/>
      <c r="D41" s="105"/>
      <c r="E41" s="83"/>
      <c r="F41" s="83"/>
      <c r="G41" s="83"/>
      <c r="H41" s="83"/>
      <c r="I41" s="83"/>
      <c r="J41" s="83"/>
      <c r="K41" s="83"/>
      <c r="L41" s="83"/>
      <c r="M41" s="83"/>
      <c r="N41" s="83"/>
      <c r="O41" s="83"/>
    </row>
    <row r="42" spans="1:15" ht="20.25" x14ac:dyDescent="0.25">
      <c r="A42" s="103"/>
      <c r="B42" s="103"/>
      <c r="C42" s="105"/>
      <c r="D42" s="105"/>
      <c r="E42" s="83"/>
      <c r="F42" s="83"/>
      <c r="G42" s="83"/>
      <c r="H42" s="83"/>
      <c r="I42" s="83"/>
      <c r="J42" s="83"/>
      <c r="K42" s="83"/>
      <c r="L42" s="83"/>
      <c r="M42" s="83"/>
      <c r="N42" s="83"/>
      <c r="O42" s="83"/>
    </row>
    <row r="43" spans="1:15" ht="20.25" x14ac:dyDescent="0.25">
      <c r="A43" s="103"/>
      <c r="B43" s="103"/>
      <c r="C43" s="105"/>
      <c r="D43" s="105"/>
      <c r="E43" s="83"/>
      <c r="F43" s="83"/>
      <c r="G43" s="83"/>
      <c r="H43" s="83"/>
      <c r="I43" s="83"/>
      <c r="J43" s="83"/>
      <c r="K43" s="83"/>
      <c r="L43" s="83"/>
      <c r="M43" s="83"/>
      <c r="N43" s="83"/>
      <c r="O43" s="83"/>
    </row>
    <row r="44" spans="1:15" ht="20.25" x14ac:dyDescent="0.25">
      <c r="A44" s="103"/>
      <c r="B44" s="103"/>
      <c r="C44" s="105"/>
      <c r="D44" s="105"/>
      <c r="E44" s="83"/>
      <c r="F44" s="83"/>
      <c r="G44" s="83"/>
      <c r="H44" s="83"/>
      <c r="I44" s="83"/>
      <c r="J44" s="83"/>
      <c r="K44" s="83"/>
      <c r="L44" s="83"/>
      <c r="M44" s="83"/>
      <c r="N44" s="83"/>
      <c r="O44" s="83"/>
    </row>
    <row r="45" spans="1:15" ht="20.25" x14ac:dyDescent="0.25">
      <c r="A45" s="103"/>
      <c r="B45" s="103"/>
      <c r="C45" s="105"/>
      <c r="D45" s="105"/>
      <c r="E45" s="83"/>
      <c r="F45" s="83"/>
      <c r="G45" s="83"/>
      <c r="H45" s="83"/>
      <c r="I45" s="83"/>
      <c r="J45" s="83"/>
      <c r="K45" s="83"/>
      <c r="L45" s="83"/>
      <c r="M45" s="83"/>
      <c r="N45" s="83"/>
      <c r="O45" s="83"/>
    </row>
    <row r="46" spans="1:15" ht="20.25" x14ac:dyDescent="0.25">
      <c r="A46" s="103"/>
      <c r="B46" s="103"/>
      <c r="C46" s="105"/>
      <c r="D46" s="105"/>
      <c r="E46" s="83"/>
      <c r="F46" s="83"/>
      <c r="G46" s="83"/>
      <c r="H46" s="83"/>
      <c r="I46" s="83"/>
      <c r="J46" s="83"/>
      <c r="K46" s="83"/>
      <c r="L46" s="83"/>
      <c r="M46" s="83"/>
      <c r="N46" s="83"/>
      <c r="O46" s="83"/>
    </row>
    <row r="47" spans="1:15" ht="20.25" x14ac:dyDescent="0.25">
      <c r="A47" s="103"/>
      <c r="B47" s="103"/>
      <c r="C47" s="105"/>
      <c r="D47" s="105"/>
      <c r="E47" s="83"/>
      <c r="F47" s="83"/>
      <c r="G47" s="83"/>
      <c r="H47" s="83"/>
      <c r="I47" s="83"/>
      <c r="J47" s="83"/>
      <c r="K47" s="83"/>
      <c r="L47" s="83"/>
      <c r="M47" s="83"/>
      <c r="N47" s="83"/>
      <c r="O47" s="83"/>
    </row>
    <row r="48" spans="1:15" ht="20.25" x14ac:dyDescent="0.25">
      <c r="A48" s="103"/>
      <c r="B48" s="103"/>
      <c r="C48" s="105"/>
      <c r="D48" s="105"/>
      <c r="E48" s="83"/>
      <c r="F48" s="83"/>
      <c r="G48" s="83"/>
      <c r="H48" s="83"/>
      <c r="I48" s="83"/>
      <c r="J48" s="83"/>
      <c r="K48" s="83"/>
      <c r="L48" s="83"/>
      <c r="M48" s="83"/>
      <c r="N48" s="83"/>
      <c r="O48" s="83"/>
    </row>
    <row r="49" spans="1:15" ht="20.25" x14ac:dyDescent="0.25">
      <c r="A49" s="103"/>
      <c r="B49" s="103"/>
      <c r="C49" s="105"/>
      <c r="D49" s="105"/>
      <c r="E49" s="83"/>
      <c r="F49" s="83"/>
      <c r="G49" s="83"/>
      <c r="H49" s="83"/>
      <c r="I49" s="83"/>
      <c r="J49" s="83"/>
      <c r="K49" s="83"/>
      <c r="L49" s="83"/>
      <c r="M49" s="83"/>
      <c r="N49" s="83"/>
      <c r="O49" s="83"/>
    </row>
    <row r="50" spans="1:15" ht="20.25" x14ac:dyDescent="0.25">
      <c r="A50" s="103"/>
      <c r="B50" s="103"/>
      <c r="C50" s="105"/>
      <c r="D50" s="105"/>
      <c r="E50" s="83"/>
      <c r="F50" s="83"/>
      <c r="G50" s="83"/>
      <c r="H50" s="83"/>
      <c r="I50" s="83"/>
      <c r="J50" s="83"/>
      <c r="K50" s="83"/>
      <c r="L50" s="83"/>
      <c r="M50" s="83"/>
      <c r="N50" s="83"/>
      <c r="O50" s="83"/>
    </row>
    <row r="51" spans="1:15" ht="20.25" x14ac:dyDescent="0.25">
      <c r="A51" s="103"/>
      <c r="B51" s="103"/>
      <c r="C51" s="105"/>
      <c r="D51" s="105"/>
      <c r="E51" s="83"/>
      <c r="F51" s="83"/>
      <c r="G51" s="83"/>
      <c r="H51" s="83"/>
      <c r="I51" s="83"/>
      <c r="J51" s="83"/>
      <c r="K51" s="83"/>
      <c r="L51" s="83"/>
      <c r="M51" s="83"/>
      <c r="N51" s="83"/>
      <c r="O51" s="83"/>
    </row>
    <row r="52" spans="1:15" ht="20.25" x14ac:dyDescent="0.25">
      <c r="A52" s="103"/>
      <c r="B52" s="23"/>
      <c r="C52" s="34"/>
      <c r="D52" s="34"/>
    </row>
    <row r="53" spans="1:15" ht="20.25" x14ac:dyDescent="0.25">
      <c r="A53" s="103"/>
      <c r="B53" s="23"/>
      <c r="C53" s="34"/>
      <c r="D53" s="34"/>
    </row>
    <row r="54" spans="1:15" ht="20.25" x14ac:dyDescent="0.25">
      <c r="A54" s="103"/>
      <c r="B54" s="23"/>
      <c r="C54" s="34"/>
      <c r="D54" s="34"/>
    </row>
    <row r="55" spans="1:15" ht="20.25" x14ac:dyDescent="0.25">
      <c r="A55" s="103"/>
      <c r="B55" s="23"/>
      <c r="C55" s="34"/>
      <c r="D55" s="34"/>
    </row>
    <row r="56" spans="1:15" ht="20.25" x14ac:dyDescent="0.25">
      <c r="A56" s="103"/>
      <c r="B56" s="23"/>
      <c r="C56" s="34"/>
      <c r="D56" s="34"/>
    </row>
    <row r="57" spans="1:15" ht="20.25" x14ac:dyDescent="0.25">
      <c r="A57" s="103"/>
      <c r="B57" s="23"/>
      <c r="C57" s="34"/>
      <c r="D57" s="34"/>
    </row>
    <row r="58" spans="1:15" ht="20.25" x14ac:dyDescent="0.25">
      <c r="A58" s="103"/>
      <c r="B58" s="23"/>
      <c r="C58" s="34"/>
      <c r="D58" s="34"/>
    </row>
    <row r="59" spans="1:15" ht="20.25" x14ac:dyDescent="0.25">
      <c r="A59" s="103"/>
      <c r="B59" s="23"/>
      <c r="C59" s="34"/>
      <c r="D59" s="34"/>
    </row>
    <row r="60" spans="1:15" ht="20.25" x14ac:dyDescent="0.25">
      <c r="A60" s="103"/>
      <c r="B60" s="23"/>
      <c r="C60" s="34"/>
      <c r="D60" s="34"/>
    </row>
    <row r="61" spans="1:15" ht="20.25" x14ac:dyDescent="0.25">
      <c r="A61" s="103"/>
      <c r="B61" s="23"/>
      <c r="C61" s="34"/>
      <c r="D61" s="34"/>
    </row>
    <row r="62" spans="1:15" ht="20.25" x14ac:dyDescent="0.25">
      <c r="A62" s="103"/>
      <c r="B62" s="23"/>
      <c r="C62" s="34"/>
      <c r="D62" s="34"/>
    </row>
    <row r="63" spans="1:15" ht="20.25" x14ac:dyDescent="0.25">
      <c r="A63" s="103"/>
      <c r="B63" s="23"/>
      <c r="C63" s="34"/>
      <c r="D63" s="34"/>
    </row>
    <row r="64" spans="1:15" ht="20.25" x14ac:dyDescent="0.25">
      <c r="A64" s="103"/>
      <c r="B64" s="23"/>
      <c r="C64" s="34"/>
      <c r="D64" s="34"/>
    </row>
    <row r="65" spans="1:4" ht="20.25" x14ac:dyDescent="0.25">
      <c r="A65" s="103"/>
      <c r="B65" s="23"/>
      <c r="C65" s="34"/>
      <c r="D65" s="34"/>
    </row>
    <row r="66" spans="1:4" ht="20.25" x14ac:dyDescent="0.25">
      <c r="A66" s="103"/>
      <c r="B66" s="23"/>
      <c r="C66" s="34"/>
      <c r="D66" s="34"/>
    </row>
    <row r="67" spans="1:4" ht="20.25" x14ac:dyDescent="0.25">
      <c r="A67" s="103"/>
      <c r="B67" s="23"/>
      <c r="C67" s="34"/>
      <c r="D67" s="34"/>
    </row>
    <row r="68" spans="1:4" ht="20.25" x14ac:dyDescent="0.25">
      <c r="A68" s="103"/>
      <c r="B68" s="23"/>
      <c r="C68" s="34"/>
      <c r="D68" s="34"/>
    </row>
    <row r="69" spans="1:4" ht="20.25" x14ac:dyDescent="0.25">
      <c r="A69" s="103"/>
      <c r="B69" s="23"/>
      <c r="C69" s="34"/>
      <c r="D69" s="34"/>
    </row>
    <row r="70" spans="1:4" ht="20.25" x14ac:dyDescent="0.25">
      <c r="A70" s="103"/>
      <c r="B70" s="23"/>
      <c r="C70" s="34"/>
      <c r="D70" s="34"/>
    </row>
    <row r="71" spans="1:4" ht="20.25" x14ac:dyDescent="0.25">
      <c r="A71" s="103"/>
      <c r="B71" s="23"/>
      <c r="C71" s="34"/>
      <c r="D71" s="34"/>
    </row>
    <row r="72" spans="1:4" ht="20.25" x14ac:dyDescent="0.25">
      <c r="A72" s="103"/>
      <c r="B72" s="23"/>
      <c r="C72" s="34"/>
      <c r="D72" s="34"/>
    </row>
    <row r="73" spans="1:4" ht="20.25" x14ac:dyDescent="0.25">
      <c r="A73" s="103"/>
      <c r="B73" s="23"/>
      <c r="C73" s="34"/>
      <c r="D73" s="34"/>
    </row>
    <row r="74" spans="1:4" ht="20.25" x14ac:dyDescent="0.25">
      <c r="A74" s="103"/>
      <c r="B74" s="23"/>
      <c r="C74" s="34"/>
      <c r="D74" s="34"/>
    </row>
    <row r="75" spans="1:4" ht="20.25" x14ac:dyDescent="0.25">
      <c r="A75" s="103"/>
      <c r="B75" s="23"/>
      <c r="C75" s="34"/>
      <c r="D75" s="34"/>
    </row>
    <row r="76" spans="1:4" ht="20.25" x14ac:dyDescent="0.25">
      <c r="A76" s="103"/>
      <c r="B76" s="23"/>
      <c r="C76" s="34"/>
      <c r="D76" s="34"/>
    </row>
    <row r="77" spans="1:4" ht="20.25" x14ac:dyDescent="0.25">
      <c r="A77" s="103"/>
      <c r="B77" s="23"/>
      <c r="C77" s="34"/>
      <c r="D77" s="34"/>
    </row>
    <row r="78" spans="1:4" ht="20.25" x14ac:dyDescent="0.25">
      <c r="A78" s="103"/>
      <c r="B78" s="23"/>
      <c r="C78" s="34"/>
      <c r="D78" s="34"/>
    </row>
    <row r="79" spans="1:4" ht="20.25" x14ac:dyDescent="0.25">
      <c r="A79" s="103"/>
      <c r="B79" s="23"/>
      <c r="C79" s="34"/>
      <c r="D79" s="34"/>
    </row>
    <row r="80" spans="1:4" ht="20.25" x14ac:dyDescent="0.25">
      <c r="A80" s="103"/>
      <c r="B80" s="23"/>
      <c r="C80" s="34"/>
      <c r="D80" s="34"/>
    </row>
    <row r="81" spans="1:4" ht="20.25" x14ac:dyDescent="0.25">
      <c r="A81" s="103"/>
      <c r="B81" s="23"/>
      <c r="C81" s="34"/>
      <c r="D81" s="34"/>
    </row>
    <row r="82" spans="1:4" ht="20.25" x14ac:dyDescent="0.25">
      <c r="A82" s="103"/>
      <c r="B82" s="23"/>
      <c r="C82" s="34"/>
      <c r="D82" s="34"/>
    </row>
    <row r="83" spans="1:4" ht="20.25" x14ac:dyDescent="0.25">
      <c r="A83" s="103"/>
      <c r="B83" s="23"/>
      <c r="C83" s="34"/>
      <c r="D83" s="34"/>
    </row>
    <row r="84" spans="1:4" ht="20.25" x14ac:dyDescent="0.25">
      <c r="A84" s="103"/>
      <c r="B84" s="23"/>
      <c r="C84" s="34"/>
      <c r="D84" s="34"/>
    </row>
    <row r="85" spans="1:4" ht="20.25" x14ac:dyDescent="0.25">
      <c r="A85" s="103"/>
      <c r="B85" s="23"/>
      <c r="C85" s="34"/>
      <c r="D85" s="34"/>
    </row>
    <row r="86" spans="1:4" ht="20.25" x14ac:dyDescent="0.25">
      <c r="A86" s="103"/>
      <c r="B86" s="23"/>
      <c r="C86" s="34"/>
      <c r="D86" s="34"/>
    </row>
    <row r="87" spans="1:4" ht="20.25" x14ac:dyDescent="0.25">
      <c r="A87" s="103"/>
      <c r="B87" s="23"/>
      <c r="C87" s="34"/>
      <c r="D87" s="34"/>
    </row>
    <row r="88" spans="1:4" ht="20.25" x14ac:dyDescent="0.25">
      <c r="A88" s="103"/>
      <c r="B88" s="23"/>
      <c r="C88" s="34"/>
      <c r="D88" s="34"/>
    </row>
    <row r="89" spans="1:4" ht="20.25" x14ac:dyDescent="0.25">
      <c r="A89" s="103"/>
      <c r="B89" s="23"/>
      <c r="C89" s="34"/>
      <c r="D89" s="34"/>
    </row>
    <row r="90" spans="1:4" ht="20.25" x14ac:dyDescent="0.25">
      <c r="A90" s="103"/>
      <c r="B90" s="23"/>
      <c r="C90" s="34"/>
      <c r="D90" s="34"/>
    </row>
    <row r="91" spans="1:4" ht="20.25" x14ac:dyDescent="0.25">
      <c r="A91" s="103"/>
      <c r="B91" s="23"/>
      <c r="C91" s="34"/>
      <c r="D91" s="34"/>
    </row>
    <row r="92" spans="1:4" ht="20.25" x14ac:dyDescent="0.25">
      <c r="A92" s="103"/>
      <c r="B92" s="23"/>
      <c r="C92" s="34"/>
      <c r="D92" s="34"/>
    </row>
    <row r="93" spans="1:4" ht="20.25" x14ac:dyDescent="0.25">
      <c r="A93" s="103"/>
      <c r="B93" s="23"/>
      <c r="C93" s="34"/>
      <c r="D93" s="34"/>
    </row>
    <row r="94" spans="1:4" ht="20.25" x14ac:dyDescent="0.25">
      <c r="A94" s="103"/>
      <c r="B94" s="23"/>
      <c r="C94" s="34"/>
      <c r="D94" s="34"/>
    </row>
    <row r="95" spans="1:4" ht="20.25" x14ac:dyDescent="0.25">
      <c r="A95" s="103"/>
      <c r="B95" s="23"/>
      <c r="C95" s="34"/>
      <c r="D95" s="34"/>
    </row>
    <row r="96" spans="1:4" ht="20.25" x14ac:dyDescent="0.25">
      <c r="A96" s="103"/>
      <c r="B96" s="23"/>
      <c r="C96" s="34"/>
      <c r="D96" s="34"/>
    </row>
    <row r="97" spans="1:4" ht="20.25" x14ac:dyDescent="0.25">
      <c r="A97" s="103"/>
      <c r="B97" s="23"/>
      <c r="C97" s="34"/>
      <c r="D97" s="34"/>
    </row>
    <row r="98" spans="1:4" ht="20.25" x14ac:dyDescent="0.25">
      <c r="A98" s="103"/>
      <c r="B98" s="23"/>
      <c r="C98" s="34"/>
      <c r="D98" s="34"/>
    </row>
    <row r="99" spans="1:4" ht="20.25" x14ac:dyDescent="0.25">
      <c r="A99" s="103"/>
      <c r="B99" s="23"/>
      <c r="C99" s="34"/>
      <c r="D99" s="34"/>
    </row>
    <row r="100" spans="1:4" ht="20.25" x14ac:dyDescent="0.25">
      <c r="A100" s="103"/>
      <c r="B100" s="23"/>
      <c r="C100" s="34"/>
      <c r="D100" s="34"/>
    </row>
    <row r="101" spans="1:4" ht="20.25" x14ac:dyDescent="0.25">
      <c r="A101" s="103"/>
      <c r="B101" s="23"/>
      <c r="C101" s="34"/>
      <c r="D101" s="34"/>
    </row>
    <row r="102" spans="1:4" ht="20.25" x14ac:dyDescent="0.25">
      <c r="A102" s="103"/>
      <c r="B102" s="23"/>
      <c r="C102" s="34"/>
      <c r="D102" s="34"/>
    </row>
    <row r="103" spans="1:4" ht="20.25" x14ac:dyDescent="0.25">
      <c r="A103" s="103"/>
      <c r="B103" s="23"/>
      <c r="C103" s="34"/>
      <c r="D103" s="34"/>
    </row>
    <row r="104" spans="1:4" ht="20.25" x14ac:dyDescent="0.25">
      <c r="A104" s="103"/>
      <c r="B104" s="23"/>
      <c r="C104" s="34"/>
      <c r="D104" s="34"/>
    </row>
    <row r="105" spans="1:4" ht="20.25" x14ac:dyDescent="0.25">
      <c r="A105" s="103"/>
      <c r="B105" s="23"/>
      <c r="C105" s="34"/>
      <c r="D105" s="34"/>
    </row>
    <row r="106" spans="1:4" ht="20.25" x14ac:dyDescent="0.25">
      <c r="A106" s="103"/>
      <c r="B106" s="23"/>
      <c r="C106" s="34"/>
      <c r="D106" s="34"/>
    </row>
    <row r="107" spans="1:4" ht="20.25" x14ac:dyDescent="0.25">
      <c r="A107" s="103"/>
      <c r="B107" s="23"/>
      <c r="C107" s="34"/>
      <c r="D107" s="34"/>
    </row>
    <row r="108" spans="1:4" ht="20.25" x14ac:dyDescent="0.25">
      <c r="A108" s="103"/>
      <c r="B108" s="23"/>
      <c r="C108" s="34"/>
      <c r="D108" s="34"/>
    </row>
    <row r="109" spans="1:4" ht="20.25" x14ac:dyDescent="0.25">
      <c r="A109" s="103"/>
      <c r="B109" s="23"/>
      <c r="C109" s="34"/>
      <c r="D109" s="34"/>
    </row>
    <row r="110" spans="1:4" ht="20.25" x14ac:dyDescent="0.25">
      <c r="A110" s="103"/>
      <c r="B110" s="23"/>
      <c r="C110" s="34"/>
      <c r="D110" s="34"/>
    </row>
    <row r="111" spans="1:4" ht="20.25" x14ac:dyDescent="0.25">
      <c r="A111" s="103"/>
      <c r="B111" s="23"/>
      <c r="C111" s="34"/>
      <c r="D111" s="34"/>
    </row>
    <row r="112" spans="1:4" ht="20.25" x14ac:dyDescent="0.25">
      <c r="A112" s="103"/>
      <c r="B112" s="23"/>
      <c r="C112" s="34"/>
      <c r="D112" s="34"/>
    </row>
    <row r="113" spans="1:4" ht="20.25" x14ac:dyDescent="0.25">
      <c r="A113" s="103"/>
      <c r="B113" s="23"/>
      <c r="C113" s="34"/>
      <c r="D113" s="34"/>
    </row>
    <row r="114" spans="1:4" ht="20.25" x14ac:dyDescent="0.25">
      <c r="A114" s="103"/>
      <c r="B114" s="23"/>
      <c r="C114" s="34"/>
      <c r="D114" s="34"/>
    </row>
    <row r="115" spans="1:4" ht="20.25" x14ac:dyDescent="0.25">
      <c r="A115" s="103"/>
      <c r="B115" s="23"/>
      <c r="C115" s="34"/>
      <c r="D115" s="34"/>
    </row>
    <row r="116" spans="1:4" ht="20.25" x14ac:dyDescent="0.25">
      <c r="A116" s="103"/>
      <c r="B116" s="23"/>
      <c r="C116" s="34"/>
      <c r="D116" s="34"/>
    </row>
    <row r="117" spans="1:4" ht="20.25" x14ac:dyDescent="0.25">
      <c r="A117" s="103"/>
      <c r="B117" s="23"/>
      <c r="C117" s="34"/>
      <c r="D117" s="34"/>
    </row>
    <row r="118" spans="1:4" ht="20.25" x14ac:dyDescent="0.25">
      <c r="A118" s="103"/>
      <c r="B118" s="23"/>
      <c r="C118" s="34"/>
      <c r="D118" s="34"/>
    </row>
    <row r="119" spans="1:4" ht="20.25" x14ac:dyDescent="0.25">
      <c r="A119" s="103"/>
      <c r="B119" s="23"/>
      <c r="C119" s="34"/>
      <c r="D119" s="34"/>
    </row>
    <row r="120" spans="1:4" ht="20.25" x14ac:dyDescent="0.25">
      <c r="A120" s="103"/>
      <c r="B120" s="23"/>
      <c r="C120" s="34"/>
      <c r="D120" s="34"/>
    </row>
    <row r="121" spans="1:4" ht="20.25" x14ac:dyDescent="0.25">
      <c r="A121" s="103"/>
      <c r="B121" s="23"/>
      <c r="C121" s="34"/>
      <c r="D121" s="34"/>
    </row>
    <row r="122" spans="1:4" ht="20.25" x14ac:dyDescent="0.25">
      <c r="A122" s="103"/>
      <c r="B122" s="23"/>
      <c r="C122" s="34"/>
      <c r="D122" s="34"/>
    </row>
    <row r="123" spans="1:4" ht="20.25" x14ac:dyDescent="0.25">
      <c r="A123" s="103"/>
      <c r="B123" s="23"/>
      <c r="C123" s="34"/>
      <c r="D123" s="34"/>
    </row>
    <row r="124" spans="1:4" ht="20.25" x14ac:dyDescent="0.25">
      <c r="A124" s="103"/>
      <c r="B124" s="23"/>
      <c r="C124" s="34"/>
      <c r="D124" s="34"/>
    </row>
    <row r="125" spans="1:4" ht="20.25" x14ac:dyDescent="0.25">
      <c r="A125" s="103"/>
      <c r="B125" s="23"/>
      <c r="C125" s="34"/>
      <c r="D125" s="34"/>
    </row>
    <row r="126" spans="1:4" ht="20.25" x14ac:dyDescent="0.25">
      <c r="A126" s="103"/>
      <c r="B126" s="23"/>
      <c r="C126" s="34"/>
      <c r="D126" s="34"/>
    </row>
    <row r="127" spans="1:4" ht="20.25" x14ac:dyDescent="0.25">
      <c r="A127" s="103"/>
      <c r="B127" s="23"/>
      <c r="C127" s="34"/>
      <c r="D127" s="34"/>
    </row>
    <row r="128" spans="1:4" ht="20.25" x14ac:dyDescent="0.25">
      <c r="A128" s="103"/>
      <c r="B128" s="23"/>
      <c r="C128" s="34"/>
      <c r="D128" s="34"/>
    </row>
    <row r="129" spans="1:4" ht="20.25" x14ac:dyDescent="0.25">
      <c r="A129" s="103"/>
      <c r="B129" s="23"/>
      <c r="C129" s="34"/>
      <c r="D129" s="34"/>
    </row>
    <row r="130" spans="1:4" ht="20.25" x14ac:dyDescent="0.25">
      <c r="A130" s="103"/>
      <c r="B130" s="23"/>
      <c r="C130" s="34"/>
      <c r="D130" s="34"/>
    </row>
    <row r="131" spans="1:4" ht="20.25" x14ac:dyDescent="0.25">
      <c r="A131" s="103"/>
      <c r="B131" s="23"/>
      <c r="C131" s="34"/>
      <c r="D131" s="34"/>
    </row>
    <row r="132" spans="1:4" ht="20.25" x14ac:dyDescent="0.25">
      <c r="A132" s="103"/>
      <c r="B132" s="23"/>
      <c r="C132" s="34"/>
      <c r="D132" s="34"/>
    </row>
    <row r="133" spans="1:4" ht="20.25" x14ac:dyDescent="0.25">
      <c r="A133" s="103"/>
      <c r="B133" s="23"/>
      <c r="C133" s="34"/>
      <c r="D133" s="34"/>
    </row>
    <row r="134" spans="1:4" ht="20.25" x14ac:dyDescent="0.25">
      <c r="A134" s="103"/>
      <c r="B134" s="23"/>
      <c r="C134" s="34"/>
      <c r="D134" s="34"/>
    </row>
    <row r="135" spans="1:4" ht="20.25" x14ac:dyDescent="0.25">
      <c r="A135" s="103"/>
      <c r="B135" s="23"/>
      <c r="C135" s="34"/>
      <c r="D135" s="34"/>
    </row>
    <row r="136" spans="1:4" ht="20.25" x14ac:dyDescent="0.25">
      <c r="A136" s="103"/>
      <c r="B136" s="23"/>
      <c r="C136" s="34"/>
      <c r="D136" s="34"/>
    </row>
    <row r="137" spans="1:4" ht="20.25" x14ac:dyDescent="0.25">
      <c r="A137" s="103"/>
      <c r="B137" s="23"/>
      <c r="C137" s="34"/>
      <c r="D137" s="34"/>
    </row>
    <row r="138" spans="1:4" ht="20.25" x14ac:dyDescent="0.25">
      <c r="A138" s="103"/>
      <c r="B138" s="23"/>
      <c r="C138" s="34"/>
      <c r="D138" s="34"/>
    </row>
    <row r="139" spans="1:4" ht="20.25" x14ac:dyDescent="0.25">
      <c r="A139" s="103"/>
      <c r="B139" s="23"/>
      <c r="C139" s="34"/>
      <c r="D139" s="34"/>
    </row>
    <row r="140" spans="1:4" ht="20.25" x14ac:dyDescent="0.25">
      <c r="A140" s="103"/>
      <c r="B140" s="23"/>
      <c r="C140" s="34"/>
      <c r="D140" s="34"/>
    </row>
    <row r="141" spans="1:4" ht="20.25" x14ac:dyDescent="0.25">
      <c r="A141" s="103"/>
      <c r="B141" s="23"/>
      <c r="C141" s="34"/>
      <c r="D141" s="34"/>
    </row>
    <row r="142" spans="1:4" ht="20.25" x14ac:dyDescent="0.25">
      <c r="A142" s="103"/>
      <c r="B142" s="23"/>
      <c r="C142" s="34"/>
      <c r="D142" s="34"/>
    </row>
    <row r="143" spans="1:4" ht="20.25" x14ac:dyDescent="0.25">
      <c r="A143" s="103"/>
      <c r="B143" s="23"/>
      <c r="C143" s="34"/>
      <c r="D143" s="34"/>
    </row>
    <row r="144" spans="1:4" ht="20.25" x14ac:dyDescent="0.25">
      <c r="A144" s="103"/>
      <c r="B144" s="23"/>
      <c r="C144" s="34"/>
      <c r="D144" s="34"/>
    </row>
    <row r="145" spans="1:4" ht="20.25" x14ac:dyDescent="0.25">
      <c r="A145" s="103"/>
      <c r="B145" s="23"/>
      <c r="C145" s="34"/>
      <c r="D145" s="34"/>
    </row>
    <row r="146" spans="1:4" ht="20.25" x14ac:dyDescent="0.25">
      <c r="A146" s="103"/>
      <c r="B146" s="23"/>
      <c r="C146" s="34"/>
      <c r="D146" s="34"/>
    </row>
    <row r="147" spans="1:4" ht="20.25" x14ac:dyDescent="0.25">
      <c r="A147" s="103"/>
      <c r="B147" s="23"/>
      <c r="C147" s="34"/>
      <c r="D147" s="34"/>
    </row>
    <row r="148" spans="1:4" ht="20.25" x14ac:dyDescent="0.25">
      <c r="A148" s="103"/>
      <c r="B148" s="23"/>
      <c r="C148" s="34"/>
      <c r="D148" s="34"/>
    </row>
    <row r="149" spans="1:4" ht="20.25" x14ac:dyDescent="0.25">
      <c r="A149" s="103"/>
      <c r="B149" s="23"/>
      <c r="C149" s="34"/>
      <c r="D149" s="34"/>
    </row>
    <row r="150" spans="1:4" ht="20.25" x14ac:dyDescent="0.25">
      <c r="A150" s="103"/>
      <c r="B150" s="23"/>
      <c r="C150" s="34"/>
      <c r="D150" s="34"/>
    </row>
    <row r="151" spans="1:4" ht="20.25" x14ac:dyDescent="0.25">
      <c r="A151" s="103"/>
      <c r="B151" s="23"/>
      <c r="C151" s="34"/>
      <c r="D151" s="34"/>
    </row>
    <row r="152" spans="1:4" ht="20.25" x14ac:dyDescent="0.25">
      <c r="A152" s="103"/>
      <c r="B152" s="23"/>
      <c r="C152" s="34"/>
      <c r="D152" s="34"/>
    </row>
    <row r="153" spans="1:4" ht="20.25" x14ac:dyDescent="0.25">
      <c r="A153" s="103"/>
      <c r="B153" s="23"/>
      <c r="C153" s="34"/>
      <c r="D153" s="34"/>
    </row>
    <row r="154" spans="1:4" ht="20.25" x14ac:dyDescent="0.25">
      <c r="A154" s="103"/>
      <c r="B154" s="23"/>
      <c r="C154" s="34"/>
      <c r="D154" s="34"/>
    </row>
    <row r="155" spans="1:4" ht="20.25" x14ac:dyDescent="0.25">
      <c r="A155" s="103"/>
      <c r="B155" s="23"/>
      <c r="C155" s="34"/>
      <c r="D155" s="34"/>
    </row>
    <row r="156" spans="1:4" ht="20.25" x14ac:dyDescent="0.25">
      <c r="A156" s="103"/>
      <c r="B156" s="23"/>
      <c r="C156" s="34"/>
      <c r="D156" s="34"/>
    </row>
    <row r="157" spans="1:4" ht="20.25" x14ac:dyDescent="0.25">
      <c r="A157" s="103"/>
      <c r="B157" s="23"/>
      <c r="C157" s="34"/>
      <c r="D157" s="34"/>
    </row>
    <row r="158" spans="1:4" ht="20.25" x14ac:dyDescent="0.25">
      <c r="A158" s="103"/>
      <c r="B158" s="23"/>
      <c r="C158" s="34"/>
      <c r="D158" s="34"/>
    </row>
    <row r="159" spans="1:4" ht="20.25" x14ac:dyDescent="0.25">
      <c r="A159" s="103"/>
      <c r="B159" s="23"/>
      <c r="C159" s="34"/>
      <c r="D159" s="34"/>
    </row>
    <row r="160" spans="1:4" ht="20.25" x14ac:dyDescent="0.25">
      <c r="A160" s="103"/>
      <c r="B160" s="23"/>
      <c r="C160" s="34"/>
      <c r="D160" s="34"/>
    </row>
    <row r="161" spans="1:4" ht="20.25" x14ac:dyDescent="0.25">
      <c r="A161" s="103"/>
      <c r="B161" s="23"/>
      <c r="C161" s="34"/>
      <c r="D161" s="34"/>
    </row>
    <row r="162" spans="1:4" ht="20.25" x14ac:dyDescent="0.25">
      <c r="A162" s="103"/>
      <c r="B162" s="23"/>
      <c r="C162" s="34"/>
      <c r="D162" s="34"/>
    </row>
    <row r="163" spans="1:4" ht="20.25" x14ac:dyDescent="0.25">
      <c r="A163" s="103"/>
      <c r="B163" s="23"/>
      <c r="C163" s="34"/>
      <c r="D163" s="34"/>
    </row>
    <row r="164" spans="1:4" ht="20.25" x14ac:dyDescent="0.25">
      <c r="A164" s="103"/>
      <c r="B164" s="23"/>
      <c r="C164" s="34"/>
      <c r="D164" s="34"/>
    </row>
    <row r="165" spans="1:4" ht="20.25" x14ac:dyDescent="0.25">
      <c r="A165" s="103"/>
      <c r="B165" s="23"/>
      <c r="C165" s="34"/>
      <c r="D165" s="34"/>
    </row>
    <row r="166" spans="1:4" ht="20.25" x14ac:dyDescent="0.25">
      <c r="A166" s="103"/>
      <c r="B166" s="23"/>
      <c r="C166" s="34"/>
      <c r="D166" s="34"/>
    </row>
    <row r="167" spans="1:4" ht="20.25" x14ac:dyDescent="0.25">
      <c r="A167" s="103"/>
      <c r="B167" s="23"/>
      <c r="C167" s="34"/>
      <c r="D167" s="34"/>
    </row>
    <row r="168" spans="1:4" ht="20.25" x14ac:dyDescent="0.25">
      <c r="A168" s="103"/>
      <c r="B168" s="23"/>
      <c r="C168" s="34"/>
      <c r="D168" s="34"/>
    </row>
    <row r="169" spans="1:4" ht="20.25" x14ac:dyDescent="0.25">
      <c r="A169" s="103"/>
      <c r="B169" s="23"/>
      <c r="C169" s="34"/>
      <c r="D169" s="34"/>
    </row>
    <row r="170" spans="1:4" ht="20.25" x14ac:dyDescent="0.25">
      <c r="A170" s="103"/>
      <c r="B170" s="23"/>
      <c r="C170" s="34"/>
      <c r="D170" s="34"/>
    </row>
    <row r="171" spans="1:4" ht="20.25" x14ac:dyDescent="0.25">
      <c r="A171" s="103"/>
      <c r="B171" s="23"/>
      <c r="C171" s="34"/>
      <c r="D171" s="34"/>
    </row>
    <row r="172" spans="1:4" ht="20.25" x14ac:dyDescent="0.25">
      <c r="A172" s="103"/>
      <c r="B172" s="23"/>
      <c r="C172" s="34"/>
      <c r="D172" s="34"/>
    </row>
    <row r="173" spans="1:4" ht="20.25" x14ac:dyDescent="0.25">
      <c r="A173" s="103"/>
      <c r="B173" s="23"/>
      <c r="C173" s="34"/>
      <c r="D173" s="34"/>
    </row>
    <row r="174" spans="1:4" ht="20.25" x14ac:dyDescent="0.25">
      <c r="A174" s="103"/>
      <c r="B174" s="23"/>
      <c r="C174" s="34"/>
      <c r="D174" s="34"/>
    </row>
    <row r="175" spans="1:4" ht="20.25" x14ac:dyDescent="0.25">
      <c r="A175" s="103"/>
      <c r="B175" s="23"/>
      <c r="C175" s="34"/>
      <c r="D175" s="34"/>
    </row>
    <row r="176" spans="1:4" ht="20.25" x14ac:dyDescent="0.25">
      <c r="A176" s="103"/>
      <c r="B176" s="23"/>
      <c r="C176" s="34"/>
      <c r="D176" s="34"/>
    </row>
    <row r="177" spans="1:4" ht="20.25" x14ac:dyDescent="0.25">
      <c r="A177" s="103"/>
      <c r="B177" s="23"/>
      <c r="C177" s="34"/>
      <c r="D177" s="34"/>
    </row>
    <row r="178" spans="1:4" ht="20.25" x14ac:dyDescent="0.25">
      <c r="A178" s="103"/>
      <c r="B178" s="23"/>
      <c r="C178" s="34"/>
      <c r="D178" s="34"/>
    </row>
    <row r="179" spans="1:4" ht="20.25" x14ac:dyDescent="0.25">
      <c r="A179" s="103"/>
      <c r="B179" s="23"/>
      <c r="C179" s="34"/>
      <c r="D179" s="34"/>
    </row>
    <row r="180" spans="1:4" ht="20.25" x14ac:dyDescent="0.25">
      <c r="A180" s="103"/>
      <c r="B180" s="23"/>
      <c r="C180" s="34"/>
      <c r="D180" s="34"/>
    </row>
    <row r="181" spans="1:4" ht="20.25" x14ac:dyDescent="0.25">
      <c r="A181" s="103"/>
      <c r="B181" s="23"/>
      <c r="C181" s="34"/>
      <c r="D181" s="34"/>
    </row>
    <row r="182" spans="1:4" ht="20.25" x14ac:dyDescent="0.25">
      <c r="A182" s="103"/>
      <c r="B182" s="23"/>
      <c r="C182" s="34"/>
      <c r="D182" s="34"/>
    </row>
    <row r="183" spans="1:4" ht="20.25" x14ac:dyDescent="0.25">
      <c r="A183" s="103"/>
      <c r="B183" s="23"/>
      <c r="C183" s="34"/>
      <c r="D183" s="34"/>
    </row>
    <row r="184" spans="1:4" ht="20.25" x14ac:dyDescent="0.25">
      <c r="A184" s="103"/>
      <c r="B184" s="23"/>
      <c r="C184" s="34"/>
      <c r="D184" s="34"/>
    </row>
    <row r="185" spans="1:4" ht="20.25" x14ac:dyDescent="0.25">
      <c r="A185" s="103"/>
      <c r="B185" s="23"/>
      <c r="C185" s="34"/>
      <c r="D185" s="34"/>
    </row>
    <row r="186" spans="1:4" ht="20.25" x14ac:dyDescent="0.25">
      <c r="A186" s="103"/>
      <c r="B186" s="23"/>
      <c r="C186" s="34"/>
      <c r="D186" s="34"/>
    </row>
    <row r="187" spans="1:4" ht="20.25" x14ac:dyDescent="0.25">
      <c r="A187" s="103"/>
      <c r="B187" s="23"/>
      <c r="C187" s="34"/>
      <c r="D187" s="34"/>
    </row>
    <row r="188" spans="1:4" ht="20.25" x14ac:dyDescent="0.25">
      <c r="A188" s="103"/>
      <c r="B188" s="23"/>
      <c r="C188" s="34"/>
      <c r="D188" s="34"/>
    </row>
    <row r="189" spans="1:4" ht="20.25" x14ac:dyDescent="0.25">
      <c r="A189" s="103"/>
      <c r="B189" s="23"/>
      <c r="C189" s="34"/>
      <c r="D189" s="34"/>
    </row>
    <row r="190" spans="1:4" ht="20.25" x14ac:dyDescent="0.25">
      <c r="A190" s="103"/>
      <c r="B190" s="23"/>
      <c r="C190" s="34"/>
      <c r="D190" s="34"/>
    </row>
    <row r="191" spans="1:4" ht="20.25" x14ac:dyDescent="0.25">
      <c r="A191" s="103"/>
      <c r="B191" s="23"/>
      <c r="C191" s="34"/>
      <c r="D191" s="34"/>
    </row>
    <row r="192" spans="1:4" ht="20.25" x14ac:dyDescent="0.25">
      <c r="A192" s="103"/>
      <c r="B192" s="23"/>
      <c r="C192" s="34"/>
      <c r="D192" s="34"/>
    </row>
    <row r="193" spans="1:4" ht="20.25" x14ac:dyDescent="0.25">
      <c r="A193" s="103"/>
      <c r="B193" s="23"/>
      <c r="C193" s="34"/>
      <c r="D193" s="34"/>
    </row>
    <row r="194" spans="1:4" ht="20.25" x14ac:dyDescent="0.25">
      <c r="A194" s="103"/>
      <c r="B194" s="23"/>
      <c r="C194" s="34"/>
      <c r="D194" s="34"/>
    </row>
    <row r="195" spans="1:4" ht="20.25" x14ac:dyDescent="0.25">
      <c r="A195" s="103"/>
      <c r="B195" s="23"/>
      <c r="C195" s="34"/>
      <c r="D195" s="34"/>
    </row>
    <row r="196" spans="1:4" ht="20.25" x14ac:dyDescent="0.25">
      <c r="A196" s="103"/>
      <c r="B196" s="23"/>
      <c r="C196" s="34"/>
      <c r="D196" s="34"/>
    </row>
    <row r="197" spans="1:4" ht="20.25" x14ac:dyDescent="0.25">
      <c r="A197" s="103"/>
      <c r="B197" s="23"/>
      <c r="C197" s="34"/>
      <c r="D197" s="34"/>
    </row>
    <row r="198" spans="1:4" ht="20.25" x14ac:dyDescent="0.25">
      <c r="A198" s="103"/>
      <c r="B198" s="23"/>
      <c r="C198" s="34"/>
      <c r="D198" s="34"/>
    </row>
    <row r="199" spans="1:4" ht="20.25" x14ac:dyDescent="0.25">
      <c r="A199" s="103"/>
      <c r="B199" s="23"/>
      <c r="C199" s="34"/>
      <c r="D199" s="34"/>
    </row>
    <row r="200" spans="1:4" ht="20.25" x14ac:dyDescent="0.25">
      <c r="A200" s="103"/>
      <c r="B200" s="23"/>
      <c r="C200" s="34"/>
      <c r="D200" s="34"/>
    </row>
    <row r="201" spans="1:4" ht="20.25" x14ac:dyDescent="0.25">
      <c r="A201" s="103"/>
      <c r="B201" s="23"/>
      <c r="C201" s="34"/>
      <c r="D201" s="34"/>
    </row>
    <row r="202" spans="1:4" ht="20.25" x14ac:dyDescent="0.25">
      <c r="A202" s="103"/>
      <c r="B202" s="23"/>
      <c r="C202" s="34"/>
      <c r="D202" s="34"/>
    </row>
    <row r="203" spans="1:4" ht="20.25" x14ac:dyDescent="0.25">
      <c r="A203" s="103"/>
      <c r="B203" s="23"/>
      <c r="C203" s="34"/>
      <c r="D203" s="34"/>
    </row>
    <row r="204" spans="1:4" ht="20.25" x14ac:dyDescent="0.25">
      <c r="A204" s="103"/>
      <c r="B204" s="23"/>
      <c r="C204" s="34"/>
      <c r="D204" s="34"/>
    </row>
    <row r="205" spans="1:4" ht="20.25" x14ac:dyDescent="0.25">
      <c r="A205" s="103"/>
      <c r="B205" s="23"/>
      <c r="C205" s="34"/>
      <c r="D205" s="34"/>
    </row>
    <row r="206" spans="1:4" ht="20.25" x14ac:dyDescent="0.25">
      <c r="A206" s="103"/>
      <c r="B206" s="23"/>
      <c r="C206" s="34"/>
      <c r="D206" s="34"/>
    </row>
    <row r="207" spans="1:4" ht="20.25" x14ac:dyDescent="0.25">
      <c r="A207" s="103"/>
      <c r="B207" s="23"/>
      <c r="C207" s="34"/>
      <c r="D207" s="34"/>
    </row>
    <row r="208" spans="1:4" x14ac:dyDescent="0.25">
      <c r="A208" s="83"/>
      <c r="B208" s="23"/>
      <c r="C208" s="23"/>
      <c r="D208" s="23"/>
    </row>
    <row r="209" spans="1:8" ht="20.25" x14ac:dyDescent="0.25">
      <c r="A209" s="83"/>
      <c r="B209" s="30" t="s">
        <v>88</v>
      </c>
      <c r="C209" s="30" t="s">
        <v>145</v>
      </c>
      <c r="D209" s="33" t="s">
        <v>88</v>
      </c>
      <c r="E209" s="33" t="s">
        <v>145</v>
      </c>
    </row>
    <row r="210" spans="1:8" ht="21" x14ac:dyDescent="0.35">
      <c r="A210" s="83"/>
      <c r="B210" s="31" t="s">
        <v>90</v>
      </c>
      <c r="C210" s="31" t="s">
        <v>58</v>
      </c>
      <c r="D210" t="s">
        <v>90</v>
      </c>
      <c r="F210" t="str">
        <f>IF(NOT(ISBLANK(D210)),D210,IF(NOT(ISBLANK(E210)),"     "&amp;E210,FALSE))</f>
        <v>Afectación Económica o presupuestal</v>
      </c>
      <c r="G210" t="s">
        <v>90</v>
      </c>
      <c r="H210" t="str">
        <f ca="1">IF(NOT(ISERROR(MATCH(G210,_xlfn.ANCHORARRAY(B221),0))),F223&amp;"Por favor no seleccionar los criterios de impacto",G210)</f>
        <v>Afectación Económica o presupuestal</v>
      </c>
    </row>
    <row r="211" spans="1:8" ht="21" x14ac:dyDescent="0.35">
      <c r="A211" s="83"/>
      <c r="B211" s="31" t="s">
        <v>90</v>
      </c>
      <c r="C211" s="31" t="s">
        <v>93</v>
      </c>
      <c r="E211" t="s">
        <v>58</v>
      </c>
      <c r="F211" t="str">
        <f t="shared" ref="F211:F221" si="0">IF(NOT(ISBLANK(D211)),D211,IF(NOT(ISBLANK(E211)),"     "&amp;E211,FALSE))</f>
        <v xml:space="preserve">     Afectación menor a 10 SMLMV .</v>
      </c>
    </row>
    <row r="212" spans="1:8" ht="21" x14ac:dyDescent="0.35">
      <c r="A212" s="83"/>
      <c r="B212" s="31" t="s">
        <v>90</v>
      </c>
      <c r="C212" s="31" t="s">
        <v>94</v>
      </c>
      <c r="E212" t="s">
        <v>93</v>
      </c>
      <c r="F212" t="str">
        <f t="shared" si="0"/>
        <v xml:space="preserve">     Entre 10 y 50 SMLMV </v>
      </c>
    </row>
    <row r="213" spans="1:8" ht="21" x14ac:dyDescent="0.35">
      <c r="A213" s="83"/>
      <c r="B213" s="31" t="s">
        <v>90</v>
      </c>
      <c r="C213" s="31" t="s">
        <v>95</v>
      </c>
      <c r="E213" t="s">
        <v>94</v>
      </c>
      <c r="F213" t="str">
        <f t="shared" si="0"/>
        <v xml:space="preserve">     Entre 50 y 100 SMLMV </v>
      </c>
    </row>
    <row r="214" spans="1:8" ht="21" x14ac:dyDescent="0.35">
      <c r="A214" s="83"/>
      <c r="B214" s="31" t="s">
        <v>90</v>
      </c>
      <c r="C214" s="31" t="s">
        <v>96</v>
      </c>
      <c r="E214" t="s">
        <v>95</v>
      </c>
      <c r="F214" t="str">
        <f t="shared" si="0"/>
        <v xml:space="preserve">     Entre 100 y 500 SMLMV </v>
      </c>
    </row>
    <row r="215" spans="1:8" ht="21" x14ac:dyDescent="0.35">
      <c r="A215" s="83"/>
      <c r="B215" s="31" t="s">
        <v>57</v>
      </c>
      <c r="C215" s="31" t="s">
        <v>97</v>
      </c>
      <c r="E215" t="s">
        <v>96</v>
      </c>
      <c r="F215" t="str">
        <f t="shared" si="0"/>
        <v xml:space="preserve">     Mayor a 500 SMLMV </v>
      </c>
    </row>
    <row r="216" spans="1:8" ht="21" x14ac:dyDescent="0.35">
      <c r="A216" s="83"/>
      <c r="B216" s="31" t="s">
        <v>57</v>
      </c>
      <c r="C216" s="31" t="s">
        <v>98</v>
      </c>
      <c r="D216" t="s">
        <v>57</v>
      </c>
      <c r="F216" t="str">
        <f t="shared" si="0"/>
        <v>Pérdida Reputacional</v>
      </c>
    </row>
    <row r="217" spans="1:8" ht="21" x14ac:dyDescent="0.35">
      <c r="A217" s="83"/>
      <c r="B217" s="31" t="s">
        <v>57</v>
      </c>
      <c r="C217" s="31" t="s">
        <v>100</v>
      </c>
      <c r="E217" t="s">
        <v>97</v>
      </c>
      <c r="F217" t="str">
        <f t="shared" si="0"/>
        <v xml:space="preserve">     El riesgo afecta la imagen de alguna área de la organización</v>
      </c>
    </row>
    <row r="218" spans="1:8" ht="21" x14ac:dyDescent="0.35">
      <c r="A218" s="83"/>
      <c r="B218" s="31" t="s">
        <v>57</v>
      </c>
      <c r="C218" s="31" t="s">
        <v>99</v>
      </c>
      <c r="E218" t="s">
        <v>98</v>
      </c>
      <c r="F218" t="str">
        <f t="shared" si="0"/>
        <v xml:space="preserve">     El riesgo afecta la imagen de la entidad internamente, de conocimiento general, nivel interno, de junta dircetiva y accionistas y/o de provedores</v>
      </c>
    </row>
    <row r="219" spans="1:8" ht="21" x14ac:dyDescent="0.35">
      <c r="A219" s="83"/>
      <c r="B219" s="31" t="s">
        <v>57</v>
      </c>
      <c r="C219" s="31" t="s">
        <v>118</v>
      </c>
      <c r="E219" t="s">
        <v>100</v>
      </c>
      <c r="F219" t="str">
        <f t="shared" si="0"/>
        <v xml:space="preserve">     El riesgo afecta la imagen de la entidad con algunos usuarios de relevancia frente al logro de los objetivos</v>
      </c>
    </row>
    <row r="220" spans="1:8" x14ac:dyDescent="0.25">
      <c r="A220" s="83"/>
      <c r="B220" s="32"/>
      <c r="C220" s="32"/>
      <c r="E220" t="s">
        <v>99</v>
      </c>
      <c r="F220" t="str">
        <f t="shared" si="0"/>
        <v xml:space="preserve">     El riesgo afecta la imagen de de la entidad con efecto publicitario sostenido a nivel de sector administrativo, nivel departamental o municipal</v>
      </c>
    </row>
    <row r="221" spans="1:8" x14ac:dyDescent="0.25">
      <c r="A221" s="83"/>
      <c r="B221" s="32" t="e" cm="1">
        <f t="array" aca="1" ref="B221:B223" ca="1">_xlfn.UNIQUE(Tabla1[[#All],[Criterios]])</f>
        <v>#NAME?</v>
      </c>
      <c r="C221" s="32"/>
      <c r="E221" t="s">
        <v>118</v>
      </c>
      <c r="F221" t="str">
        <f t="shared" si="0"/>
        <v xml:space="preserve">     El riesgo afecta la imagen de la entidad a nivel nacional, con efecto publicitarios sostenible a nivel país</v>
      </c>
    </row>
    <row r="222" spans="1:8" x14ac:dyDescent="0.25">
      <c r="A222" s="83"/>
      <c r="B222" s="32" t="e">
        <f ca="1"/>
        <v>#NAME?</v>
      </c>
      <c r="C222" s="32"/>
    </row>
    <row r="223" spans="1:8" x14ac:dyDescent="0.25">
      <c r="B223" s="32" t="e">
        <f ca="1"/>
        <v>#NAME?</v>
      </c>
      <c r="C223" s="32"/>
      <c r="F223" s="35" t="s">
        <v>147</v>
      </c>
    </row>
    <row r="224" spans="1:8" x14ac:dyDescent="0.25">
      <c r="B224" s="22"/>
      <c r="C224" s="22"/>
      <c r="F224" s="35" t="s">
        <v>148</v>
      </c>
    </row>
    <row r="225" spans="2:4" x14ac:dyDescent="0.25">
      <c r="B225" s="22"/>
      <c r="C225" s="22"/>
    </row>
    <row r="226" spans="2:4" x14ac:dyDescent="0.25">
      <c r="B226" s="22"/>
      <c r="C226" s="22"/>
    </row>
    <row r="227" spans="2:4" x14ac:dyDescent="0.25">
      <c r="B227" s="22"/>
      <c r="C227" s="22"/>
      <c r="D227" s="22"/>
    </row>
    <row r="228" spans="2:4" x14ac:dyDescent="0.25">
      <c r="B228" s="22"/>
      <c r="C228" s="22"/>
      <c r="D228" s="22"/>
    </row>
    <row r="229" spans="2:4" x14ac:dyDescent="0.25">
      <c r="B229" s="22"/>
      <c r="C229" s="22"/>
      <c r="D229" s="22"/>
    </row>
    <row r="230" spans="2:4" x14ac:dyDescent="0.25">
      <c r="B230" s="22"/>
      <c r="C230" s="22"/>
      <c r="D230" s="22"/>
    </row>
    <row r="231" spans="2:4" x14ac:dyDescent="0.25">
      <c r="B231" s="22"/>
      <c r="C231" s="22"/>
      <c r="D231" s="22"/>
    </row>
    <row r="232" spans="2:4" x14ac:dyDescent="0.25">
      <c r="B232" s="22"/>
      <c r="C232" s="22"/>
      <c r="D232" s="22"/>
    </row>
  </sheetData>
  <mergeCells count="1">
    <mergeCell ref="B1:D1"/>
  </mergeCells>
  <dataValidations disablePrompts="1" count="1">
    <dataValidation type="list" allowBlank="1" showInputMessage="1" showErrorMessage="1" sqref="G210" xr:uid="{00000000-0002-0000-0500-000000000000}">
      <formula1>$F$210:$F$221</formula1>
    </dataValidation>
  </dataValidations>
  <pageMargins left="0.7" right="0.7" top="0.75" bottom="0.75" header="0.3" footer="0.3"/>
  <pageSetup orientation="portrait"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249977111117893"/>
  </sheetPr>
  <dimension ref="B1:F16"/>
  <sheetViews>
    <sheetView workbookViewId="0">
      <selection activeCell="D7" sqref="D7"/>
    </sheetView>
  </sheetViews>
  <sheetFormatPr baseColWidth="10" defaultColWidth="14.28515625" defaultRowHeight="12.75" x14ac:dyDescent="0.2"/>
  <cols>
    <col min="1" max="2" width="14.28515625" style="88"/>
    <col min="3" max="3" width="17" style="88" customWidth="1"/>
    <col min="4" max="4" width="14.28515625" style="88"/>
    <col min="5" max="5" width="46" style="88" customWidth="1"/>
    <col min="6" max="16384" width="14.28515625" style="88"/>
  </cols>
  <sheetData>
    <row r="1" spans="2:6" ht="24" customHeight="1" thickBot="1" x14ac:dyDescent="0.25">
      <c r="B1" s="954" t="s">
        <v>78</v>
      </c>
      <c r="C1" s="955"/>
      <c r="D1" s="955"/>
      <c r="E1" s="955"/>
      <c r="F1" s="956"/>
    </row>
    <row r="2" spans="2:6" ht="16.5" thickBot="1" x14ac:dyDescent="0.3">
      <c r="B2" s="89"/>
      <c r="C2" s="89"/>
      <c r="D2" s="89"/>
      <c r="E2" s="89"/>
      <c r="F2" s="89"/>
    </row>
    <row r="3" spans="2:6" ht="16.5" thickBot="1" x14ac:dyDescent="0.25">
      <c r="B3" s="958" t="s">
        <v>64</v>
      </c>
      <c r="C3" s="959"/>
      <c r="D3" s="959"/>
      <c r="E3" s="101" t="s">
        <v>65</v>
      </c>
      <c r="F3" s="102" t="s">
        <v>66</v>
      </c>
    </row>
    <row r="4" spans="2:6" ht="31.5" x14ac:dyDescent="0.2">
      <c r="B4" s="960" t="s">
        <v>67</v>
      </c>
      <c r="C4" s="962" t="s">
        <v>13</v>
      </c>
      <c r="D4" s="90" t="s">
        <v>14</v>
      </c>
      <c r="E4" s="91" t="s">
        <v>68</v>
      </c>
      <c r="F4" s="92">
        <v>0.25</v>
      </c>
    </row>
    <row r="5" spans="2:6" ht="47.25" x14ac:dyDescent="0.2">
      <c r="B5" s="961"/>
      <c r="C5" s="963"/>
      <c r="D5" s="93" t="s">
        <v>15</v>
      </c>
      <c r="E5" s="94" t="s">
        <v>69</v>
      </c>
      <c r="F5" s="95">
        <v>0.15</v>
      </c>
    </row>
    <row r="6" spans="2:6" ht="47.25" x14ac:dyDescent="0.2">
      <c r="B6" s="961"/>
      <c r="C6" s="963"/>
      <c r="D6" s="93" t="s">
        <v>16</v>
      </c>
      <c r="E6" s="94" t="s">
        <v>70</v>
      </c>
      <c r="F6" s="95">
        <v>0.1</v>
      </c>
    </row>
    <row r="7" spans="2:6" ht="63" x14ac:dyDescent="0.2">
      <c r="B7" s="961"/>
      <c r="C7" s="963" t="s">
        <v>17</v>
      </c>
      <c r="D7" s="93" t="s">
        <v>10</v>
      </c>
      <c r="E7" s="94" t="s">
        <v>71</v>
      </c>
      <c r="F7" s="95">
        <v>0.25</v>
      </c>
    </row>
    <row r="8" spans="2:6" ht="31.5" x14ac:dyDescent="0.2">
      <c r="B8" s="961"/>
      <c r="C8" s="963"/>
      <c r="D8" s="93" t="s">
        <v>9</v>
      </c>
      <c r="E8" s="94" t="s">
        <v>72</v>
      </c>
      <c r="F8" s="95">
        <v>0.15</v>
      </c>
    </row>
    <row r="9" spans="2:6" ht="47.25" x14ac:dyDescent="0.2">
      <c r="B9" s="961" t="s">
        <v>162</v>
      </c>
      <c r="C9" s="963" t="s">
        <v>18</v>
      </c>
      <c r="D9" s="93" t="s">
        <v>19</v>
      </c>
      <c r="E9" s="94" t="s">
        <v>73</v>
      </c>
      <c r="F9" s="96" t="s">
        <v>74</v>
      </c>
    </row>
    <row r="10" spans="2:6" ht="63" x14ac:dyDescent="0.2">
      <c r="B10" s="961"/>
      <c r="C10" s="963"/>
      <c r="D10" s="93" t="s">
        <v>20</v>
      </c>
      <c r="E10" s="94" t="s">
        <v>75</v>
      </c>
      <c r="F10" s="96" t="s">
        <v>74</v>
      </c>
    </row>
    <row r="11" spans="2:6" ht="47.25" x14ac:dyDescent="0.2">
      <c r="B11" s="961"/>
      <c r="C11" s="963" t="s">
        <v>21</v>
      </c>
      <c r="D11" s="93" t="s">
        <v>22</v>
      </c>
      <c r="E11" s="94" t="s">
        <v>76</v>
      </c>
      <c r="F11" s="96" t="s">
        <v>74</v>
      </c>
    </row>
    <row r="12" spans="2:6" ht="47.25" x14ac:dyDescent="0.2">
      <c r="B12" s="961"/>
      <c r="C12" s="963"/>
      <c r="D12" s="93" t="s">
        <v>23</v>
      </c>
      <c r="E12" s="94" t="s">
        <v>77</v>
      </c>
      <c r="F12" s="96" t="s">
        <v>74</v>
      </c>
    </row>
    <row r="13" spans="2:6" ht="31.5" x14ac:dyDescent="0.2">
      <c r="B13" s="961"/>
      <c r="C13" s="963" t="s">
        <v>24</v>
      </c>
      <c r="D13" s="93" t="s">
        <v>119</v>
      </c>
      <c r="E13" s="94" t="s">
        <v>122</v>
      </c>
      <c r="F13" s="96" t="s">
        <v>74</v>
      </c>
    </row>
    <row r="14" spans="2:6" ht="32.25" thickBot="1" x14ac:dyDescent="0.25">
      <c r="B14" s="964"/>
      <c r="C14" s="965"/>
      <c r="D14" s="97" t="s">
        <v>120</v>
      </c>
      <c r="E14" s="98" t="s">
        <v>121</v>
      </c>
      <c r="F14" s="99" t="s">
        <v>74</v>
      </c>
    </row>
    <row r="15" spans="2:6" ht="49.5" customHeight="1" x14ac:dyDescent="0.2">
      <c r="B15" s="957" t="s">
        <v>159</v>
      </c>
      <c r="C15" s="957"/>
      <c r="D15" s="957"/>
      <c r="E15" s="957"/>
      <c r="F15" s="957"/>
    </row>
    <row r="16" spans="2:6" ht="27" customHeight="1" x14ac:dyDescent="0.25">
      <c r="B16" s="100"/>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81B31-8A2D-47E5-8B08-A02195EDF883}">
  <dimension ref="B2:CT61"/>
  <sheetViews>
    <sheetView zoomScale="60" zoomScaleNormal="60" workbookViewId="0">
      <selection activeCell="AR58" sqref="AR58"/>
    </sheetView>
  </sheetViews>
  <sheetFormatPr baseColWidth="10" defaultRowHeight="15" x14ac:dyDescent="0.25"/>
  <cols>
    <col min="2" max="5" width="2.85546875" customWidth="1"/>
    <col min="6" max="6" width="5.42578125" customWidth="1"/>
    <col min="7" max="8" width="5.7109375" customWidth="1"/>
    <col min="9" max="46" width="2.85546875" customWidth="1"/>
    <col min="49" max="50" width="2.5703125" customWidth="1"/>
    <col min="51" max="51" width="3.5703125" customWidth="1"/>
    <col min="52" max="56" width="3" customWidth="1"/>
    <col min="57" max="93" width="2.5703125" customWidth="1"/>
    <col min="96" max="96" width="24.140625" customWidth="1"/>
    <col min="97" max="97" width="70.140625" customWidth="1"/>
    <col min="98" max="98" width="29.85546875" customWidth="1"/>
  </cols>
  <sheetData>
    <row r="2" spans="2:98" ht="9.75" customHeight="1" x14ac:dyDescent="0.35">
      <c r="B2" s="1099" t="s">
        <v>161</v>
      </c>
      <c r="C2" s="1099"/>
      <c r="D2" s="1099"/>
      <c r="E2" s="1099"/>
      <c r="F2" s="1099"/>
      <c r="G2" s="1099"/>
      <c r="H2" s="1099"/>
      <c r="I2" s="1099"/>
      <c r="J2" s="1100" t="s">
        <v>2</v>
      </c>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82"/>
      <c r="AO2" s="182"/>
      <c r="AP2" s="182"/>
      <c r="AQ2" s="182"/>
      <c r="AR2" s="182"/>
      <c r="AS2" s="182"/>
      <c r="AT2" s="182"/>
      <c r="AW2" s="1032" t="s">
        <v>160</v>
      </c>
      <c r="AX2" s="1032"/>
      <c r="AY2" s="1032"/>
      <c r="AZ2" s="1032"/>
      <c r="BA2" s="1032"/>
      <c r="BB2" s="1032"/>
      <c r="BC2" s="1032"/>
      <c r="BD2" s="1032"/>
      <c r="BE2" s="982" t="s">
        <v>2</v>
      </c>
      <c r="BF2" s="982"/>
      <c r="BG2" s="982"/>
      <c r="BH2" s="982"/>
      <c r="BI2" s="982"/>
      <c r="BJ2" s="982"/>
      <c r="BK2" s="982"/>
      <c r="BL2" s="982"/>
      <c r="BM2" s="982"/>
      <c r="BN2" s="982"/>
      <c r="BO2" s="982"/>
      <c r="BP2" s="982"/>
      <c r="BQ2" s="982"/>
      <c r="BR2" s="982"/>
      <c r="BS2" s="982"/>
      <c r="BT2" s="982"/>
      <c r="BU2" s="982"/>
      <c r="BV2" s="982"/>
      <c r="BW2" s="982"/>
      <c r="BX2" s="982"/>
      <c r="BY2" s="982"/>
      <c r="BZ2" s="982"/>
      <c r="CA2" s="982"/>
      <c r="CB2" s="982"/>
      <c r="CC2" s="982"/>
      <c r="CD2" s="982"/>
      <c r="CE2" s="982"/>
      <c r="CF2" s="982"/>
      <c r="CG2" s="982"/>
      <c r="CH2" s="982"/>
      <c r="CI2" s="181"/>
      <c r="CJ2" s="181"/>
      <c r="CK2" s="181"/>
      <c r="CL2" s="181"/>
      <c r="CM2" s="181"/>
      <c r="CN2" s="181"/>
      <c r="CO2" s="181"/>
      <c r="CR2" s="952" t="s">
        <v>55</v>
      </c>
      <c r="CS2" s="952"/>
      <c r="CT2" s="952"/>
    </row>
    <row r="3" spans="2:98" ht="9.75" customHeight="1" x14ac:dyDescent="0.35">
      <c r="B3" s="1099"/>
      <c r="C3" s="1099"/>
      <c r="D3" s="1099"/>
      <c r="E3" s="1099"/>
      <c r="F3" s="1099"/>
      <c r="G3" s="1099"/>
      <c r="H3" s="1099"/>
      <c r="I3" s="1099"/>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82"/>
      <c r="AO3" s="182"/>
      <c r="AP3" s="182"/>
      <c r="AQ3" s="182"/>
      <c r="AR3" s="182"/>
      <c r="AS3" s="182"/>
      <c r="AT3" s="182"/>
      <c r="AW3" s="1032"/>
      <c r="AX3" s="1032"/>
      <c r="AY3" s="1032"/>
      <c r="AZ3" s="1032"/>
      <c r="BA3" s="1032"/>
      <c r="BB3" s="1032"/>
      <c r="BC3" s="1032"/>
      <c r="BD3" s="1032"/>
      <c r="BE3" s="982"/>
      <c r="BF3" s="982"/>
      <c r="BG3" s="982"/>
      <c r="BH3" s="982"/>
      <c r="BI3" s="982"/>
      <c r="BJ3" s="982"/>
      <c r="BK3" s="982"/>
      <c r="BL3" s="982"/>
      <c r="BM3" s="982"/>
      <c r="BN3" s="982"/>
      <c r="BO3" s="982"/>
      <c r="BP3" s="982"/>
      <c r="BQ3" s="982"/>
      <c r="BR3" s="982"/>
      <c r="BS3" s="982"/>
      <c r="BT3" s="982"/>
      <c r="BU3" s="982"/>
      <c r="BV3" s="982"/>
      <c r="BW3" s="982"/>
      <c r="BX3" s="982"/>
      <c r="BY3" s="982"/>
      <c r="BZ3" s="982"/>
      <c r="CA3" s="982"/>
      <c r="CB3" s="982"/>
      <c r="CC3" s="982"/>
      <c r="CD3" s="982"/>
      <c r="CE3" s="982"/>
      <c r="CF3" s="982"/>
      <c r="CG3" s="982"/>
      <c r="CH3" s="982"/>
      <c r="CI3" s="181"/>
      <c r="CJ3" s="181"/>
      <c r="CK3" s="181"/>
      <c r="CL3" s="181"/>
      <c r="CM3" s="181"/>
      <c r="CN3" s="181"/>
      <c r="CO3" s="181"/>
      <c r="CR3" s="83"/>
      <c r="CS3" s="83"/>
      <c r="CT3" s="83"/>
    </row>
    <row r="4" spans="2:98" ht="9.75" customHeight="1" x14ac:dyDescent="0.35">
      <c r="B4" s="1099"/>
      <c r="C4" s="1099"/>
      <c r="D4" s="1099"/>
      <c r="E4" s="1099"/>
      <c r="F4" s="1099"/>
      <c r="G4" s="1099"/>
      <c r="H4" s="1099"/>
      <c r="I4" s="1099"/>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82"/>
      <c r="AO4" s="182"/>
      <c r="AP4" s="182"/>
      <c r="AQ4" s="182"/>
      <c r="AR4" s="182"/>
      <c r="AS4" s="182"/>
      <c r="AT4" s="182"/>
      <c r="AW4" s="1032"/>
      <c r="AX4" s="1032"/>
      <c r="AY4" s="1032"/>
      <c r="AZ4" s="1032"/>
      <c r="BA4" s="1032"/>
      <c r="BB4" s="1032"/>
      <c r="BC4" s="1032"/>
      <c r="BD4" s="1032"/>
      <c r="BE4" s="982"/>
      <c r="BF4" s="982"/>
      <c r="BG4" s="982"/>
      <c r="BH4" s="982"/>
      <c r="BI4" s="982"/>
      <c r="BJ4" s="982"/>
      <c r="BK4" s="982"/>
      <c r="BL4" s="982"/>
      <c r="BM4" s="982"/>
      <c r="BN4" s="982"/>
      <c r="BO4" s="982"/>
      <c r="BP4" s="982"/>
      <c r="BQ4" s="982"/>
      <c r="BR4" s="982"/>
      <c r="BS4" s="982"/>
      <c r="BT4" s="982"/>
      <c r="BU4" s="982"/>
      <c r="BV4" s="982"/>
      <c r="BW4" s="982"/>
      <c r="BX4" s="982"/>
      <c r="BY4" s="982"/>
      <c r="BZ4" s="982"/>
      <c r="CA4" s="982"/>
      <c r="CB4" s="982"/>
      <c r="CC4" s="982"/>
      <c r="CD4" s="982"/>
      <c r="CE4" s="982"/>
      <c r="CF4" s="982"/>
      <c r="CG4" s="982"/>
      <c r="CH4" s="982"/>
      <c r="CI4" s="181"/>
      <c r="CJ4" s="181"/>
      <c r="CK4" s="181"/>
      <c r="CL4" s="181"/>
      <c r="CM4" s="181"/>
      <c r="CN4" s="181"/>
      <c r="CO4" s="181"/>
      <c r="CR4" s="11"/>
      <c r="CS4" s="12" t="s">
        <v>52</v>
      </c>
      <c r="CT4" s="12" t="s">
        <v>4</v>
      </c>
    </row>
    <row r="5" spans="2:98" ht="9.75" customHeight="1" thickBot="1" x14ac:dyDescent="0.4">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R5" s="13" t="s">
        <v>51</v>
      </c>
      <c r="CS5" s="14" t="s">
        <v>102</v>
      </c>
      <c r="CT5" s="15">
        <v>0.2</v>
      </c>
    </row>
    <row r="6" spans="2:98" ht="9" customHeight="1" x14ac:dyDescent="0.35">
      <c r="B6" s="1101" t="s">
        <v>4</v>
      </c>
      <c r="C6" s="1101"/>
      <c r="D6" s="1102"/>
      <c r="E6" s="1022" t="s">
        <v>116</v>
      </c>
      <c r="F6" s="1023"/>
      <c r="G6" s="1023"/>
      <c r="H6" s="1023"/>
      <c r="I6" s="1024"/>
      <c r="J6" s="1057" t="s">
        <v>373</v>
      </c>
      <c r="K6" s="1058"/>
      <c r="L6" s="1058" t="s">
        <v>373</v>
      </c>
      <c r="M6" s="1058"/>
      <c r="N6" s="1058" t="s">
        <v>373</v>
      </c>
      <c r="O6" s="1059"/>
      <c r="P6" s="1057" t="s">
        <v>373</v>
      </c>
      <c r="Q6" s="1058"/>
      <c r="R6" s="1058" t="s">
        <v>373</v>
      </c>
      <c r="S6" s="1058"/>
      <c r="T6" s="1058" t="s">
        <v>373</v>
      </c>
      <c r="U6" s="1059"/>
      <c r="V6" s="1057" t="s">
        <v>373</v>
      </c>
      <c r="W6" s="1058"/>
      <c r="X6" s="1058" t="s">
        <v>373</v>
      </c>
      <c r="Y6" s="1058"/>
      <c r="Z6" s="1058" t="s">
        <v>373</v>
      </c>
      <c r="AA6" s="1059"/>
      <c r="AB6" s="1057" t="s">
        <v>373</v>
      </c>
      <c r="AC6" s="1058"/>
      <c r="AD6" s="1058" t="s">
        <v>373</v>
      </c>
      <c r="AE6" s="1058"/>
      <c r="AF6" s="1058" t="s">
        <v>373</v>
      </c>
      <c r="AG6" s="1059"/>
      <c r="AH6" s="1051" t="s">
        <v>373</v>
      </c>
      <c r="AI6" s="1052"/>
      <c r="AJ6" s="1052" t="s">
        <v>373</v>
      </c>
      <c r="AK6" s="1052"/>
      <c r="AL6" s="1052" t="s">
        <v>373</v>
      </c>
      <c r="AM6" s="1053"/>
      <c r="AN6" s="183"/>
      <c r="AO6" s="1090" t="s">
        <v>79</v>
      </c>
      <c r="AP6" s="1091"/>
      <c r="AQ6" s="1091"/>
      <c r="AR6" s="1091"/>
      <c r="AS6" s="1091"/>
      <c r="AT6" s="1092"/>
      <c r="AW6" s="983" t="s">
        <v>4</v>
      </c>
      <c r="AX6" s="983"/>
      <c r="AY6" s="984"/>
      <c r="AZ6" s="972" t="s">
        <v>116</v>
      </c>
      <c r="BA6" s="973"/>
      <c r="BB6" s="973"/>
      <c r="BC6" s="973"/>
      <c r="BD6" s="974"/>
      <c r="BE6" s="184" t="s">
        <v>373</v>
      </c>
      <c r="BF6" s="185" t="s">
        <v>373</v>
      </c>
      <c r="BG6" s="185" t="s">
        <v>373</v>
      </c>
      <c r="BH6" s="185" t="s">
        <v>373</v>
      </c>
      <c r="BI6" s="185" t="s">
        <v>373</v>
      </c>
      <c r="BJ6" s="186" t="s">
        <v>373</v>
      </c>
      <c r="BK6" s="184" t="s">
        <v>373</v>
      </c>
      <c r="BL6" s="185" t="s">
        <v>373</v>
      </c>
      <c r="BM6" s="185" t="s">
        <v>373</v>
      </c>
      <c r="BN6" s="185" t="s">
        <v>373</v>
      </c>
      <c r="BO6" s="185" t="s">
        <v>373</v>
      </c>
      <c r="BP6" s="186" t="s">
        <v>373</v>
      </c>
      <c r="BQ6" s="184" t="s">
        <v>373</v>
      </c>
      <c r="BR6" s="185" t="s">
        <v>373</v>
      </c>
      <c r="BS6" s="185" t="s">
        <v>373</v>
      </c>
      <c r="BT6" s="185" t="s">
        <v>373</v>
      </c>
      <c r="BU6" s="185" t="s">
        <v>373</v>
      </c>
      <c r="BV6" s="186" t="s">
        <v>373</v>
      </c>
      <c r="BW6" s="184" t="s">
        <v>373</v>
      </c>
      <c r="BX6" s="185" t="s">
        <v>373</v>
      </c>
      <c r="BY6" s="185" t="s">
        <v>373</v>
      </c>
      <c r="BZ6" s="185" t="s">
        <v>373</v>
      </c>
      <c r="CA6" s="185" t="s">
        <v>373</v>
      </c>
      <c r="CB6" s="186" t="s">
        <v>373</v>
      </c>
      <c r="CC6" s="187" t="s">
        <v>373</v>
      </c>
      <c r="CD6" s="188" t="s">
        <v>373</v>
      </c>
      <c r="CE6" s="188" t="s">
        <v>373</v>
      </c>
      <c r="CF6" s="188" t="s">
        <v>373</v>
      </c>
      <c r="CG6" s="188" t="s">
        <v>373</v>
      </c>
      <c r="CH6" s="189" t="s">
        <v>373</v>
      </c>
      <c r="CI6" s="181"/>
      <c r="CJ6" s="985" t="s">
        <v>79</v>
      </c>
      <c r="CK6" s="986"/>
      <c r="CL6" s="986"/>
      <c r="CM6" s="986"/>
      <c r="CN6" s="986"/>
      <c r="CO6" s="987"/>
      <c r="CR6" s="16" t="s">
        <v>53</v>
      </c>
      <c r="CS6" s="17" t="s">
        <v>103</v>
      </c>
      <c r="CT6" s="18">
        <v>0.4</v>
      </c>
    </row>
    <row r="7" spans="2:98" ht="9" customHeight="1" x14ac:dyDescent="0.35">
      <c r="B7" s="1101"/>
      <c r="C7" s="1101"/>
      <c r="D7" s="1102"/>
      <c r="E7" s="1025"/>
      <c r="F7" s="1026"/>
      <c r="G7" s="1026"/>
      <c r="H7" s="1026"/>
      <c r="I7" s="1027"/>
      <c r="J7" s="966"/>
      <c r="K7" s="967"/>
      <c r="L7" s="967"/>
      <c r="M7" s="967"/>
      <c r="N7" s="967"/>
      <c r="O7" s="970"/>
      <c r="P7" s="966"/>
      <c r="Q7" s="967"/>
      <c r="R7" s="967"/>
      <c r="S7" s="967"/>
      <c r="T7" s="967"/>
      <c r="U7" s="970"/>
      <c r="V7" s="966"/>
      <c r="W7" s="967"/>
      <c r="X7" s="967"/>
      <c r="Y7" s="967"/>
      <c r="Z7" s="967"/>
      <c r="AA7" s="970"/>
      <c r="AB7" s="966"/>
      <c r="AC7" s="967"/>
      <c r="AD7" s="967"/>
      <c r="AE7" s="967"/>
      <c r="AF7" s="967"/>
      <c r="AG7" s="970"/>
      <c r="AH7" s="1033"/>
      <c r="AI7" s="1034"/>
      <c r="AJ7" s="1034"/>
      <c r="AK7" s="1034"/>
      <c r="AL7" s="1034"/>
      <c r="AM7" s="1037"/>
      <c r="AN7" s="182"/>
      <c r="AO7" s="1093"/>
      <c r="AP7" s="1094"/>
      <c r="AQ7" s="1094"/>
      <c r="AR7" s="1094"/>
      <c r="AS7" s="1094"/>
      <c r="AT7" s="1095"/>
      <c r="AW7" s="983"/>
      <c r="AX7" s="983"/>
      <c r="AY7" s="984"/>
      <c r="AZ7" s="975"/>
      <c r="BA7" s="976"/>
      <c r="BB7" s="976"/>
      <c r="BC7" s="976"/>
      <c r="BD7" s="977"/>
      <c r="BE7" s="190" t="s">
        <v>373</v>
      </c>
      <c r="BF7" s="191" t="s">
        <v>373</v>
      </c>
      <c r="BG7" s="191" t="s">
        <v>373</v>
      </c>
      <c r="BH7" s="191" t="s">
        <v>373</v>
      </c>
      <c r="BI7" s="191" t="s">
        <v>373</v>
      </c>
      <c r="BJ7" s="192" t="s">
        <v>373</v>
      </c>
      <c r="BK7" s="190" t="s">
        <v>373</v>
      </c>
      <c r="BL7" s="191" t="s">
        <v>373</v>
      </c>
      <c r="BM7" s="191" t="s">
        <v>373</v>
      </c>
      <c r="BN7" s="191" t="s">
        <v>373</v>
      </c>
      <c r="BO7" s="191" t="s">
        <v>373</v>
      </c>
      <c r="BP7" s="192" t="s">
        <v>373</v>
      </c>
      <c r="BQ7" s="190" t="s">
        <v>373</v>
      </c>
      <c r="BR7" s="191" t="s">
        <v>373</v>
      </c>
      <c r="BS7" s="191" t="s">
        <v>373</v>
      </c>
      <c r="BT7" s="191" t="s">
        <v>373</v>
      </c>
      <c r="BU7" s="191" t="s">
        <v>373</v>
      </c>
      <c r="BV7" s="192" t="s">
        <v>373</v>
      </c>
      <c r="BW7" s="190" t="s">
        <v>373</v>
      </c>
      <c r="BX7" s="191" t="s">
        <v>373</v>
      </c>
      <c r="BY7" s="191" t="s">
        <v>373</v>
      </c>
      <c r="BZ7" s="191" t="s">
        <v>373</v>
      </c>
      <c r="CA7" s="191" t="s">
        <v>373</v>
      </c>
      <c r="CB7" s="192" t="s">
        <v>373</v>
      </c>
      <c r="CC7" s="193" t="s">
        <v>373</v>
      </c>
      <c r="CD7" s="194" t="s">
        <v>373</v>
      </c>
      <c r="CE7" s="194" t="s">
        <v>373</v>
      </c>
      <c r="CF7" s="194" t="s">
        <v>373</v>
      </c>
      <c r="CG7" s="194" t="s">
        <v>373</v>
      </c>
      <c r="CH7" s="195" t="s">
        <v>373</v>
      </c>
      <c r="CI7" s="181"/>
      <c r="CJ7" s="988"/>
      <c r="CK7" s="989"/>
      <c r="CL7" s="989"/>
      <c r="CM7" s="989"/>
      <c r="CN7" s="989"/>
      <c r="CO7" s="990"/>
      <c r="CR7" s="19" t="s">
        <v>107</v>
      </c>
      <c r="CS7" s="17" t="s">
        <v>104</v>
      </c>
      <c r="CT7" s="18">
        <v>0.6</v>
      </c>
    </row>
    <row r="8" spans="2:98" ht="9" customHeight="1" x14ac:dyDescent="0.35">
      <c r="B8" s="1101"/>
      <c r="C8" s="1101"/>
      <c r="D8" s="1102"/>
      <c r="E8" s="1025"/>
      <c r="F8" s="1026"/>
      <c r="G8" s="1026"/>
      <c r="H8" s="1026"/>
      <c r="I8" s="1027"/>
      <c r="J8" s="966" t="s">
        <v>373</v>
      </c>
      <c r="K8" s="967"/>
      <c r="L8" s="967" t="s">
        <v>373</v>
      </c>
      <c r="M8" s="967"/>
      <c r="N8" s="967" t="s">
        <v>373</v>
      </c>
      <c r="O8" s="970"/>
      <c r="P8" s="966" t="s">
        <v>373</v>
      </c>
      <c r="Q8" s="967"/>
      <c r="R8" s="967" t="s">
        <v>373</v>
      </c>
      <c r="S8" s="967"/>
      <c r="T8" s="967" t="s">
        <v>373</v>
      </c>
      <c r="U8" s="970"/>
      <c r="V8" s="966" t="s">
        <v>373</v>
      </c>
      <c r="W8" s="967"/>
      <c r="X8" s="967" t="s">
        <v>373</v>
      </c>
      <c r="Y8" s="967"/>
      <c r="Z8" s="967" t="s">
        <v>373</v>
      </c>
      <c r="AA8" s="970"/>
      <c r="AB8" s="966" t="s">
        <v>373</v>
      </c>
      <c r="AC8" s="967"/>
      <c r="AD8" s="967" t="s">
        <v>373</v>
      </c>
      <c r="AE8" s="967"/>
      <c r="AF8" s="967" t="s">
        <v>373</v>
      </c>
      <c r="AG8" s="970"/>
      <c r="AH8" s="1033" t="s">
        <v>373</v>
      </c>
      <c r="AI8" s="1034"/>
      <c r="AJ8" s="1034" t="s">
        <v>373</v>
      </c>
      <c r="AK8" s="1034"/>
      <c r="AL8" s="1034" t="s">
        <v>373</v>
      </c>
      <c r="AM8" s="1037"/>
      <c r="AN8" s="182"/>
      <c r="AO8" s="1093"/>
      <c r="AP8" s="1094"/>
      <c r="AQ8" s="1094"/>
      <c r="AR8" s="1094"/>
      <c r="AS8" s="1094"/>
      <c r="AT8" s="1095"/>
      <c r="AW8" s="983"/>
      <c r="AX8" s="983"/>
      <c r="AY8" s="984"/>
      <c r="AZ8" s="975"/>
      <c r="BA8" s="976"/>
      <c r="BB8" s="976"/>
      <c r="BC8" s="976"/>
      <c r="BD8" s="977"/>
      <c r="BE8" s="190" t="s">
        <v>373</v>
      </c>
      <c r="BF8" s="191" t="s">
        <v>373</v>
      </c>
      <c r="BG8" s="191" t="s">
        <v>373</v>
      </c>
      <c r="BH8" s="191" t="s">
        <v>373</v>
      </c>
      <c r="BI8" s="191" t="s">
        <v>373</v>
      </c>
      <c r="BJ8" s="192" t="s">
        <v>373</v>
      </c>
      <c r="BK8" s="190" t="s">
        <v>373</v>
      </c>
      <c r="BL8" s="191" t="s">
        <v>373</v>
      </c>
      <c r="BM8" s="191" t="s">
        <v>373</v>
      </c>
      <c r="BN8" s="191" t="s">
        <v>373</v>
      </c>
      <c r="BO8" s="191" t="s">
        <v>373</v>
      </c>
      <c r="BP8" s="192" t="s">
        <v>373</v>
      </c>
      <c r="BQ8" s="190" t="s">
        <v>373</v>
      </c>
      <c r="BR8" s="191" t="s">
        <v>373</v>
      </c>
      <c r="BS8" s="191" t="s">
        <v>373</v>
      </c>
      <c r="BT8" s="191" t="s">
        <v>373</v>
      </c>
      <c r="BU8" s="191" t="s">
        <v>373</v>
      </c>
      <c r="BV8" s="192" t="s">
        <v>373</v>
      </c>
      <c r="BW8" s="190" t="s">
        <v>373</v>
      </c>
      <c r="BX8" s="191" t="s">
        <v>373</v>
      </c>
      <c r="BY8" s="191" t="s">
        <v>373</v>
      </c>
      <c r="BZ8" s="191" t="s">
        <v>373</v>
      </c>
      <c r="CA8" s="191" t="s">
        <v>373</v>
      </c>
      <c r="CB8" s="192" t="s">
        <v>373</v>
      </c>
      <c r="CC8" s="193" t="s">
        <v>373</v>
      </c>
      <c r="CD8" s="194" t="s">
        <v>373</v>
      </c>
      <c r="CE8" s="194" t="s">
        <v>373</v>
      </c>
      <c r="CF8" s="194" t="s">
        <v>373</v>
      </c>
      <c r="CG8" s="194" t="s">
        <v>373</v>
      </c>
      <c r="CH8" s="195" t="s">
        <v>373</v>
      </c>
      <c r="CI8" s="181"/>
      <c r="CJ8" s="988"/>
      <c r="CK8" s="989"/>
      <c r="CL8" s="989"/>
      <c r="CM8" s="989"/>
      <c r="CN8" s="989"/>
      <c r="CO8" s="990"/>
      <c r="CR8" s="20" t="s">
        <v>6</v>
      </c>
      <c r="CS8" s="17" t="s">
        <v>105</v>
      </c>
      <c r="CT8" s="18">
        <v>0.8</v>
      </c>
    </row>
    <row r="9" spans="2:98" ht="9" customHeight="1" x14ac:dyDescent="0.35">
      <c r="B9" s="1101"/>
      <c r="C9" s="1101"/>
      <c r="D9" s="1102"/>
      <c r="E9" s="1025"/>
      <c r="F9" s="1026"/>
      <c r="G9" s="1026"/>
      <c r="H9" s="1026"/>
      <c r="I9" s="1027"/>
      <c r="J9" s="966"/>
      <c r="K9" s="967"/>
      <c r="L9" s="967"/>
      <c r="M9" s="967"/>
      <c r="N9" s="967"/>
      <c r="O9" s="970"/>
      <c r="P9" s="966"/>
      <c r="Q9" s="967"/>
      <c r="R9" s="967"/>
      <c r="S9" s="967"/>
      <c r="T9" s="967"/>
      <c r="U9" s="970"/>
      <c r="V9" s="966"/>
      <c r="W9" s="967"/>
      <c r="X9" s="967"/>
      <c r="Y9" s="967"/>
      <c r="Z9" s="967"/>
      <c r="AA9" s="970"/>
      <c r="AB9" s="966"/>
      <c r="AC9" s="967"/>
      <c r="AD9" s="967"/>
      <c r="AE9" s="967"/>
      <c r="AF9" s="967"/>
      <c r="AG9" s="970"/>
      <c r="AH9" s="1033"/>
      <c r="AI9" s="1034"/>
      <c r="AJ9" s="1034"/>
      <c r="AK9" s="1034"/>
      <c r="AL9" s="1034"/>
      <c r="AM9" s="1037"/>
      <c r="AN9" s="182"/>
      <c r="AO9" s="1093"/>
      <c r="AP9" s="1094"/>
      <c r="AQ9" s="1094"/>
      <c r="AR9" s="1094"/>
      <c r="AS9" s="1094"/>
      <c r="AT9" s="1095"/>
      <c r="AW9" s="983"/>
      <c r="AX9" s="983"/>
      <c r="AY9" s="984"/>
      <c r="AZ9" s="975"/>
      <c r="BA9" s="976"/>
      <c r="BB9" s="976"/>
      <c r="BC9" s="976"/>
      <c r="BD9" s="977"/>
      <c r="BE9" s="190" t="s">
        <v>373</v>
      </c>
      <c r="BF9" s="191" t="s">
        <v>373</v>
      </c>
      <c r="BG9" s="191" t="s">
        <v>373</v>
      </c>
      <c r="BH9" s="191" t="s">
        <v>373</v>
      </c>
      <c r="BI9" s="191" t="s">
        <v>373</v>
      </c>
      <c r="BJ9" s="192" t="s">
        <v>373</v>
      </c>
      <c r="BK9" s="190" t="s">
        <v>373</v>
      </c>
      <c r="BL9" s="191" t="s">
        <v>373</v>
      </c>
      <c r="BM9" s="191" t="s">
        <v>373</v>
      </c>
      <c r="BN9" s="191" t="s">
        <v>373</v>
      </c>
      <c r="BO9" s="191" t="s">
        <v>373</v>
      </c>
      <c r="BP9" s="192" t="s">
        <v>373</v>
      </c>
      <c r="BQ9" s="190" t="s">
        <v>373</v>
      </c>
      <c r="BR9" s="191" t="s">
        <v>373</v>
      </c>
      <c r="BS9" s="191" t="s">
        <v>373</v>
      </c>
      <c r="BT9" s="191" t="s">
        <v>373</v>
      </c>
      <c r="BU9" s="191" t="s">
        <v>373</v>
      </c>
      <c r="BV9" s="192" t="s">
        <v>373</v>
      </c>
      <c r="BW9" s="190" t="s">
        <v>373</v>
      </c>
      <c r="BX9" s="191" t="s">
        <v>373</v>
      </c>
      <c r="BY9" s="191" t="s">
        <v>373</v>
      </c>
      <c r="BZ9" s="191" t="s">
        <v>373</v>
      </c>
      <c r="CA9" s="191" t="s">
        <v>373</v>
      </c>
      <c r="CB9" s="192" t="s">
        <v>373</v>
      </c>
      <c r="CC9" s="193" t="s">
        <v>373</v>
      </c>
      <c r="CD9" s="194" t="s">
        <v>373</v>
      </c>
      <c r="CE9" s="194" t="s">
        <v>373</v>
      </c>
      <c r="CF9" s="194" t="s">
        <v>373</v>
      </c>
      <c r="CG9" s="194" t="s">
        <v>373</v>
      </c>
      <c r="CH9" s="195" t="s">
        <v>373</v>
      </c>
      <c r="CI9" s="181"/>
      <c r="CJ9" s="988"/>
      <c r="CK9" s="989"/>
      <c r="CL9" s="989"/>
      <c r="CM9" s="989"/>
      <c r="CN9" s="989"/>
      <c r="CO9" s="990"/>
      <c r="CR9" s="21" t="s">
        <v>54</v>
      </c>
      <c r="CS9" s="17" t="s">
        <v>106</v>
      </c>
      <c r="CT9" s="18">
        <v>1</v>
      </c>
    </row>
    <row r="10" spans="2:98" ht="9" customHeight="1" x14ac:dyDescent="0.35">
      <c r="B10" s="1101"/>
      <c r="C10" s="1101"/>
      <c r="D10" s="1102"/>
      <c r="E10" s="1025"/>
      <c r="F10" s="1026"/>
      <c r="G10" s="1026"/>
      <c r="H10" s="1026"/>
      <c r="I10" s="1027"/>
      <c r="J10" s="966" t="s">
        <v>373</v>
      </c>
      <c r="K10" s="967"/>
      <c r="L10" s="967" t="s">
        <v>373</v>
      </c>
      <c r="M10" s="967"/>
      <c r="N10" s="967" t="s">
        <v>373</v>
      </c>
      <c r="O10" s="970"/>
      <c r="P10" s="966" t="s">
        <v>373</v>
      </c>
      <c r="Q10" s="967"/>
      <c r="R10" s="967" t="s">
        <v>373</v>
      </c>
      <c r="S10" s="967"/>
      <c r="T10" s="967" t="s">
        <v>373</v>
      </c>
      <c r="U10" s="970"/>
      <c r="V10" s="966" t="s">
        <v>373</v>
      </c>
      <c r="W10" s="967"/>
      <c r="X10" s="967" t="s">
        <v>373</v>
      </c>
      <c r="Y10" s="967"/>
      <c r="Z10" s="967" t="s">
        <v>373</v>
      </c>
      <c r="AA10" s="970"/>
      <c r="AB10" s="966" t="s">
        <v>373</v>
      </c>
      <c r="AC10" s="967"/>
      <c r="AD10" s="967" t="s">
        <v>373</v>
      </c>
      <c r="AE10" s="967"/>
      <c r="AF10" s="967" t="s">
        <v>373</v>
      </c>
      <c r="AG10" s="970"/>
      <c r="AH10" s="1033" t="s">
        <v>373</v>
      </c>
      <c r="AI10" s="1034"/>
      <c r="AJ10" s="1034" t="s">
        <v>373</v>
      </c>
      <c r="AK10" s="1034"/>
      <c r="AL10" s="1034" t="s">
        <v>373</v>
      </c>
      <c r="AM10" s="1037"/>
      <c r="AN10" s="182"/>
      <c r="AO10" s="1093"/>
      <c r="AP10" s="1094"/>
      <c r="AQ10" s="1094"/>
      <c r="AR10" s="1094"/>
      <c r="AS10" s="1094"/>
      <c r="AT10" s="1095"/>
      <c r="AW10" s="983"/>
      <c r="AX10" s="983"/>
      <c r="AY10" s="984"/>
      <c r="AZ10" s="975"/>
      <c r="BA10" s="976"/>
      <c r="BB10" s="976"/>
      <c r="BC10" s="976"/>
      <c r="BD10" s="977"/>
      <c r="BE10" s="190" t="s">
        <v>373</v>
      </c>
      <c r="BF10" s="191" t="s">
        <v>373</v>
      </c>
      <c r="BG10" s="191" t="s">
        <v>373</v>
      </c>
      <c r="BH10" s="191" t="s">
        <v>373</v>
      </c>
      <c r="BI10" s="191" t="s">
        <v>373</v>
      </c>
      <c r="BJ10" s="192" t="s">
        <v>373</v>
      </c>
      <c r="BK10" s="190" t="s">
        <v>373</v>
      </c>
      <c r="BL10" s="191" t="s">
        <v>373</v>
      </c>
      <c r="BM10" s="191" t="s">
        <v>373</v>
      </c>
      <c r="BN10" s="191" t="s">
        <v>373</v>
      </c>
      <c r="BO10" s="191" t="s">
        <v>373</v>
      </c>
      <c r="BP10" s="192" t="s">
        <v>373</v>
      </c>
      <c r="BQ10" s="190" t="s">
        <v>373</v>
      </c>
      <c r="BR10" s="191" t="s">
        <v>373</v>
      </c>
      <c r="BS10" s="191" t="s">
        <v>373</v>
      </c>
      <c r="BT10" s="191" t="s">
        <v>373</v>
      </c>
      <c r="BU10" s="191" t="s">
        <v>373</v>
      </c>
      <c r="BV10" s="192" t="s">
        <v>373</v>
      </c>
      <c r="BW10" s="190" t="s">
        <v>373</v>
      </c>
      <c r="BX10" s="191" t="s">
        <v>373</v>
      </c>
      <c r="BY10" s="191" t="s">
        <v>373</v>
      </c>
      <c r="BZ10" s="191" t="s">
        <v>373</v>
      </c>
      <c r="CA10" s="191" t="s">
        <v>373</v>
      </c>
      <c r="CB10" s="192" t="s">
        <v>373</v>
      </c>
      <c r="CC10" s="193" t="s">
        <v>373</v>
      </c>
      <c r="CD10" s="194" t="s">
        <v>373</v>
      </c>
      <c r="CE10" s="194" t="s">
        <v>373</v>
      </c>
      <c r="CF10" s="194" t="s">
        <v>373</v>
      </c>
      <c r="CG10" s="194" t="s">
        <v>373</v>
      </c>
      <c r="CH10" s="195" t="s">
        <v>373</v>
      </c>
      <c r="CI10" s="181"/>
      <c r="CJ10" s="988"/>
      <c r="CK10" s="989"/>
      <c r="CL10" s="989"/>
      <c r="CM10" s="989"/>
      <c r="CN10" s="989"/>
      <c r="CO10" s="990"/>
    </row>
    <row r="11" spans="2:98" ht="9" customHeight="1" x14ac:dyDescent="0.35">
      <c r="B11" s="1101"/>
      <c r="C11" s="1101"/>
      <c r="D11" s="1102"/>
      <c r="E11" s="1025"/>
      <c r="F11" s="1026"/>
      <c r="G11" s="1026"/>
      <c r="H11" s="1026"/>
      <c r="I11" s="1027"/>
      <c r="J11" s="966"/>
      <c r="K11" s="967"/>
      <c r="L11" s="967"/>
      <c r="M11" s="967"/>
      <c r="N11" s="967"/>
      <c r="O11" s="970"/>
      <c r="P11" s="966"/>
      <c r="Q11" s="967"/>
      <c r="R11" s="967"/>
      <c r="S11" s="967"/>
      <c r="T11" s="967"/>
      <c r="U11" s="970"/>
      <c r="V11" s="966"/>
      <c r="W11" s="967"/>
      <c r="X11" s="967"/>
      <c r="Y11" s="967"/>
      <c r="Z11" s="967"/>
      <c r="AA11" s="970"/>
      <c r="AB11" s="966"/>
      <c r="AC11" s="967"/>
      <c r="AD11" s="967"/>
      <c r="AE11" s="967"/>
      <c r="AF11" s="967"/>
      <c r="AG11" s="970"/>
      <c r="AH11" s="1033"/>
      <c r="AI11" s="1034"/>
      <c r="AJ11" s="1034"/>
      <c r="AK11" s="1034"/>
      <c r="AL11" s="1034"/>
      <c r="AM11" s="1037"/>
      <c r="AN11" s="182"/>
      <c r="AO11" s="1093"/>
      <c r="AP11" s="1094"/>
      <c r="AQ11" s="1094"/>
      <c r="AR11" s="1094"/>
      <c r="AS11" s="1094"/>
      <c r="AT11" s="1095"/>
      <c r="AW11" s="983"/>
      <c r="AX11" s="983"/>
      <c r="AY11" s="984"/>
      <c r="AZ11" s="975"/>
      <c r="BA11" s="976"/>
      <c r="BB11" s="976"/>
      <c r="BC11" s="976"/>
      <c r="BD11" s="977"/>
      <c r="BE11" s="190" t="s">
        <v>373</v>
      </c>
      <c r="BF11" s="191" t="s">
        <v>373</v>
      </c>
      <c r="BG11" s="191" t="s">
        <v>373</v>
      </c>
      <c r="BH11" s="191" t="s">
        <v>373</v>
      </c>
      <c r="BI11" s="191" t="s">
        <v>373</v>
      </c>
      <c r="BJ11" s="192" t="s">
        <v>373</v>
      </c>
      <c r="BK11" s="190" t="s">
        <v>373</v>
      </c>
      <c r="BL11" s="191" t="s">
        <v>373</v>
      </c>
      <c r="BM11" s="191" t="s">
        <v>373</v>
      </c>
      <c r="BN11" s="191" t="s">
        <v>373</v>
      </c>
      <c r="BO11" s="191" t="s">
        <v>373</v>
      </c>
      <c r="BP11" s="192" t="s">
        <v>373</v>
      </c>
      <c r="BQ11" s="190" t="s">
        <v>373</v>
      </c>
      <c r="BR11" s="191" t="s">
        <v>373</v>
      </c>
      <c r="BS11" s="191" t="s">
        <v>373</v>
      </c>
      <c r="BT11" s="191" t="s">
        <v>373</v>
      </c>
      <c r="BU11" s="191" t="s">
        <v>373</v>
      </c>
      <c r="BV11" s="192" t="s">
        <v>373</v>
      </c>
      <c r="BW11" s="190" t="s">
        <v>373</v>
      </c>
      <c r="BX11" s="191" t="s">
        <v>373</v>
      </c>
      <c r="BY11" s="191" t="s">
        <v>373</v>
      </c>
      <c r="BZ11" s="191" t="s">
        <v>373</v>
      </c>
      <c r="CA11" s="191" t="s">
        <v>373</v>
      </c>
      <c r="CB11" s="192" t="s">
        <v>373</v>
      </c>
      <c r="CC11" s="193" t="s">
        <v>373</v>
      </c>
      <c r="CD11" s="194" t="s">
        <v>373</v>
      </c>
      <c r="CE11" s="194" t="s">
        <v>373</v>
      </c>
      <c r="CF11" s="194" t="s">
        <v>373</v>
      </c>
      <c r="CG11" s="194" t="s">
        <v>373</v>
      </c>
      <c r="CH11" s="195" t="s">
        <v>373</v>
      </c>
      <c r="CI11" s="181"/>
      <c r="CJ11" s="988"/>
      <c r="CK11" s="989"/>
      <c r="CL11" s="989"/>
      <c r="CM11" s="989"/>
      <c r="CN11" s="989"/>
      <c r="CO11" s="990"/>
    </row>
    <row r="12" spans="2:98" ht="9" customHeight="1" x14ac:dyDescent="0.35">
      <c r="B12" s="1101"/>
      <c r="C12" s="1101"/>
      <c r="D12" s="1102"/>
      <c r="E12" s="1025"/>
      <c r="F12" s="1026"/>
      <c r="G12" s="1026"/>
      <c r="H12" s="1026"/>
      <c r="I12" s="1027"/>
      <c r="J12" s="966" t="s">
        <v>373</v>
      </c>
      <c r="K12" s="967"/>
      <c r="L12" s="967" t="s">
        <v>373</v>
      </c>
      <c r="M12" s="967"/>
      <c r="N12" s="967" t="s">
        <v>373</v>
      </c>
      <c r="O12" s="970"/>
      <c r="P12" s="966" t="s">
        <v>373</v>
      </c>
      <c r="Q12" s="967"/>
      <c r="R12" s="967" t="s">
        <v>373</v>
      </c>
      <c r="S12" s="967"/>
      <c r="T12" s="967" t="s">
        <v>373</v>
      </c>
      <c r="U12" s="970"/>
      <c r="V12" s="966" t="s">
        <v>373</v>
      </c>
      <c r="W12" s="967"/>
      <c r="X12" s="967" t="s">
        <v>373</v>
      </c>
      <c r="Y12" s="967"/>
      <c r="Z12" s="967" t="s">
        <v>373</v>
      </c>
      <c r="AA12" s="970"/>
      <c r="AB12" s="966" t="s">
        <v>373</v>
      </c>
      <c r="AC12" s="967"/>
      <c r="AD12" s="967" t="s">
        <v>373</v>
      </c>
      <c r="AE12" s="967"/>
      <c r="AF12" s="967" t="s">
        <v>373</v>
      </c>
      <c r="AG12" s="970"/>
      <c r="AH12" s="1033" t="s">
        <v>373</v>
      </c>
      <c r="AI12" s="1034"/>
      <c r="AJ12" s="1034" t="s">
        <v>373</v>
      </c>
      <c r="AK12" s="1034"/>
      <c r="AL12" s="1034" t="s">
        <v>373</v>
      </c>
      <c r="AM12" s="1037"/>
      <c r="AN12" s="182"/>
      <c r="AO12" s="1093"/>
      <c r="AP12" s="1094"/>
      <c r="AQ12" s="1094"/>
      <c r="AR12" s="1094"/>
      <c r="AS12" s="1094"/>
      <c r="AT12" s="1095"/>
      <c r="AW12" s="983"/>
      <c r="AX12" s="983"/>
      <c r="AY12" s="984"/>
      <c r="AZ12" s="975"/>
      <c r="BA12" s="976"/>
      <c r="BB12" s="976"/>
      <c r="BC12" s="976"/>
      <c r="BD12" s="977"/>
      <c r="BE12" s="190" t="s">
        <v>373</v>
      </c>
      <c r="BF12" s="191" t="s">
        <v>373</v>
      </c>
      <c r="BG12" s="191" t="s">
        <v>373</v>
      </c>
      <c r="BH12" s="191" t="s">
        <v>373</v>
      </c>
      <c r="BI12" s="191" t="s">
        <v>373</v>
      </c>
      <c r="BJ12" s="192" t="s">
        <v>373</v>
      </c>
      <c r="BK12" s="190" t="s">
        <v>373</v>
      </c>
      <c r="BL12" s="191" t="s">
        <v>373</v>
      </c>
      <c r="BM12" s="191" t="s">
        <v>373</v>
      </c>
      <c r="BN12" s="191" t="s">
        <v>373</v>
      </c>
      <c r="BO12" s="191" t="s">
        <v>373</v>
      </c>
      <c r="BP12" s="192" t="s">
        <v>373</v>
      </c>
      <c r="BQ12" s="190" t="s">
        <v>373</v>
      </c>
      <c r="BR12" s="191" t="s">
        <v>373</v>
      </c>
      <c r="BS12" s="191" t="s">
        <v>373</v>
      </c>
      <c r="BT12" s="191" t="s">
        <v>373</v>
      </c>
      <c r="BU12" s="191" t="s">
        <v>373</v>
      </c>
      <c r="BV12" s="192" t="s">
        <v>373</v>
      </c>
      <c r="BW12" s="190" t="s">
        <v>373</v>
      </c>
      <c r="BX12" s="191" t="s">
        <v>373</v>
      </c>
      <c r="BY12" s="191" t="s">
        <v>373</v>
      </c>
      <c r="BZ12" s="191" t="s">
        <v>373</v>
      </c>
      <c r="CA12" s="191" t="s">
        <v>373</v>
      </c>
      <c r="CB12" s="192" t="s">
        <v>373</v>
      </c>
      <c r="CC12" s="193" t="s">
        <v>373</v>
      </c>
      <c r="CD12" s="194" t="s">
        <v>373</v>
      </c>
      <c r="CE12" s="194" t="s">
        <v>373</v>
      </c>
      <c r="CF12" s="194" t="s">
        <v>373</v>
      </c>
      <c r="CG12" s="194" t="s">
        <v>373</v>
      </c>
      <c r="CH12" s="195" t="s">
        <v>373</v>
      </c>
      <c r="CI12" s="181"/>
      <c r="CJ12" s="988"/>
      <c r="CK12" s="989"/>
      <c r="CL12" s="989"/>
      <c r="CM12" s="989"/>
      <c r="CN12" s="989"/>
      <c r="CO12" s="990"/>
    </row>
    <row r="13" spans="2:98" ht="9" customHeight="1" thickBot="1" x14ac:dyDescent="0.4">
      <c r="B13" s="1101"/>
      <c r="C13" s="1101"/>
      <c r="D13" s="1102"/>
      <c r="E13" s="1028"/>
      <c r="F13" s="1029"/>
      <c r="G13" s="1029"/>
      <c r="H13" s="1029"/>
      <c r="I13" s="1030"/>
      <c r="J13" s="968"/>
      <c r="K13" s="969"/>
      <c r="L13" s="969"/>
      <c r="M13" s="969"/>
      <c r="N13" s="969"/>
      <c r="O13" s="971"/>
      <c r="P13" s="968"/>
      <c r="Q13" s="969"/>
      <c r="R13" s="969"/>
      <c r="S13" s="969"/>
      <c r="T13" s="969"/>
      <c r="U13" s="971"/>
      <c r="V13" s="968"/>
      <c r="W13" s="969"/>
      <c r="X13" s="969"/>
      <c r="Y13" s="969"/>
      <c r="Z13" s="969"/>
      <c r="AA13" s="971"/>
      <c r="AB13" s="968"/>
      <c r="AC13" s="969"/>
      <c r="AD13" s="969"/>
      <c r="AE13" s="969"/>
      <c r="AF13" s="969"/>
      <c r="AG13" s="971"/>
      <c r="AH13" s="1035"/>
      <c r="AI13" s="1036"/>
      <c r="AJ13" s="1036"/>
      <c r="AK13" s="1036"/>
      <c r="AL13" s="1036"/>
      <c r="AM13" s="1038"/>
      <c r="AN13" s="182"/>
      <c r="AO13" s="1096"/>
      <c r="AP13" s="1097"/>
      <c r="AQ13" s="1097"/>
      <c r="AR13" s="1097"/>
      <c r="AS13" s="1097"/>
      <c r="AT13" s="1098"/>
      <c r="AW13" s="983"/>
      <c r="AX13" s="983"/>
      <c r="AY13" s="984"/>
      <c r="AZ13" s="975"/>
      <c r="BA13" s="976"/>
      <c r="BB13" s="976"/>
      <c r="BC13" s="976"/>
      <c r="BD13" s="977"/>
      <c r="BE13" s="190" t="s">
        <v>373</v>
      </c>
      <c r="BF13" s="191" t="s">
        <v>373</v>
      </c>
      <c r="BG13" s="191" t="s">
        <v>373</v>
      </c>
      <c r="BH13" s="191" t="s">
        <v>373</v>
      </c>
      <c r="BI13" s="191" t="s">
        <v>373</v>
      </c>
      <c r="BJ13" s="192" t="s">
        <v>373</v>
      </c>
      <c r="BK13" s="190" t="s">
        <v>373</v>
      </c>
      <c r="BL13" s="191" t="s">
        <v>373</v>
      </c>
      <c r="BM13" s="191" t="s">
        <v>373</v>
      </c>
      <c r="BN13" s="191" t="s">
        <v>373</v>
      </c>
      <c r="BO13" s="191" t="s">
        <v>373</v>
      </c>
      <c r="BP13" s="192" t="s">
        <v>373</v>
      </c>
      <c r="BQ13" s="190" t="s">
        <v>373</v>
      </c>
      <c r="BR13" s="191" t="s">
        <v>373</v>
      </c>
      <c r="BS13" s="191" t="s">
        <v>373</v>
      </c>
      <c r="BT13" s="191" t="s">
        <v>373</v>
      </c>
      <c r="BU13" s="191" t="s">
        <v>373</v>
      </c>
      <c r="BV13" s="192" t="s">
        <v>373</v>
      </c>
      <c r="BW13" s="190" t="s">
        <v>373</v>
      </c>
      <c r="BX13" s="191" t="s">
        <v>373</v>
      </c>
      <c r="BY13" s="191" t="s">
        <v>373</v>
      </c>
      <c r="BZ13" s="191" t="s">
        <v>373</v>
      </c>
      <c r="CA13" s="191" t="s">
        <v>373</v>
      </c>
      <c r="CB13" s="192" t="s">
        <v>373</v>
      </c>
      <c r="CC13" s="193" t="s">
        <v>373</v>
      </c>
      <c r="CD13" s="194" t="s">
        <v>373</v>
      </c>
      <c r="CE13" s="194" t="s">
        <v>373</v>
      </c>
      <c r="CF13" s="194" t="s">
        <v>373</v>
      </c>
      <c r="CG13" s="194" t="s">
        <v>373</v>
      </c>
      <c r="CH13" s="195" t="s">
        <v>373</v>
      </c>
      <c r="CI13" s="181"/>
      <c r="CJ13" s="988"/>
      <c r="CK13" s="989"/>
      <c r="CL13" s="989"/>
      <c r="CM13" s="989"/>
      <c r="CN13" s="989"/>
      <c r="CO13" s="990"/>
    </row>
    <row r="14" spans="2:98" ht="9" customHeight="1" x14ac:dyDescent="0.35">
      <c r="B14" s="1101"/>
      <c r="C14" s="1101"/>
      <c r="D14" s="1102"/>
      <c r="E14" s="1022" t="s">
        <v>115</v>
      </c>
      <c r="F14" s="1023"/>
      <c r="G14" s="1023"/>
      <c r="H14" s="1023"/>
      <c r="I14" s="1023"/>
      <c r="J14" s="1054" t="s">
        <v>373</v>
      </c>
      <c r="K14" s="1055"/>
      <c r="L14" s="1055" t="s">
        <v>373</v>
      </c>
      <c r="M14" s="1055"/>
      <c r="N14" s="1055" t="s">
        <v>373</v>
      </c>
      <c r="O14" s="1056"/>
      <c r="P14" s="1054" t="s">
        <v>373</v>
      </c>
      <c r="Q14" s="1055"/>
      <c r="R14" s="1055" t="s">
        <v>373</v>
      </c>
      <c r="S14" s="1055"/>
      <c r="T14" s="1055" t="s">
        <v>373</v>
      </c>
      <c r="U14" s="1056"/>
      <c r="V14" s="1057" t="s">
        <v>373</v>
      </c>
      <c r="W14" s="1058"/>
      <c r="X14" s="1058" t="s">
        <v>373</v>
      </c>
      <c r="Y14" s="1058"/>
      <c r="Z14" s="1058" t="s">
        <v>373</v>
      </c>
      <c r="AA14" s="1059"/>
      <c r="AB14" s="1057" t="s">
        <v>373</v>
      </c>
      <c r="AC14" s="1058"/>
      <c r="AD14" s="1058" t="s">
        <v>373</v>
      </c>
      <c r="AE14" s="1058"/>
      <c r="AF14" s="1058" t="s">
        <v>373</v>
      </c>
      <c r="AG14" s="1059"/>
      <c r="AH14" s="1051" t="s">
        <v>373</v>
      </c>
      <c r="AI14" s="1052"/>
      <c r="AJ14" s="1052" t="s">
        <v>373</v>
      </c>
      <c r="AK14" s="1052"/>
      <c r="AL14" s="1052" t="s">
        <v>373</v>
      </c>
      <c r="AM14" s="1053"/>
      <c r="AN14" s="182"/>
      <c r="AO14" s="1081" t="s">
        <v>80</v>
      </c>
      <c r="AP14" s="1082"/>
      <c r="AQ14" s="1082"/>
      <c r="AR14" s="1082"/>
      <c r="AS14" s="1082"/>
      <c r="AT14" s="1083"/>
      <c r="AW14" s="983"/>
      <c r="AX14" s="983"/>
      <c r="AY14" s="984"/>
      <c r="AZ14" s="975"/>
      <c r="BA14" s="976"/>
      <c r="BB14" s="976"/>
      <c r="BC14" s="976"/>
      <c r="BD14" s="977"/>
      <c r="BE14" s="190" t="s">
        <v>373</v>
      </c>
      <c r="BF14" s="191" t="s">
        <v>373</v>
      </c>
      <c r="BG14" s="191" t="s">
        <v>373</v>
      </c>
      <c r="BH14" s="191" t="s">
        <v>373</v>
      </c>
      <c r="BI14" s="191" t="s">
        <v>373</v>
      </c>
      <c r="BJ14" s="192" t="s">
        <v>373</v>
      </c>
      <c r="BK14" s="190" t="s">
        <v>373</v>
      </c>
      <c r="BL14" s="191" t="s">
        <v>373</v>
      </c>
      <c r="BM14" s="191" t="s">
        <v>373</v>
      </c>
      <c r="BN14" s="191" t="s">
        <v>373</v>
      </c>
      <c r="BO14" s="191" t="s">
        <v>373</v>
      </c>
      <c r="BP14" s="192" t="s">
        <v>373</v>
      </c>
      <c r="BQ14" s="190" t="s">
        <v>373</v>
      </c>
      <c r="BR14" s="191" t="s">
        <v>373</v>
      </c>
      <c r="BS14" s="191" t="s">
        <v>373</v>
      </c>
      <c r="BT14" s="191" t="s">
        <v>373</v>
      </c>
      <c r="BU14" s="191" t="s">
        <v>373</v>
      </c>
      <c r="BV14" s="192" t="s">
        <v>373</v>
      </c>
      <c r="BW14" s="190" t="s">
        <v>373</v>
      </c>
      <c r="BX14" s="191" t="s">
        <v>373</v>
      </c>
      <c r="BY14" s="191" t="s">
        <v>373</v>
      </c>
      <c r="BZ14" s="191" t="s">
        <v>373</v>
      </c>
      <c r="CA14" s="191" t="s">
        <v>373</v>
      </c>
      <c r="CB14" s="192" t="s">
        <v>373</v>
      </c>
      <c r="CC14" s="193" t="s">
        <v>373</v>
      </c>
      <c r="CD14" s="194" t="s">
        <v>373</v>
      </c>
      <c r="CE14" s="194" t="s">
        <v>373</v>
      </c>
      <c r="CF14" s="194" t="s">
        <v>373</v>
      </c>
      <c r="CG14" s="194" t="s">
        <v>373</v>
      </c>
      <c r="CH14" s="195" t="s">
        <v>373</v>
      </c>
      <c r="CI14" s="181"/>
      <c r="CJ14" s="988"/>
      <c r="CK14" s="989"/>
      <c r="CL14" s="989"/>
      <c r="CM14" s="989"/>
      <c r="CN14" s="989"/>
      <c r="CO14" s="990"/>
    </row>
    <row r="15" spans="2:98" ht="9" customHeight="1" thickBot="1" x14ac:dyDescent="0.4">
      <c r="B15" s="1101"/>
      <c r="C15" s="1101"/>
      <c r="D15" s="1102"/>
      <c r="E15" s="1025"/>
      <c r="F15" s="1026"/>
      <c r="G15" s="1026"/>
      <c r="H15" s="1026"/>
      <c r="I15" s="1026"/>
      <c r="J15" s="1047"/>
      <c r="K15" s="1039"/>
      <c r="L15" s="1039"/>
      <c r="M15" s="1039"/>
      <c r="N15" s="1039"/>
      <c r="O15" s="1040"/>
      <c r="P15" s="1047"/>
      <c r="Q15" s="1039"/>
      <c r="R15" s="1039"/>
      <c r="S15" s="1039"/>
      <c r="T15" s="1039"/>
      <c r="U15" s="1040"/>
      <c r="V15" s="966"/>
      <c r="W15" s="967"/>
      <c r="X15" s="967"/>
      <c r="Y15" s="967"/>
      <c r="Z15" s="967"/>
      <c r="AA15" s="970"/>
      <c r="AB15" s="966"/>
      <c r="AC15" s="967"/>
      <c r="AD15" s="967"/>
      <c r="AE15" s="967"/>
      <c r="AF15" s="967"/>
      <c r="AG15" s="970"/>
      <c r="AH15" s="1033"/>
      <c r="AI15" s="1034"/>
      <c r="AJ15" s="1034"/>
      <c r="AK15" s="1034"/>
      <c r="AL15" s="1034"/>
      <c r="AM15" s="1037"/>
      <c r="AN15" s="182"/>
      <c r="AO15" s="1084"/>
      <c r="AP15" s="1085"/>
      <c r="AQ15" s="1085"/>
      <c r="AR15" s="1085"/>
      <c r="AS15" s="1085"/>
      <c r="AT15" s="1086"/>
      <c r="AW15" s="983"/>
      <c r="AX15" s="983"/>
      <c r="AY15" s="984"/>
      <c r="AZ15" s="978"/>
      <c r="BA15" s="979"/>
      <c r="BB15" s="979"/>
      <c r="BC15" s="979"/>
      <c r="BD15" s="980"/>
      <c r="BE15" s="196" t="s">
        <v>373</v>
      </c>
      <c r="BF15" s="197" t="s">
        <v>373</v>
      </c>
      <c r="BG15" s="197" t="s">
        <v>373</v>
      </c>
      <c r="BH15" s="197" t="s">
        <v>373</v>
      </c>
      <c r="BI15" s="197" t="s">
        <v>373</v>
      </c>
      <c r="BJ15" s="198" t="s">
        <v>373</v>
      </c>
      <c r="BK15" s="190" t="s">
        <v>373</v>
      </c>
      <c r="BL15" s="191" t="s">
        <v>373</v>
      </c>
      <c r="BM15" s="191" t="s">
        <v>373</v>
      </c>
      <c r="BN15" s="191" t="s">
        <v>373</v>
      </c>
      <c r="BO15" s="191" t="s">
        <v>373</v>
      </c>
      <c r="BP15" s="192" t="s">
        <v>373</v>
      </c>
      <c r="BQ15" s="196" t="s">
        <v>373</v>
      </c>
      <c r="BR15" s="197" t="s">
        <v>373</v>
      </c>
      <c r="BS15" s="197" t="s">
        <v>373</v>
      </c>
      <c r="BT15" s="197" t="s">
        <v>373</v>
      </c>
      <c r="BU15" s="197" t="s">
        <v>373</v>
      </c>
      <c r="BV15" s="198" t="s">
        <v>373</v>
      </c>
      <c r="BW15" s="190" t="s">
        <v>373</v>
      </c>
      <c r="BX15" s="191" t="s">
        <v>373</v>
      </c>
      <c r="BY15" s="191" t="s">
        <v>373</v>
      </c>
      <c r="BZ15" s="191" t="s">
        <v>373</v>
      </c>
      <c r="CA15" s="191" t="s">
        <v>373</v>
      </c>
      <c r="CB15" s="192" t="s">
        <v>373</v>
      </c>
      <c r="CC15" s="199" t="s">
        <v>373</v>
      </c>
      <c r="CD15" s="200" t="s">
        <v>373</v>
      </c>
      <c r="CE15" s="200" t="s">
        <v>373</v>
      </c>
      <c r="CF15" s="200" t="s">
        <v>373</v>
      </c>
      <c r="CG15" s="200" t="s">
        <v>373</v>
      </c>
      <c r="CH15" s="201" t="s">
        <v>373</v>
      </c>
      <c r="CI15" s="181"/>
      <c r="CJ15" s="991"/>
      <c r="CK15" s="992"/>
      <c r="CL15" s="992"/>
      <c r="CM15" s="992"/>
      <c r="CN15" s="992"/>
      <c r="CO15" s="993"/>
    </row>
    <row r="16" spans="2:98" ht="9" customHeight="1" x14ac:dyDescent="0.35">
      <c r="B16" s="1101"/>
      <c r="C16" s="1101"/>
      <c r="D16" s="1102"/>
      <c r="E16" s="1025"/>
      <c r="F16" s="1026"/>
      <c r="G16" s="1026"/>
      <c r="H16" s="1026"/>
      <c r="I16" s="1026"/>
      <c r="J16" s="1047" t="s">
        <v>373</v>
      </c>
      <c r="K16" s="1039"/>
      <c r="L16" s="1039" t="s">
        <v>373</v>
      </c>
      <c r="M16" s="1039"/>
      <c r="N16" s="1039" t="s">
        <v>373</v>
      </c>
      <c r="O16" s="1040"/>
      <c r="P16" s="1047" t="s">
        <v>373</v>
      </c>
      <c r="Q16" s="1039"/>
      <c r="R16" s="1039" t="s">
        <v>373</v>
      </c>
      <c r="S16" s="1039"/>
      <c r="T16" s="1039" t="s">
        <v>373</v>
      </c>
      <c r="U16" s="1040"/>
      <c r="V16" s="966" t="s">
        <v>373</v>
      </c>
      <c r="W16" s="967"/>
      <c r="X16" s="967" t="s">
        <v>373</v>
      </c>
      <c r="Y16" s="967"/>
      <c r="Z16" s="967" t="s">
        <v>373</v>
      </c>
      <c r="AA16" s="970"/>
      <c r="AB16" s="966" t="s">
        <v>373</v>
      </c>
      <c r="AC16" s="967"/>
      <c r="AD16" s="967" t="s">
        <v>373</v>
      </c>
      <c r="AE16" s="967"/>
      <c r="AF16" s="967" t="s">
        <v>373</v>
      </c>
      <c r="AG16" s="970"/>
      <c r="AH16" s="1033" t="s">
        <v>373</v>
      </c>
      <c r="AI16" s="1034"/>
      <c r="AJ16" s="1034" t="s">
        <v>373</v>
      </c>
      <c r="AK16" s="1034"/>
      <c r="AL16" s="1034" t="s">
        <v>373</v>
      </c>
      <c r="AM16" s="1037"/>
      <c r="AN16" s="182"/>
      <c r="AO16" s="1084"/>
      <c r="AP16" s="1085"/>
      <c r="AQ16" s="1085"/>
      <c r="AR16" s="1085"/>
      <c r="AS16" s="1085"/>
      <c r="AT16" s="1086"/>
      <c r="AW16" s="983"/>
      <c r="AX16" s="983"/>
      <c r="AY16" s="984"/>
      <c r="AZ16" s="972" t="s">
        <v>115</v>
      </c>
      <c r="BA16" s="973"/>
      <c r="BB16" s="973"/>
      <c r="BC16" s="973"/>
      <c r="BD16" s="973"/>
      <c r="BE16" s="202" t="s">
        <v>373</v>
      </c>
      <c r="BF16" s="203" t="s">
        <v>373</v>
      </c>
      <c r="BG16" s="203" t="s">
        <v>373</v>
      </c>
      <c r="BH16" s="203" t="s">
        <v>373</v>
      </c>
      <c r="BI16" s="203" t="s">
        <v>373</v>
      </c>
      <c r="BJ16" s="204" t="s">
        <v>373</v>
      </c>
      <c r="BK16" s="202" t="s">
        <v>373</v>
      </c>
      <c r="BL16" s="203" t="s">
        <v>373</v>
      </c>
      <c r="BM16" s="203" t="s">
        <v>373</v>
      </c>
      <c r="BN16" s="203" t="s">
        <v>373</v>
      </c>
      <c r="BO16" s="203" t="s">
        <v>373</v>
      </c>
      <c r="BP16" s="204" t="s">
        <v>373</v>
      </c>
      <c r="BQ16" s="184" t="s">
        <v>373</v>
      </c>
      <c r="BR16" s="185" t="s">
        <v>373</v>
      </c>
      <c r="BS16" s="185" t="s">
        <v>373</v>
      </c>
      <c r="BT16" s="185" t="s">
        <v>373</v>
      </c>
      <c r="BU16" s="185" t="s">
        <v>373</v>
      </c>
      <c r="BV16" s="186" t="s">
        <v>373</v>
      </c>
      <c r="BW16" s="184" t="s">
        <v>373</v>
      </c>
      <c r="BX16" s="185" t="s">
        <v>373</v>
      </c>
      <c r="BY16" s="185" t="s">
        <v>373</v>
      </c>
      <c r="BZ16" s="185" t="s">
        <v>373</v>
      </c>
      <c r="CA16" s="185" t="s">
        <v>373</v>
      </c>
      <c r="CB16" s="186" t="s">
        <v>373</v>
      </c>
      <c r="CC16" s="187" t="s">
        <v>373</v>
      </c>
      <c r="CD16" s="188" t="s">
        <v>373</v>
      </c>
      <c r="CE16" s="188" t="s">
        <v>373</v>
      </c>
      <c r="CF16" s="188" t="s">
        <v>373</v>
      </c>
      <c r="CG16" s="188" t="s">
        <v>373</v>
      </c>
      <c r="CH16" s="189" t="s">
        <v>373</v>
      </c>
      <c r="CI16" s="181"/>
      <c r="CJ16" s="995" t="s">
        <v>80</v>
      </c>
      <c r="CK16" s="996"/>
      <c r="CL16" s="996"/>
      <c r="CM16" s="996"/>
      <c r="CN16" s="996"/>
      <c r="CO16" s="997"/>
    </row>
    <row r="17" spans="2:93" ht="9" customHeight="1" x14ac:dyDescent="0.35">
      <c r="B17" s="1101"/>
      <c r="C17" s="1101"/>
      <c r="D17" s="1102"/>
      <c r="E17" s="1025"/>
      <c r="F17" s="1026"/>
      <c r="G17" s="1026"/>
      <c r="H17" s="1026"/>
      <c r="I17" s="1026"/>
      <c r="J17" s="1047"/>
      <c r="K17" s="1039"/>
      <c r="L17" s="1039"/>
      <c r="M17" s="1039"/>
      <c r="N17" s="1039"/>
      <c r="O17" s="1040"/>
      <c r="P17" s="1047"/>
      <c r="Q17" s="1039"/>
      <c r="R17" s="1039"/>
      <c r="S17" s="1039"/>
      <c r="T17" s="1039"/>
      <c r="U17" s="1040"/>
      <c r="V17" s="966"/>
      <c r="W17" s="967"/>
      <c r="X17" s="967"/>
      <c r="Y17" s="967"/>
      <c r="Z17" s="967"/>
      <c r="AA17" s="970"/>
      <c r="AB17" s="966"/>
      <c r="AC17" s="967"/>
      <c r="AD17" s="967"/>
      <c r="AE17" s="967"/>
      <c r="AF17" s="967"/>
      <c r="AG17" s="970"/>
      <c r="AH17" s="1033"/>
      <c r="AI17" s="1034"/>
      <c r="AJ17" s="1034"/>
      <c r="AK17" s="1034"/>
      <c r="AL17" s="1034"/>
      <c r="AM17" s="1037"/>
      <c r="AN17" s="182"/>
      <c r="AO17" s="1084"/>
      <c r="AP17" s="1085"/>
      <c r="AQ17" s="1085"/>
      <c r="AR17" s="1085"/>
      <c r="AS17" s="1085"/>
      <c r="AT17" s="1086"/>
      <c r="AW17" s="983"/>
      <c r="AX17" s="983"/>
      <c r="AY17" s="984"/>
      <c r="AZ17" s="994"/>
      <c r="BA17" s="976"/>
      <c r="BB17" s="976"/>
      <c r="BC17" s="976"/>
      <c r="BD17" s="976"/>
      <c r="BE17" s="205" t="s">
        <v>373</v>
      </c>
      <c r="BF17" s="206" t="s">
        <v>373</v>
      </c>
      <c r="BG17" s="206" t="s">
        <v>373</v>
      </c>
      <c r="BH17" s="206" t="s">
        <v>373</v>
      </c>
      <c r="BI17" s="206" t="s">
        <v>373</v>
      </c>
      <c r="BJ17" s="207" t="s">
        <v>373</v>
      </c>
      <c r="BK17" s="205" t="s">
        <v>373</v>
      </c>
      <c r="BL17" s="206" t="s">
        <v>373</v>
      </c>
      <c r="BM17" s="206" t="s">
        <v>373</v>
      </c>
      <c r="BN17" s="206" t="s">
        <v>373</v>
      </c>
      <c r="BO17" s="206" t="s">
        <v>373</v>
      </c>
      <c r="BP17" s="207" t="s">
        <v>373</v>
      </c>
      <c r="BQ17" s="190" t="s">
        <v>373</v>
      </c>
      <c r="BR17" s="191" t="s">
        <v>373</v>
      </c>
      <c r="BS17" s="191" t="s">
        <v>373</v>
      </c>
      <c r="BT17" s="191" t="s">
        <v>373</v>
      </c>
      <c r="BU17" s="191" t="s">
        <v>373</v>
      </c>
      <c r="BV17" s="192" t="s">
        <v>373</v>
      </c>
      <c r="BW17" s="190" t="s">
        <v>373</v>
      </c>
      <c r="BX17" s="191" t="s">
        <v>373</v>
      </c>
      <c r="BY17" s="191" t="s">
        <v>373</v>
      </c>
      <c r="BZ17" s="191" t="s">
        <v>373</v>
      </c>
      <c r="CA17" s="191" t="s">
        <v>373</v>
      </c>
      <c r="CB17" s="192" t="s">
        <v>373</v>
      </c>
      <c r="CC17" s="193" t="s">
        <v>373</v>
      </c>
      <c r="CD17" s="194" t="s">
        <v>373</v>
      </c>
      <c r="CE17" s="194" t="s">
        <v>373</v>
      </c>
      <c r="CF17" s="194" t="s">
        <v>373</v>
      </c>
      <c r="CG17" s="194" t="s">
        <v>373</v>
      </c>
      <c r="CH17" s="195" t="s">
        <v>373</v>
      </c>
      <c r="CI17" s="181"/>
      <c r="CJ17" s="998"/>
      <c r="CK17" s="999"/>
      <c r="CL17" s="999"/>
      <c r="CM17" s="999"/>
      <c r="CN17" s="999"/>
      <c r="CO17" s="1000"/>
    </row>
    <row r="18" spans="2:93" ht="9" customHeight="1" x14ac:dyDescent="0.35">
      <c r="B18" s="1101"/>
      <c r="C18" s="1101"/>
      <c r="D18" s="1102"/>
      <c r="E18" s="1025"/>
      <c r="F18" s="1026"/>
      <c r="G18" s="1026"/>
      <c r="H18" s="1026"/>
      <c r="I18" s="1026"/>
      <c r="J18" s="1047" t="s">
        <v>373</v>
      </c>
      <c r="K18" s="1039"/>
      <c r="L18" s="1039" t="s">
        <v>373</v>
      </c>
      <c r="M18" s="1039"/>
      <c r="N18" s="1039" t="s">
        <v>373</v>
      </c>
      <c r="O18" s="1040"/>
      <c r="P18" s="1047" t="s">
        <v>373</v>
      </c>
      <c r="Q18" s="1039"/>
      <c r="R18" s="1039" t="s">
        <v>373</v>
      </c>
      <c r="S18" s="1039"/>
      <c r="T18" s="1039" t="s">
        <v>373</v>
      </c>
      <c r="U18" s="1040"/>
      <c r="V18" s="966" t="s">
        <v>373</v>
      </c>
      <c r="W18" s="967"/>
      <c r="X18" s="967" t="s">
        <v>373</v>
      </c>
      <c r="Y18" s="967"/>
      <c r="Z18" s="967" t="s">
        <v>373</v>
      </c>
      <c r="AA18" s="970"/>
      <c r="AB18" s="966" t="s">
        <v>373</v>
      </c>
      <c r="AC18" s="967"/>
      <c r="AD18" s="967" t="s">
        <v>373</v>
      </c>
      <c r="AE18" s="967"/>
      <c r="AF18" s="967" t="s">
        <v>373</v>
      </c>
      <c r="AG18" s="970"/>
      <c r="AH18" s="1033" t="s">
        <v>373</v>
      </c>
      <c r="AI18" s="1034"/>
      <c r="AJ18" s="1034" t="s">
        <v>373</v>
      </c>
      <c r="AK18" s="1034"/>
      <c r="AL18" s="1034" t="s">
        <v>373</v>
      </c>
      <c r="AM18" s="1037"/>
      <c r="AN18" s="182"/>
      <c r="AO18" s="1084"/>
      <c r="AP18" s="1085"/>
      <c r="AQ18" s="1085"/>
      <c r="AR18" s="1085"/>
      <c r="AS18" s="1085"/>
      <c r="AT18" s="1086"/>
      <c r="AW18" s="983"/>
      <c r="AX18" s="983"/>
      <c r="AY18" s="984"/>
      <c r="AZ18" s="975"/>
      <c r="BA18" s="976"/>
      <c r="BB18" s="976"/>
      <c r="BC18" s="976"/>
      <c r="BD18" s="976"/>
      <c r="BE18" s="205" t="s">
        <v>373</v>
      </c>
      <c r="BF18" s="206" t="s">
        <v>373</v>
      </c>
      <c r="BG18" s="206" t="s">
        <v>373</v>
      </c>
      <c r="BH18" s="206" t="s">
        <v>373</v>
      </c>
      <c r="BI18" s="206" t="s">
        <v>373</v>
      </c>
      <c r="BJ18" s="207" t="s">
        <v>373</v>
      </c>
      <c r="BK18" s="205" t="s">
        <v>373</v>
      </c>
      <c r="BL18" s="206" t="s">
        <v>373</v>
      </c>
      <c r="BM18" s="206" t="s">
        <v>373</v>
      </c>
      <c r="BN18" s="206" t="s">
        <v>373</v>
      </c>
      <c r="BO18" s="206" t="s">
        <v>373</v>
      </c>
      <c r="BP18" s="207" t="s">
        <v>373</v>
      </c>
      <c r="BQ18" s="190" t="s">
        <v>373</v>
      </c>
      <c r="BR18" s="191" t="s">
        <v>373</v>
      </c>
      <c r="BS18" s="191" t="s">
        <v>373</v>
      </c>
      <c r="BT18" s="191" t="s">
        <v>373</v>
      </c>
      <c r="BU18" s="191" t="s">
        <v>373</v>
      </c>
      <c r="BV18" s="192" t="s">
        <v>373</v>
      </c>
      <c r="BW18" s="190" t="s">
        <v>373</v>
      </c>
      <c r="BX18" s="191" t="s">
        <v>373</v>
      </c>
      <c r="BY18" s="191" t="s">
        <v>373</v>
      </c>
      <c r="BZ18" s="191" t="s">
        <v>373</v>
      </c>
      <c r="CA18" s="191" t="s">
        <v>373</v>
      </c>
      <c r="CB18" s="192" t="s">
        <v>373</v>
      </c>
      <c r="CC18" s="193" t="s">
        <v>373</v>
      </c>
      <c r="CD18" s="194" t="s">
        <v>373</v>
      </c>
      <c r="CE18" s="194" t="s">
        <v>373</v>
      </c>
      <c r="CF18" s="194" t="s">
        <v>373</v>
      </c>
      <c r="CG18" s="194" t="s">
        <v>373</v>
      </c>
      <c r="CH18" s="195" t="s">
        <v>373</v>
      </c>
      <c r="CI18" s="181"/>
      <c r="CJ18" s="998"/>
      <c r="CK18" s="999"/>
      <c r="CL18" s="999"/>
      <c r="CM18" s="999"/>
      <c r="CN18" s="999"/>
      <c r="CO18" s="1000"/>
    </row>
    <row r="19" spans="2:93" ht="9" customHeight="1" x14ac:dyDescent="0.35">
      <c r="B19" s="1101"/>
      <c r="C19" s="1101"/>
      <c r="D19" s="1102"/>
      <c r="E19" s="1025"/>
      <c r="F19" s="1026"/>
      <c r="G19" s="1026"/>
      <c r="H19" s="1026"/>
      <c r="I19" s="1026"/>
      <c r="J19" s="1047"/>
      <c r="K19" s="1039"/>
      <c r="L19" s="1039"/>
      <c r="M19" s="1039"/>
      <c r="N19" s="1039"/>
      <c r="O19" s="1040"/>
      <c r="P19" s="1047"/>
      <c r="Q19" s="1039"/>
      <c r="R19" s="1039"/>
      <c r="S19" s="1039"/>
      <c r="T19" s="1039"/>
      <c r="U19" s="1040"/>
      <c r="V19" s="966"/>
      <c r="W19" s="967"/>
      <c r="X19" s="967"/>
      <c r="Y19" s="967"/>
      <c r="Z19" s="967"/>
      <c r="AA19" s="970"/>
      <c r="AB19" s="966"/>
      <c r="AC19" s="967"/>
      <c r="AD19" s="967"/>
      <c r="AE19" s="967"/>
      <c r="AF19" s="967"/>
      <c r="AG19" s="970"/>
      <c r="AH19" s="1033"/>
      <c r="AI19" s="1034"/>
      <c r="AJ19" s="1034"/>
      <c r="AK19" s="1034"/>
      <c r="AL19" s="1034"/>
      <c r="AM19" s="1037"/>
      <c r="AN19" s="182"/>
      <c r="AO19" s="1084"/>
      <c r="AP19" s="1085"/>
      <c r="AQ19" s="1085"/>
      <c r="AR19" s="1085"/>
      <c r="AS19" s="1085"/>
      <c r="AT19" s="1086"/>
      <c r="AW19" s="983"/>
      <c r="AX19" s="983"/>
      <c r="AY19" s="984"/>
      <c r="AZ19" s="975"/>
      <c r="BA19" s="976"/>
      <c r="BB19" s="976"/>
      <c r="BC19" s="976"/>
      <c r="BD19" s="976"/>
      <c r="BE19" s="205" t="s">
        <v>373</v>
      </c>
      <c r="BF19" s="206" t="s">
        <v>373</v>
      </c>
      <c r="BG19" s="206" t="s">
        <v>373</v>
      </c>
      <c r="BH19" s="206" t="s">
        <v>373</v>
      </c>
      <c r="BI19" s="206" t="s">
        <v>373</v>
      </c>
      <c r="BJ19" s="207" t="s">
        <v>373</v>
      </c>
      <c r="BK19" s="205" t="s">
        <v>373</v>
      </c>
      <c r="BL19" s="206" t="s">
        <v>373</v>
      </c>
      <c r="BM19" s="206" t="s">
        <v>373</v>
      </c>
      <c r="BN19" s="206" t="s">
        <v>373</v>
      </c>
      <c r="BO19" s="206" t="s">
        <v>373</v>
      </c>
      <c r="BP19" s="207" t="s">
        <v>373</v>
      </c>
      <c r="BQ19" s="190" t="s">
        <v>373</v>
      </c>
      <c r="BR19" s="191" t="s">
        <v>373</v>
      </c>
      <c r="BS19" s="191" t="s">
        <v>373</v>
      </c>
      <c r="BT19" s="191" t="s">
        <v>373</v>
      </c>
      <c r="BU19" s="191" t="s">
        <v>373</v>
      </c>
      <c r="BV19" s="192" t="s">
        <v>373</v>
      </c>
      <c r="BW19" s="190" t="s">
        <v>373</v>
      </c>
      <c r="BX19" s="191" t="s">
        <v>373</v>
      </c>
      <c r="BY19" s="191" t="s">
        <v>373</v>
      </c>
      <c r="BZ19" s="191" t="s">
        <v>373</v>
      </c>
      <c r="CA19" s="191" t="s">
        <v>373</v>
      </c>
      <c r="CB19" s="192" t="s">
        <v>373</v>
      </c>
      <c r="CC19" s="193" t="s">
        <v>373</v>
      </c>
      <c r="CD19" s="194" t="s">
        <v>373</v>
      </c>
      <c r="CE19" s="194" t="s">
        <v>373</v>
      </c>
      <c r="CF19" s="194" t="s">
        <v>373</v>
      </c>
      <c r="CG19" s="194" t="s">
        <v>373</v>
      </c>
      <c r="CH19" s="195" t="s">
        <v>373</v>
      </c>
      <c r="CI19" s="181"/>
      <c r="CJ19" s="998"/>
      <c r="CK19" s="999"/>
      <c r="CL19" s="999"/>
      <c r="CM19" s="999"/>
      <c r="CN19" s="999"/>
      <c r="CO19" s="1000"/>
    </row>
    <row r="20" spans="2:93" ht="9" customHeight="1" x14ac:dyDescent="0.35">
      <c r="B20" s="1101"/>
      <c r="C20" s="1101"/>
      <c r="D20" s="1102"/>
      <c r="E20" s="1025"/>
      <c r="F20" s="1026"/>
      <c r="G20" s="1026"/>
      <c r="H20" s="1026"/>
      <c r="I20" s="1026"/>
      <c r="J20" s="1047" t="s">
        <v>373</v>
      </c>
      <c r="K20" s="1039"/>
      <c r="L20" s="1039" t="s">
        <v>373</v>
      </c>
      <c r="M20" s="1039"/>
      <c r="N20" s="1039" t="s">
        <v>373</v>
      </c>
      <c r="O20" s="1040"/>
      <c r="P20" s="1047" t="s">
        <v>373</v>
      </c>
      <c r="Q20" s="1039"/>
      <c r="R20" s="1039" t="s">
        <v>373</v>
      </c>
      <c r="S20" s="1039"/>
      <c r="T20" s="1039" t="s">
        <v>373</v>
      </c>
      <c r="U20" s="1040"/>
      <c r="V20" s="966" t="s">
        <v>373</v>
      </c>
      <c r="W20" s="967"/>
      <c r="X20" s="967" t="s">
        <v>373</v>
      </c>
      <c r="Y20" s="967"/>
      <c r="Z20" s="967" t="s">
        <v>373</v>
      </c>
      <c r="AA20" s="970"/>
      <c r="AB20" s="966" t="s">
        <v>373</v>
      </c>
      <c r="AC20" s="967"/>
      <c r="AD20" s="967" t="s">
        <v>373</v>
      </c>
      <c r="AE20" s="967"/>
      <c r="AF20" s="967" t="s">
        <v>373</v>
      </c>
      <c r="AG20" s="970"/>
      <c r="AH20" s="1033" t="s">
        <v>373</v>
      </c>
      <c r="AI20" s="1034"/>
      <c r="AJ20" s="1034" t="s">
        <v>373</v>
      </c>
      <c r="AK20" s="1034"/>
      <c r="AL20" s="1034" t="s">
        <v>373</v>
      </c>
      <c r="AM20" s="1037"/>
      <c r="AN20" s="182"/>
      <c r="AO20" s="1084"/>
      <c r="AP20" s="1085"/>
      <c r="AQ20" s="1085"/>
      <c r="AR20" s="1085"/>
      <c r="AS20" s="1085"/>
      <c r="AT20" s="1086"/>
      <c r="AW20" s="983"/>
      <c r="AX20" s="983"/>
      <c r="AY20" s="984"/>
      <c r="AZ20" s="975"/>
      <c r="BA20" s="976"/>
      <c r="BB20" s="976"/>
      <c r="BC20" s="976"/>
      <c r="BD20" s="976"/>
      <c r="BE20" s="205" t="s">
        <v>373</v>
      </c>
      <c r="BF20" s="206" t="s">
        <v>373</v>
      </c>
      <c r="BG20" s="206" t="s">
        <v>373</v>
      </c>
      <c r="BH20" s="206" t="s">
        <v>373</v>
      </c>
      <c r="BI20" s="206" t="s">
        <v>373</v>
      </c>
      <c r="BJ20" s="207" t="s">
        <v>373</v>
      </c>
      <c r="BK20" s="205" t="s">
        <v>373</v>
      </c>
      <c r="BL20" s="206" t="s">
        <v>373</v>
      </c>
      <c r="BM20" s="206" t="s">
        <v>373</v>
      </c>
      <c r="BN20" s="206" t="s">
        <v>373</v>
      </c>
      <c r="BO20" s="206" t="s">
        <v>373</v>
      </c>
      <c r="BP20" s="207" t="s">
        <v>373</v>
      </c>
      <c r="BQ20" s="190" t="s">
        <v>373</v>
      </c>
      <c r="BR20" s="191" t="s">
        <v>373</v>
      </c>
      <c r="BS20" s="191" t="s">
        <v>373</v>
      </c>
      <c r="BT20" s="191" t="s">
        <v>373</v>
      </c>
      <c r="BU20" s="191" t="s">
        <v>373</v>
      </c>
      <c r="BV20" s="192" t="s">
        <v>373</v>
      </c>
      <c r="BW20" s="190" t="s">
        <v>373</v>
      </c>
      <c r="BX20" s="191" t="s">
        <v>373</v>
      </c>
      <c r="BY20" s="191" t="s">
        <v>373</v>
      </c>
      <c r="BZ20" s="191" t="s">
        <v>373</v>
      </c>
      <c r="CA20" s="191" t="s">
        <v>373</v>
      </c>
      <c r="CB20" s="192" t="s">
        <v>373</v>
      </c>
      <c r="CC20" s="193" t="s">
        <v>373</v>
      </c>
      <c r="CD20" s="194" t="s">
        <v>373</v>
      </c>
      <c r="CE20" s="194" t="s">
        <v>373</v>
      </c>
      <c r="CF20" s="194" t="s">
        <v>373</v>
      </c>
      <c r="CG20" s="194" t="s">
        <v>373</v>
      </c>
      <c r="CH20" s="195" t="s">
        <v>373</v>
      </c>
      <c r="CI20" s="181"/>
      <c r="CJ20" s="998"/>
      <c r="CK20" s="999"/>
      <c r="CL20" s="999"/>
      <c r="CM20" s="999"/>
      <c r="CN20" s="999"/>
      <c r="CO20" s="1000"/>
    </row>
    <row r="21" spans="2:93" ht="9" customHeight="1" thickBot="1" x14ac:dyDescent="0.4">
      <c r="B21" s="1101"/>
      <c r="C21" s="1101"/>
      <c r="D21" s="1102"/>
      <c r="E21" s="1028"/>
      <c r="F21" s="1029"/>
      <c r="G21" s="1029"/>
      <c r="H21" s="1029"/>
      <c r="I21" s="1029"/>
      <c r="J21" s="1048"/>
      <c r="K21" s="1049"/>
      <c r="L21" s="1049"/>
      <c r="M21" s="1049"/>
      <c r="N21" s="1049"/>
      <c r="O21" s="1050"/>
      <c r="P21" s="1048"/>
      <c r="Q21" s="1049"/>
      <c r="R21" s="1049"/>
      <c r="S21" s="1049"/>
      <c r="T21" s="1049"/>
      <c r="U21" s="1050"/>
      <c r="V21" s="968"/>
      <c r="W21" s="969"/>
      <c r="X21" s="969"/>
      <c r="Y21" s="969"/>
      <c r="Z21" s="969"/>
      <c r="AA21" s="971"/>
      <c r="AB21" s="968"/>
      <c r="AC21" s="969"/>
      <c r="AD21" s="969"/>
      <c r="AE21" s="969"/>
      <c r="AF21" s="969"/>
      <c r="AG21" s="971"/>
      <c r="AH21" s="1035"/>
      <c r="AI21" s="1036"/>
      <c r="AJ21" s="1036"/>
      <c r="AK21" s="1036"/>
      <c r="AL21" s="1036"/>
      <c r="AM21" s="1038"/>
      <c r="AN21" s="182"/>
      <c r="AO21" s="1087"/>
      <c r="AP21" s="1088"/>
      <c r="AQ21" s="1088"/>
      <c r="AR21" s="1088"/>
      <c r="AS21" s="1088"/>
      <c r="AT21" s="1089"/>
      <c r="AW21" s="983"/>
      <c r="AX21" s="983"/>
      <c r="AY21" s="984"/>
      <c r="AZ21" s="975"/>
      <c r="BA21" s="976"/>
      <c r="BB21" s="976"/>
      <c r="BC21" s="976"/>
      <c r="BD21" s="976"/>
      <c r="BE21" s="205" t="s">
        <v>373</v>
      </c>
      <c r="BF21" s="206" t="s">
        <v>373</v>
      </c>
      <c r="BG21" s="206" t="s">
        <v>373</v>
      </c>
      <c r="BH21" s="206" t="s">
        <v>373</v>
      </c>
      <c r="BI21" s="206" t="s">
        <v>373</v>
      </c>
      <c r="BJ21" s="207" t="s">
        <v>373</v>
      </c>
      <c r="BK21" s="205" t="s">
        <v>373</v>
      </c>
      <c r="BL21" s="206" t="s">
        <v>373</v>
      </c>
      <c r="BM21" s="206" t="s">
        <v>373</v>
      </c>
      <c r="BN21" s="206" t="s">
        <v>373</v>
      </c>
      <c r="BO21" s="206" t="s">
        <v>373</v>
      </c>
      <c r="BP21" s="207" t="s">
        <v>373</v>
      </c>
      <c r="BQ21" s="190" t="s">
        <v>373</v>
      </c>
      <c r="BR21" s="191" t="s">
        <v>373</v>
      </c>
      <c r="BS21" s="191" t="s">
        <v>373</v>
      </c>
      <c r="BT21" s="191" t="s">
        <v>373</v>
      </c>
      <c r="BU21" s="191" t="s">
        <v>373</v>
      </c>
      <c r="BV21" s="192" t="s">
        <v>373</v>
      </c>
      <c r="BW21" s="190" t="s">
        <v>373</v>
      </c>
      <c r="BX21" s="191" t="s">
        <v>373</v>
      </c>
      <c r="BY21" s="191" t="s">
        <v>373</v>
      </c>
      <c r="BZ21" s="191" t="s">
        <v>373</v>
      </c>
      <c r="CA21" s="191" t="s">
        <v>373</v>
      </c>
      <c r="CB21" s="192" t="s">
        <v>373</v>
      </c>
      <c r="CC21" s="193" t="s">
        <v>373</v>
      </c>
      <c r="CD21" s="194" t="s">
        <v>373</v>
      </c>
      <c r="CE21" s="194" t="s">
        <v>373</v>
      </c>
      <c r="CF21" s="194" t="s">
        <v>373</v>
      </c>
      <c r="CG21" s="194" t="s">
        <v>373</v>
      </c>
      <c r="CH21" s="195" t="s">
        <v>373</v>
      </c>
      <c r="CI21" s="181"/>
      <c r="CJ21" s="998"/>
      <c r="CK21" s="999"/>
      <c r="CL21" s="999"/>
      <c r="CM21" s="999"/>
      <c r="CN21" s="999"/>
      <c r="CO21" s="1000"/>
    </row>
    <row r="22" spans="2:93" ht="9" customHeight="1" x14ac:dyDescent="0.35">
      <c r="B22" s="1101"/>
      <c r="C22" s="1101"/>
      <c r="D22" s="1102"/>
      <c r="E22" s="1022" t="s">
        <v>117</v>
      </c>
      <c r="F22" s="1023"/>
      <c r="G22" s="1023"/>
      <c r="H22" s="1023"/>
      <c r="I22" s="1024"/>
      <c r="J22" s="1054" t="s">
        <v>373</v>
      </c>
      <c r="K22" s="1055"/>
      <c r="L22" s="1055" t="s">
        <v>373</v>
      </c>
      <c r="M22" s="1055"/>
      <c r="N22" s="1055" t="s">
        <v>373</v>
      </c>
      <c r="O22" s="1056"/>
      <c r="P22" s="1054" t="s">
        <v>373</v>
      </c>
      <c r="Q22" s="1055"/>
      <c r="R22" s="1055" t="s">
        <v>373</v>
      </c>
      <c r="S22" s="1055"/>
      <c r="T22" s="1055" t="s">
        <v>373</v>
      </c>
      <c r="U22" s="1056"/>
      <c r="V22" s="1054" t="s">
        <v>373</v>
      </c>
      <c r="W22" s="1055"/>
      <c r="X22" s="1055" t="s">
        <v>373</v>
      </c>
      <c r="Y22" s="1055"/>
      <c r="Z22" s="1055" t="s">
        <v>373</v>
      </c>
      <c r="AA22" s="1056"/>
      <c r="AB22" s="1057" t="s">
        <v>373</v>
      </c>
      <c r="AC22" s="1058"/>
      <c r="AD22" s="1058" t="s">
        <v>373</v>
      </c>
      <c r="AE22" s="1058"/>
      <c r="AF22" s="1058" t="s">
        <v>373</v>
      </c>
      <c r="AG22" s="1059"/>
      <c r="AH22" s="1051" t="s">
        <v>373</v>
      </c>
      <c r="AI22" s="1052"/>
      <c r="AJ22" s="1052" t="s">
        <v>373</v>
      </c>
      <c r="AK22" s="1052"/>
      <c r="AL22" s="1052" t="s">
        <v>373</v>
      </c>
      <c r="AM22" s="1053"/>
      <c r="AN22" s="182"/>
      <c r="AO22" s="1072" t="s">
        <v>81</v>
      </c>
      <c r="AP22" s="1073"/>
      <c r="AQ22" s="1073"/>
      <c r="AR22" s="1073"/>
      <c r="AS22" s="1073"/>
      <c r="AT22" s="1074"/>
      <c r="AW22" s="983"/>
      <c r="AX22" s="983"/>
      <c r="AY22" s="984"/>
      <c r="AZ22" s="975"/>
      <c r="BA22" s="976"/>
      <c r="BB22" s="976"/>
      <c r="BC22" s="976"/>
      <c r="BD22" s="976"/>
      <c r="BE22" s="205" t="s">
        <v>373</v>
      </c>
      <c r="BF22" s="206" t="s">
        <v>373</v>
      </c>
      <c r="BG22" s="206" t="s">
        <v>373</v>
      </c>
      <c r="BH22" s="206" t="s">
        <v>373</v>
      </c>
      <c r="BI22" s="206" t="s">
        <v>373</v>
      </c>
      <c r="BJ22" s="207" t="s">
        <v>373</v>
      </c>
      <c r="BK22" s="205" t="s">
        <v>373</v>
      </c>
      <c r="BL22" s="206" t="s">
        <v>373</v>
      </c>
      <c r="BM22" s="206" t="s">
        <v>373</v>
      </c>
      <c r="BN22" s="206" t="s">
        <v>373</v>
      </c>
      <c r="BO22" s="206" t="s">
        <v>373</v>
      </c>
      <c r="BP22" s="207" t="s">
        <v>373</v>
      </c>
      <c r="BQ22" s="190" t="s">
        <v>373</v>
      </c>
      <c r="BR22" s="191" t="s">
        <v>373</v>
      </c>
      <c r="BS22" s="191" t="s">
        <v>373</v>
      </c>
      <c r="BT22" s="191" t="s">
        <v>373</v>
      </c>
      <c r="BU22" s="191" t="s">
        <v>373</v>
      </c>
      <c r="BV22" s="192" t="s">
        <v>373</v>
      </c>
      <c r="BW22" s="190" t="s">
        <v>373</v>
      </c>
      <c r="BX22" s="191" t="s">
        <v>373</v>
      </c>
      <c r="BY22" s="191" t="s">
        <v>373</v>
      </c>
      <c r="BZ22" s="191" t="s">
        <v>373</v>
      </c>
      <c r="CA22" s="191" t="s">
        <v>373</v>
      </c>
      <c r="CB22" s="192" t="s">
        <v>373</v>
      </c>
      <c r="CC22" s="193" t="s">
        <v>373</v>
      </c>
      <c r="CD22" s="194" t="s">
        <v>373</v>
      </c>
      <c r="CE22" s="194" t="s">
        <v>373</v>
      </c>
      <c r="CF22" s="194" t="s">
        <v>373</v>
      </c>
      <c r="CG22" s="194" t="s">
        <v>373</v>
      </c>
      <c r="CH22" s="195" t="s">
        <v>373</v>
      </c>
      <c r="CI22" s="181"/>
      <c r="CJ22" s="998"/>
      <c r="CK22" s="999"/>
      <c r="CL22" s="999"/>
      <c r="CM22" s="999"/>
      <c r="CN22" s="999"/>
      <c r="CO22" s="1000"/>
    </row>
    <row r="23" spans="2:93" ht="9" customHeight="1" x14ac:dyDescent="0.35">
      <c r="B23" s="1101"/>
      <c r="C23" s="1101"/>
      <c r="D23" s="1102"/>
      <c r="E23" s="1025"/>
      <c r="F23" s="1026"/>
      <c r="G23" s="1026"/>
      <c r="H23" s="1026"/>
      <c r="I23" s="1027"/>
      <c r="J23" s="1047"/>
      <c r="K23" s="1039"/>
      <c r="L23" s="1039"/>
      <c r="M23" s="1039"/>
      <c r="N23" s="1039"/>
      <c r="O23" s="1040"/>
      <c r="P23" s="1047"/>
      <c r="Q23" s="1039"/>
      <c r="R23" s="1039"/>
      <c r="S23" s="1039"/>
      <c r="T23" s="1039"/>
      <c r="U23" s="1040"/>
      <c r="V23" s="1047"/>
      <c r="W23" s="1039"/>
      <c r="X23" s="1039"/>
      <c r="Y23" s="1039"/>
      <c r="Z23" s="1039"/>
      <c r="AA23" s="1040"/>
      <c r="AB23" s="966"/>
      <c r="AC23" s="967"/>
      <c r="AD23" s="967"/>
      <c r="AE23" s="967"/>
      <c r="AF23" s="967"/>
      <c r="AG23" s="970"/>
      <c r="AH23" s="1033"/>
      <c r="AI23" s="1034"/>
      <c r="AJ23" s="1034"/>
      <c r="AK23" s="1034"/>
      <c r="AL23" s="1034"/>
      <c r="AM23" s="1037"/>
      <c r="AN23" s="182"/>
      <c r="AO23" s="1075"/>
      <c r="AP23" s="1076"/>
      <c r="AQ23" s="1076"/>
      <c r="AR23" s="1076"/>
      <c r="AS23" s="1076"/>
      <c r="AT23" s="1077"/>
      <c r="AW23" s="983"/>
      <c r="AX23" s="983"/>
      <c r="AY23" s="984"/>
      <c r="AZ23" s="975"/>
      <c r="BA23" s="976"/>
      <c r="BB23" s="976"/>
      <c r="BC23" s="976"/>
      <c r="BD23" s="976"/>
      <c r="BE23" s="205" t="s">
        <v>373</v>
      </c>
      <c r="BF23" s="206" t="s">
        <v>373</v>
      </c>
      <c r="BG23" s="206" t="s">
        <v>373</v>
      </c>
      <c r="BH23" s="206" t="s">
        <v>373</v>
      </c>
      <c r="BI23" s="206" t="s">
        <v>373</v>
      </c>
      <c r="BJ23" s="207" t="s">
        <v>373</v>
      </c>
      <c r="BK23" s="205" t="s">
        <v>373</v>
      </c>
      <c r="BL23" s="206" t="s">
        <v>373</v>
      </c>
      <c r="BM23" s="206" t="s">
        <v>373</v>
      </c>
      <c r="BN23" s="206" t="s">
        <v>373</v>
      </c>
      <c r="BO23" s="206" t="s">
        <v>373</v>
      </c>
      <c r="BP23" s="207" t="s">
        <v>373</v>
      </c>
      <c r="BQ23" s="190" t="s">
        <v>373</v>
      </c>
      <c r="BR23" s="191" t="s">
        <v>373</v>
      </c>
      <c r="BS23" s="191" t="s">
        <v>373</v>
      </c>
      <c r="BT23" s="191" t="s">
        <v>373</v>
      </c>
      <c r="BU23" s="191" t="s">
        <v>373</v>
      </c>
      <c r="BV23" s="192" t="s">
        <v>373</v>
      </c>
      <c r="BW23" s="190" t="s">
        <v>373</v>
      </c>
      <c r="BX23" s="191" t="s">
        <v>373</v>
      </c>
      <c r="BY23" s="191" t="s">
        <v>373</v>
      </c>
      <c r="BZ23" s="191" t="s">
        <v>373</v>
      </c>
      <c r="CA23" s="191" t="s">
        <v>373</v>
      </c>
      <c r="CB23" s="192" t="s">
        <v>373</v>
      </c>
      <c r="CC23" s="193" t="s">
        <v>373</v>
      </c>
      <c r="CD23" s="194" t="s">
        <v>373</v>
      </c>
      <c r="CE23" s="194" t="s">
        <v>373</v>
      </c>
      <c r="CF23" s="194" t="s">
        <v>373</v>
      </c>
      <c r="CG23" s="194" t="s">
        <v>373</v>
      </c>
      <c r="CH23" s="195" t="s">
        <v>373</v>
      </c>
      <c r="CI23" s="181"/>
      <c r="CJ23" s="998"/>
      <c r="CK23" s="999"/>
      <c r="CL23" s="999"/>
      <c r="CM23" s="999"/>
      <c r="CN23" s="999"/>
      <c r="CO23" s="1000"/>
    </row>
    <row r="24" spans="2:93" ht="9" customHeight="1" x14ac:dyDescent="0.35">
      <c r="B24" s="1101"/>
      <c r="C24" s="1101"/>
      <c r="D24" s="1102"/>
      <c r="E24" s="1025"/>
      <c r="F24" s="1026"/>
      <c r="G24" s="1026"/>
      <c r="H24" s="1026"/>
      <c r="I24" s="1027"/>
      <c r="J24" s="1047" t="s">
        <v>373</v>
      </c>
      <c r="K24" s="1039"/>
      <c r="L24" s="1039" t="s">
        <v>373</v>
      </c>
      <c r="M24" s="1039"/>
      <c r="N24" s="1039" t="s">
        <v>373</v>
      </c>
      <c r="O24" s="1040"/>
      <c r="P24" s="1047" t="s">
        <v>373</v>
      </c>
      <c r="Q24" s="1039"/>
      <c r="R24" s="1039" t="s">
        <v>373</v>
      </c>
      <c r="S24" s="1039"/>
      <c r="T24" s="1039" t="s">
        <v>373</v>
      </c>
      <c r="U24" s="1040"/>
      <c r="V24" s="1047" t="s">
        <v>373</v>
      </c>
      <c r="W24" s="1039"/>
      <c r="X24" s="1039" t="s">
        <v>373</v>
      </c>
      <c r="Y24" s="1039"/>
      <c r="Z24" s="1039" t="s">
        <v>373</v>
      </c>
      <c r="AA24" s="1040"/>
      <c r="AB24" s="966" t="s">
        <v>373</v>
      </c>
      <c r="AC24" s="967"/>
      <c r="AD24" s="967" t="s">
        <v>373</v>
      </c>
      <c r="AE24" s="967"/>
      <c r="AF24" s="967" t="s">
        <v>373</v>
      </c>
      <c r="AG24" s="970"/>
      <c r="AH24" s="1033" t="s">
        <v>373</v>
      </c>
      <c r="AI24" s="1034"/>
      <c r="AJ24" s="1034" t="s">
        <v>373</v>
      </c>
      <c r="AK24" s="1034"/>
      <c r="AL24" s="1034" t="s">
        <v>373</v>
      </c>
      <c r="AM24" s="1037"/>
      <c r="AN24" s="182"/>
      <c r="AO24" s="1075"/>
      <c r="AP24" s="1076"/>
      <c r="AQ24" s="1076"/>
      <c r="AR24" s="1076"/>
      <c r="AS24" s="1076"/>
      <c r="AT24" s="1077"/>
      <c r="AW24" s="983"/>
      <c r="AX24" s="983"/>
      <c r="AY24" s="984"/>
      <c r="AZ24" s="975"/>
      <c r="BA24" s="976"/>
      <c r="BB24" s="976"/>
      <c r="BC24" s="976"/>
      <c r="BD24" s="976"/>
      <c r="BE24" s="205" t="s">
        <v>373</v>
      </c>
      <c r="BF24" s="206" t="s">
        <v>373</v>
      </c>
      <c r="BG24" s="206" t="s">
        <v>373</v>
      </c>
      <c r="BH24" s="206" t="s">
        <v>373</v>
      </c>
      <c r="BI24" s="206" t="s">
        <v>373</v>
      </c>
      <c r="BJ24" s="207" t="s">
        <v>373</v>
      </c>
      <c r="BK24" s="205" t="s">
        <v>373</v>
      </c>
      <c r="BL24" s="206" t="s">
        <v>373</v>
      </c>
      <c r="BM24" s="206" t="s">
        <v>373</v>
      </c>
      <c r="BN24" s="206" t="s">
        <v>373</v>
      </c>
      <c r="BO24" s="206" t="s">
        <v>373</v>
      </c>
      <c r="BP24" s="207" t="s">
        <v>373</v>
      </c>
      <c r="BQ24" s="190" t="s">
        <v>373</v>
      </c>
      <c r="BR24" s="191" t="s">
        <v>373</v>
      </c>
      <c r="BS24" s="191" t="s">
        <v>373</v>
      </c>
      <c r="BT24" s="191" t="s">
        <v>373</v>
      </c>
      <c r="BU24" s="191" t="s">
        <v>373</v>
      </c>
      <c r="BV24" s="192" t="s">
        <v>373</v>
      </c>
      <c r="BW24" s="190" t="s">
        <v>373</v>
      </c>
      <c r="BX24" s="191" t="s">
        <v>373</v>
      </c>
      <c r="BY24" s="191" t="s">
        <v>373</v>
      </c>
      <c r="BZ24" s="191" t="s">
        <v>373</v>
      </c>
      <c r="CA24" s="191" t="s">
        <v>373</v>
      </c>
      <c r="CB24" s="192" t="s">
        <v>373</v>
      </c>
      <c r="CC24" s="193" t="s">
        <v>373</v>
      </c>
      <c r="CD24" s="194" t="s">
        <v>373</v>
      </c>
      <c r="CE24" s="194" t="s">
        <v>373</v>
      </c>
      <c r="CF24" s="194" t="s">
        <v>373</v>
      </c>
      <c r="CG24" s="194" t="s">
        <v>373</v>
      </c>
      <c r="CH24" s="195" t="s">
        <v>373</v>
      </c>
      <c r="CI24" s="181"/>
      <c r="CJ24" s="998"/>
      <c r="CK24" s="999"/>
      <c r="CL24" s="999"/>
      <c r="CM24" s="999"/>
      <c r="CN24" s="999"/>
      <c r="CO24" s="1000"/>
    </row>
    <row r="25" spans="2:93" ht="9" customHeight="1" thickBot="1" x14ac:dyDescent="0.4">
      <c r="B25" s="1101"/>
      <c r="C25" s="1101"/>
      <c r="D25" s="1102"/>
      <c r="E25" s="1025"/>
      <c r="F25" s="1026"/>
      <c r="G25" s="1026"/>
      <c r="H25" s="1026"/>
      <c r="I25" s="1027"/>
      <c r="J25" s="1047"/>
      <c r="K25" s="1039"/>
      <c r="L25" s="1039"/>
      <c r="M25" s="1039"/>
      <c r="N25" s="1039"/>
      <c r="O25" s="1040"/>
      <c r="P25" s="1047"/>
      <c r="Q25" s="1039"/>
      <c r="R25" s="1039"/>
      <c r="S25" s="1039"/>
      <c r="T25" s="1039"/>
      <c r="U25" s="1040"/>
      <c r="V25" s="1047"/>
      <c r="W25" s="1039"/>
      <c r="X25" s="1039"/>
      <c r="Y25" s="1039"/>
      <c r="Z25" s="1039"/>
      <c r="AA25" s="1040"/>
      <c r="AB25" s="966"/>
      <c r="AC25" s="967"/>
      <c r="AD25" s="967"/>
      <c r="AE25" s="967"/>
      <c r="AF25" s="967"/>
      <c r="AG25" s="970"/>
      <c r="AH25" s="1033"/>
      <c r="AI25" s="1034"/>
      <c r="AJ25" s="1034"/>
      <c r="AK25" s="1034"/>
      <c r="AL25" s="1034"/>
      <c r="AM25" s="1037"/>
      <c r="AN25" s="182"/>
      <c r="AO25" s="1075"/>
      <c r="AP25" s="1076"/>
      <c r="AQ25" s="1076"/>
      <c r="AR25" s="1076"/>
      <c r="AS25" s="1076"/>
      <c r="AT25" s="1077"/>
      <c r="AW25" s="983"/>
      <c r="AX25" s="983"/>
      <c r="AY25" s="984"/>
      <c r="AZ25" s="978"/>
      <c r="BA25" s="979"/>
      <c r="BB25" s="979"/>
      <c r="BC25" s="979"/>
      <c r="BD25" s="979"/>
      <c r="BE25" s="208" t="s">
        <v>373</v>
      </c>
      <c r="BF25" s="209" t="s">
        <v>373</v>
      </c>
      <c r="BG25" s="209" t="s">
        <v>373</v>
      </c>
      <c r="BH25" s="209" t="s">
        <v>373</v>
      </c>
      <c r="BI25" s="209" t="s">
        <v>373</v>
      </c>
      <c r="BJ25" s="210" t="s">
        <v>373</v>
      </c>
      <c r="BK25" s="208" t="s">
        <v>373</v>
      </c>
      <c r="BL25" s="209" t="s">
        <v>373</v>
      </c>
      <c r="BM25" s="209" t="s">
        <v>373</v>
      </c>
      <c r="BN25" s="209" t="s">
        <v>373</v>
      </c>
      <c r="BO25" s="209" t="s">
        <v>373</v>
      </c>
      <c r="BP25" s="210" t="s">
        <v>373</v>
      </c>
      <c r="BQ25" s="196" t="s">
        <v>373</v>
      </c>
      <c r="BR25" s="197" t="s">
        <v>373</v>
      </c>
      <c r="BS25" s="197" t="s">
        <v>373</v>
      </c>
      <c r="BT25" s="197" t="s">
        <v>373</v>
      </c>
      <c r="BU25" s="197" t="s">
        <v>373</v>
      </c>
      <c r="BV25" s="198" t="s">
        <v>373</v>
      </c>
      <c r="BW25" s="196" t="s">
        <v>373</v>
      </c>
      <c r="BX25" s="197" t="s">
        <v>373</v>
      </c>
      <c r="BY25" s="197" t="s">
        <v>373</v>
      </c>
      <c r="BZ25" s="197" t="s">
        <v>373</v>
      </c>
      <c r="CA25" s="197" t="s">
        <v>373</v>
      </c>
      <c r="CB25" s="198" t="s">
        <v>373</v>
      </c>
      <c r="CC25" s="199" t="s">
        <v>373</v>
      </c>
      <c r="CD25" s="200" t="s">
        <v>373</v>
      </c>
      <c r="CE25" s="200" t="s">
        <v>373</v>
      </c>
      <c r="CF25" s="200" t="s">
        <v>373</v>
      </c>
      <c r="CG25" s="200" t="s">
        <v>373</v>
      </c>
      <c r="CH25" s="201" t="s">
        <v>373</v>
      </c>
      <c r="CI25" s="181"/>
      <c r="CJ25" s="1001"/>
      <c r="CK25" s="1002"/>
      <c r="CL25" s="1002"/>
      <c r="CM25" s="1002"/>
      <c r="CN25" s="1002"/>
      <c r="CO25" s="1003"/>
    </row>
    <row r="26" spans="2:93" ht="9" customHeight="1" x14ac:dyDescent="0.35">
      <c r="B26" s="1101"/>
      <c r="C26" s="1101"/>
      <c r="D26" s="1102"/>
      <c r="E26" s="1025"/>
      <c r="F26" s="1026"/>
      <c r="G26" s="1026"/>
      <c r="H26" s="1026"/>
      <c r="I26" s="1027"/>
      <c r="J26" s="1047" t="s">
        <v>373</v>
      </c>
      <c r="K26" s="1039"/>
      <c r="L26" s="1039" t="s">
        <v>373</v>
      </c>
      <c r="M26" s="1039"/>
      <c r="N26" s="1039" t="s">
        <v>373</v>
      </c>
      <c r="O26" s="1040"/>
      <c r="P26" s="1047" t="s">
        <v>373</v>
      </c>
      <c r="Q26" s="1039"/>
      <c r="R26" s="1039" t="s">
        <v>373</v>
      </c>
      <c r="S26" s="1039"/>
      <c r="T26" s="1039" t="s">
        <v>373</v>
      </c>
      <c r="U26" s="1040"/>
      <c r="V26" s="1047" t="s">
        <v>373</v>
      </c>
      <c r="W26" s="1039"/>
      <c r="X26" s="1039" t="s">
        <v>373</v>
      </c>
      <c r="Y26" s="1039"/>
      <c r="Z26" s="1039" t="s">
        <v>373</v>
      </c>
      <c r="AA26" s="1040"/>
      <c r="AB26" s="966" t="s">
        <v>373</v>
      </c>
      <c r="AC26" s="967"/>
      <c r="AD26" s="967" t="s">
        <v>373</v>
      </c>
      <c r="AE26" s="967"/>
      <c r="AF26" s="967" t="s">
        <v>373</v>
      </c>
      <c r="AG26" s="970"/>
      <c r="AH26" s="1033" t="s">
        <v>373</v>
      </c>
      <c r="AI26" s="1034"/>
      <c r="AJ26" s="1034" t="s">
        <v>373</v>
      </c>
      <c r="AK26" s="1034"/>
      <c r="AL26" s="1034" t="s">
        <v>373</v>
      </c>
      <c r="AM26" s="1037"/>
      <c r="AN26" s="182"/>
      <c r="AO26" s="1075"/>
      <c r="AP26" s="1076"/>
      <c r="AQ26" s="1076"/>
      <c r="AR26" s="1076"/>
      <c r="AS26" s="1076"/>
      <c r="AT26" s="1077"/>
      <c r="AW26" s="983"/>
      <c r="AX26" s="983"/>
      <c r="AY26" s="984"/>
      <c r="AZ26" s="972" t="s">
        <v>117</v>
      </c>
      <c r="BA26" s="973"/>
      <c r="BB26" s="973"/>
      <c r="BC26" s="973"/>
      <c r="BD26" s="974"/>
      <c r="BE26" s="202" t="s">
        <v>373</v>
      </c>
      <c r="BF26" s="203" t="s">
        <v>373</v>
      </c>
      <c r="BG26" s="203" t="s">
        <v>373</v>
      </c>
      <c r="BH26" s="203" t="s">
        <v>373</v>
      </c>
      <c r="BI26" s="203" t="s">
        <v>373</v>
      </c>
      <c r="BJ26" s="204" t="s">
        <v>373</v>
      </c>
      <c r="BK26" s="202" t="s">
        <v>373</v>
      </c>
      <c r="BL26" s="203" t="s">
        <v>373</v>
      </c>
      <c r="BM26" s="203" t="s">
        <v>373</v>
      </c>
      <c r="BN26" s="203" t="s">
        <v>373</v>
      </c>
      <c r="BO26" s="203" t="s">
        <v>373</v>
      </c>
      <c r="BP26" s="204" t="s">
        <v>373</v>
      </c>
      <c r="BQ26" s="202" t="s">
        <v>373</v>
      </c>
      <c r="BR26" s="203" t="s">
        <v>373</v>
      </c>
      <c r="BS26" s="203" t="s">
        <v>373</v>
      </c>
      <c r="BT26" s="203" t="s">
        <v>373</v>
      </c>
      <c r="BU26" s="203" t="s">
        <v>373</v>
      </c>
      <c r="BV26" s="204" t="s">
        <v>373</v>
      </c>
      <c r="BW26" s="184" t="s">
        <v>373</v>
      </c>
      <c r="BX26" s="185" t="s">
        <v>373</v>
      </c>
      <c r="BY26" s="185" t="s">
        <v>373</v>
      </c>
      <c r="BZ26" s="185" t="s">
        <v>373</v>
      </c>
      <c r="CA26" s="185" t="s">
        <v>373</v>
      </c>
      <c r="CB26" s="186" t="s">
        <v>373</v>
      </c>
      <c r="CC26" s="187" t="s">
        <v>373</v>
      </c>
      <c r="CD26" s="188" t="s">
        <v>373</v>
      </c>
      <c r="CE26" s="188" t="s">
        <v>373</v>
      </c>
      <c r="CF26" s="188" t="s">
        <v>373</v>
      </c>
      <c r="CG26" s="188" t="s">
        <v>373</v>
      </c>
      <c r="CH26" s="189" t="s">
        <v>373</v>
      </c>
      <c r="CI26" s="181"/>
      <c r="CJ26" s="1004" t="s">
        <v>81</v>
      </c>
      <c r="CK26" s="1005"/>
      <c r="CL26" s="1005"/>
      <c r="CM26" s="1005"/>
      <c r="CN26" s="1005"/>
      <c r="CO26" s="1006"/>
    </row>
    <row r="27" spans="2:93" ht="9" customHeight="1" x14ac:dyDescent="0.35">
      <c r="B27" s="1101"/>
      <c r="C27" s="1101"/>
      <c r="D27" s="1102"/>
      <c r="E27" s="1025"/>
      <c r="F27" s="1026"/>
      <c r="G27" s="1026"/>
      <c r="H27" s="1026"/>
      <c r="I27" s="1027"/>
      <c r="J27" s="1047"/>
      <c r="K27" s="1039"/>
      <c r="L27" s="1039"/>
      <c r="M27" s="1039"/>
      <c r="N27" s="1039"/>
      <c r="O27" s="1040"/>
      <c r="P27" s="1047"/>
      <c r="Q27" s="1039"/>
      <c r="R27" s="1039"/>
      <c r="S27" s="1039"/>
      <c r="T27" s="1039"/>
      <c r="U27" s="1040"/>
      <c r="V27" s="1047"/>
      <c r="W27" s="1039"/>
      <c r="X27" s="1039"/>
      <c r="Y27" s="1039"/>
      <c r="Z27" s="1039"/>
      <c r="AA27" s="1040"/>
      <c r="AB27" s="966"/>
      <c r="AC27" s="967"/>
      <c r="AD27" s="967"/>
      <c r="AE27" s="967"/>
      <c r="AF27" s="967"/>
      <c r="AG27" s="970"/>
      <c r="AH27" s="1033"/>
      <c r="AI27" s="1034"/>
      <c r="AJ27" s="1034"/>
      <c r="AK27" s="1034"/>
      <c r="AL27" s="1034"/>
      <c r="AM27" s="1037"/>
      <c r="AN27" s="182"/>
      <c r="AO27" s="1075"/>
      <c r="AP27" s="1076"/>
      <c r="AQ27" s="1076"/>
      <c r="AR27" s="1076"/>
      <c r="AS27" s="1076"/>
      <c r="AT27" s="1077"/>
      <c r="AW27" s="983"/>
      <c r="AX27" s="983"/>
      <c r="AY27" s="984"/>
      <c r="AZ27" s="994"/>
      <c r="BA27" s="976"/>
      <c r="BB27" s="976"/>
      <c r="BC27" s="976"/>
      <c r="BD27" s="977"/>
      <c r="BE27" s="205" t="s">
        <v>373</v>
      </c>
      <c r="BF27" s="206" t="s">
        <v>373</v>
      </c>
      <c r="BG27" s="206" t="s">
        <v>373</v>
      </c>
      <c r="BH27" s="206" t="s">
        <v>373</v>
      </c>
      <c r="BI27" s="206" t="s">
        <v>373</v>
      </c>
      <c r="BJ27" s="207" t="s">
        <v>373</v>
      </c>
      <c r="BK27" s="205" t="s">
        <v>373</v>
      </c>
      <c r="BL27" s="206" t="s">
        <v>373</v>
      </c>
      <c r="BM27" s="206" t="s">
        <v>373</v>
      </c>
      <c r="BN27" s="206" t="s">
        <v>373</v>
      </c>
      <c r="BO27" s="206" t="s">
        <v>373</v>
      </c>
      <c r="BP27" s="207" t="s">
        <v>373</v>
      </c>
      <c r="BQ27" s="205" t="s">
        <v>373</v>
      </c>
      <c r="BR27" s="206" t="s">
        <v>373</v>
      </c>
      <c r="BS27" s="206" t="s">
        <v>373</v>
      </c>
      <c r="BT27" s="206" t="s">
        <v>373</v>
      </c>
      <c r="BU27" s="206" t="s">
        <v>373</v>
      </c>
      <c r="BV27" s="207" t="s">
        <v>373</v>
      </c>
      <c r="BW27" s="190" t="s">
        <v>373</v>
      </c>
      <c r="BX27" s="191" t="s">
        <v>373</v>
      </c>
      <c r="BY27" s="191" t="s">
        <v>373</v>
      </c>
      <c r="BZ27" s="191" t="s">
        <v>373</v>
      </c>
      <c r="CA27" s="191" t="s">
        <v>373</v>
      </c>
      <c r="CB27" s="192" t="s">
        <v>373</v>
      </c>
      <c r="CC27" s="193" t="s">
        <v>373</v>
      </c>
      <c r="CD27" s="194" t="s">
        <v>373</v>
      </c>
      <c r="CE27" s="194" t="s">
        <v>373</v>
      </c>
      <c r="CF27" s="194" t="s">
        <v>373</v>
      </c>
      <c r="CG27" s="194" t="s">
        <v>373</v>
      </c>
      <c r="CH27" s="195" t="s">
        <v>373</v>
      </c>
      <c r="CI27" s="181"/>
      <c r="CJ27" s="1007"/>
      <c r="CK27" s="1008"/>
      <c r="CL27" s="1008"/>
      <c r="CM27" s="1008"/>
      <c r="CN27" s="1008"/>
      <c r="CO27" s="1009"/>
    </row>
    <row r="28" spans="2:93" ht="9" customHeight="1" x14ac:dyDescent="0.35">
      <c r="B28" s="1101"/>
      <c r="C28" s="1101"/>
      <c r="D28" s="1102"/>
      <c r="E28" s="1025"/>
      <c r="F28" s="1026"/>
      <c r="G28" s="1026"/>
      <c r="H28" s="1026"/>
      <c r="I28" s="1027"/>
      <c r="J28" s="1047" t="s">
        <v>373</v>
      </c>
      <c r="K28" s="1039"/>
      <c r="L28" s="1039" t="s">
        <v>373</v>
      </c>
      <c r="M28" s="1039"/>
      <c r="N28" s="1039" t="s">
        <v>373</v>
      </c>
      <c r="O28" s="1040"/>
      <c r="P28" s="1047" t="s">
        <v>373</v>
      </c>
      <c r="Q28" s="1039"/>
      <c r="R28" s="1039" t="s">
        <v>373</v>
      </c>
      <c r="S28" s="1039"/>
      <c r="T28" s="1039" t="s">
        <v>373</v>
      </c>
      <c r="U28" s="1040"/>
      <c r="V28" s="1047" t="s">
        <v>373</v>
      </c>
      <c r="W28" s="1039"/>
      <c r="X28" s="1039" t="s">
        <v>373</v>
      </c>
      <c r="Y28" s="1039"/>
      <c r="Z28" s="1039" t="s">
        <v>373</v>
      </c>
      <c r="AA28" s="1040"/>
      <c r="AB28" s="966" t="s">
        <v>373</v>
      </c>
      <c r="AC28" s="967"/>
      <c r="AD28" s="967" t="s">
        <v>373</v>
      </c>
      <c r="AE28" s="967"/>
      <c r="AF28" s="967" t="s">
        <v>373</v>
      </c>
      <c r="AG28" s="970"/>
      <c r="AH28" s="1033" t="s">
        <v>373</v>
      </c>
      <c r="AI28" s="1034"/>
      <c r="AJ28" s="1034" t="s">
        <v>373</v>
      </c>
      <c r="AK28" s="1034"/>
      <c r="AL28" s="1034" t="s">
        <v>373</v>
      </c>
      <c r="AM28" s="1037"/>
      <c r="AN28" s="182"/>
      <c r="AO28" s="1075"/>
      <c r="AP28" s="1076"/>
      <c r="AQ28" s="1076"/>
      <c r="AR28" s="1076"/>
      <c r="AS28" s="1076"/>
      <c r="AT28" s="1077"/>
      <c r="AW28" s="983"/>
      <c r="AX28" s="983"/>
      <c r="AY28" s="984"/>
      <c r="AZ28" s="975"/>
      <c r="BA28" s="976"/>
      <c r="BB28" s="976"/>
      <c r="BC28" s="976"/>
      <c r="BD28" s="977"/>
      <c r="BE28" s="205" t="s">
        <v>373</v>
      </c>
      <c r="BF28" s="206" t="s">
        <v>373</v>
      </c>
      <c r="BG28" s="206" t="s">
        <v>373</v>
      </c>
      <c r="BH28" s="206" t="s">
        <v>373</v>
      </c>
      <c r="BI28" s="206" t="s">
        <v>373</v>
      </c>
      <c r="BJ28" s="207" t="s">
        <v>373</v>
      </c>
      <c r="BK28" s="205" t="s">
        <v>373</v>
      </c>
      <c r="BL28" s="206" t="s">
        <v>373</v>
      </c>
      <c r="BM28" s="206" t="s">
        <v>373</v>
      </c>
      <c r="BN28" s="206" t="s">
        <v>373</v>
      </c>
      <c r="BO28" s="206" t="s">
        <v>373</v>
      </c>
      <c r="BP28" s="207" t="s">
        <v>373</v>
      </c>
      <c r="BQ28" s="205" t="s">
        <v>373</v>
      </c>
      <c r="BR28" s="206" t="s">
        <v>373</v>
      </c>
      <c r="BS28" s="206" t="s">
        <v>373</v>
      </c>
      <c r="BT28" s="206" t="s">
        <v>373</v>
      </c>
      <c r="BU28" s="206" t="s">
        <v>373</v>
      </c>
      <c r="BV28" s="207" t="s">
        <v>373</v>
      </c>
      <c r="BW28" s="190" t="s">
        <v>373</v>
      </c>
      <c r="BX28" s="191" t="s">
        <v>373</v>
      </c>
      <c r="BY28" s="191" t="s">
        <v>373</v>
      </c>
      <c r="BZ28" s="191" t="s">
        <v>373</v>
      </c>
      <c r="CA28" s="191" t="s">
        <v>373</v>
      </c>
      <c r="CB28" s="192" t="s">
        <v>373</v>
      </c>
      <c r="CC28" s="193" t="s">
        <v>373</v>
      </c>
      <c r="CD28" s="194" t="s">
        <v>373</v>
      </c>
      <c r="CE28" s="194" t="s">
        <v>373</v>
      </c>
      <c r="CF28" s="194" t="s">
        <v>373</v>
      </c>
      <c r="CG28" s="194" t="s">
        <v>373</v>
      </c>
      <c r="CH28" s="195" t="s">
        <v>373</v>
      </c>
      <c r="CI28" s="181"/>
      <c r="CJ28" s="1007"/>
      <c r="CK28" s="1008"/>
      <c r="CL28" s="1008"/>
      <c r="CM28" s="1008"/>
      <c r="CN28" s="1008"/>
      <c r="CO28" s="1009"/>
    </row>
    <row r="29" spans="2:93" ht="9" customHeight="1" thickBot="1" x14ac:dyDescent="0.4">
      <c r="B29" s="1101"/>
      <c r="C29" s="1101"/>
      <c r="D29" s="1102"/>
      <c r="E29" s="1028"/>
      <c r="F29" s="1029"/>
      <c r="G29" s="1029"/>
      <c r="H29" s="1029"/>
      <c r="I29" s="1030"/>
      <c r="J29" s="1047"/>
      <c r="K29" s="1039"/>
      <c r="L29" s="1039"/>
      <c r="M29" s="1039"/>
      <c r="N29" s="1039"/>
      <c r="O29" s="1040"/>
      <c r="P29" s="1048"/>
      <c r="Q29" s="1049"/>
      <c r="R29" s="1049"/>
      <c r="S29" s="1049"/>
      <c r="T29" s="1049"/>
      <c r="U29" s="1050"/>
      <c r="V29" s="1048"/>
      <c r="W29" s="1049"/>
      <c r="X29" s="1049"/>
      <c r="Y29" s="1049"/>
      <c r="Z29" s="1049"/>
      <c r="AA29" s="1050"/>
      <c r="AB29" s="968"/>
      <c r="AC29" s="969"/>
      <c r="AD29" s="969"/>
      <c r="AE29" s="969"/>
      <c r="AF29" s="969"/>
      <c r="AG29" s="971"/>
      <c r="AH29" s="1035"/>
      <c r="AI29" s="1036"/>
      <c r="AJ29" s="1036"/>
      <c r="AK29" s="1036"/>
      <c r="AL29" s="1036"/>
      <c r="AM29" s="1038"/>
      <c r="AN29" s="182"/>
      <c r="AO29" s="1078"/>
      <c r="AP29" s="1079"/>
      <c r="AQ29" s="1079"/>
      <c r="AR29" s="1079"/>
      <c r="AS29" s="1079"/>
      <c r="AT29" s="1080"/>
      <c r="AW29" s="983"/>
      <c r="AX29" s="983"/>
      <c r="AY29" s="984"/>
      <c r="AZ29" s="975"/>
      <c r="BA29" s="976"/>
      <c r="BB29" s="976"/>
      <c r="BC29" s="976"/>
      <c r="BD29" s="977"/>
      <c r="BE29" s="205" t="s">
        <v>373</v>
      </c>
      <c r="BF29" s="206" t="s">
        <v>373</v>
      </c>
      <c r="BG29" s="206" t="s">
        <v>373</v>
      </c>
      <c r="BH29" s="206" t="s">
        <v>373</v>
      </c>
      <c r="BI29" s="206" t="s">
        <v>373</v>
      </c>
      <c r="BJ29" s="207" t="s">
        <v>373</v>
      </c>
      <c r="BK29" s="205" t="s">
        <v>373</v>
      </c>
      <c r="BL29" s="206" t="s">
        <v>373</v>
      </c>
      <c r="BM29" s="206" t="s">
        <v>373</v>
      </c>
      <c r="BN29" s="206" t="s">
        <v>373</v>
      </c>
      <c r="BO29" s="206" t="s">
        <v>373</v>
      </c>
      <c r="BP29" s="207" t="s">
        <v>373</v>
      </c>
      <c r="BQ29" s="205" t="s">
        <v>373</v>
      </c>
      <c r="BR29" s="206" t="s">
        <v>373</v>
      </c>
      <c r="BS29" s="206" t="s">
        <v>373</v>
      </c>
      <c r="BT29" s="206" t="s">
        <v>373</v>
      </c>
      <c r="BU29" s="206" t="s">
        <v>373</v>
      </c>
      <c r="BV29" s="207" t="s">
        <v>373</v>
      </c>
      <c r="BW29" s="190" t="s">
        <v>373</v>
      </c>
      <c r="BX29" s="191" t="s">
        <v>373</v>
      </c>
      <c r="BY29" s="191" t="s">
        <v>373</v>
      </c>
      <c r="BZ29" s="191" t="s">
        <v>373</v>
      </c>
      <c r="CA29" s="191" t="s">
        <v>373</v>
      </c>
      <c r="CB29" s="192" t="s">
        <v>373</v>
      </c>
      <c r="CC29" s="193" t="s">
        <v>373</v>
      </c>
      <c r="CD29" s="194" t="s">
        <v>373</v>
      </c>
      <c r="CE29" s="194" t="s">
        <v>373</v>
      </c>
      <c r="CF29" s="194" t="s">
        <v>373</v>
      </c>
      <c r="CG29" s="194" t="s">
        <v>373</v>
      </c>
      <c r="CH29" s="195" t="s">
        <v>373</v>
      </c>
      <c r="CI29" s="181"/>
      <c r="CJ29" s="1007"/>
      <c r="CK29" s="1008"/>
      <c r="CL29" s="1008"/>
      <c r="CM29" s="1008"/>
      <c r="CN29" s="1008"/>
      <c r="CO29" s="1009"/>
    </row>
    <row r="30" spans="2:93" ht="9" customHeight="1" x14ac:dyDescent="0.35">
      <c r="B30" s="1101"/>
      <c r="C30" s="1101"/>
      <c r="D30" s="1102"/>
      <c r="E30" s="1022" t="s">
        <v>114</v>
      </c>
      <c r="F30" s="1023"/>
      <c r="G30" s="1023"/>
      <c r="H30" s="1023"/>
      <c r="I30" s="1023"/>
      <c r="J30" s="1060" t="s">
        <v>373</v>
      </c>
      <c r="K30" s="1061"/>
      <c r="L30" s="1061" t="s">
        <v>373</v>
      </c>
      <c r="M30" s="1061"/>
      <c r="N30" s="1061" t="s">
        <v>373</v>
      </c>
      <c r="O30" s="1062"/>
      <c r="P30" s="1055" t="s">
        <v>373</v>
      </c>
      <c r="Q30" s="1055"/>
      <c r="R30" s="1055" t="s">
        <v>373</v>
      </c>
      <c r="S30" s="1055"/>
      <c r="T30" s="1055" t="s">
        <v>373</v>
      </c>
      <c r="U30" s="1056"/>
      <c r="V30" s="1054" t="s">
        <v>373</v>
      </c>
      <c r="W30" s="1055"/>
      <c r="X30" s="1055" t="s">
        <v>373</v>
      </c>
      <c r="Y30" s="1055"/>
      <c r="Z30" s="1055" t="s">
        <v>373</v>
      </c>
      <c r="AA30" s="1056"/>
      <c r="AB30" s="1057" t="s">
        <v>373</v>
      </c>
      <c r="AC30" s="1058"/>
      <c r="AD30" s="1058" t="s">
        <v>373</v>
      </c>
      <c r="AE30" s="1058"/>
      <c r="AF30" s="1058" t="s">
        <v>373</v>
      </c>
      <c r="AG30" s="1059"/>
      <c r="AH30" s="1051" t="s">
        <v>373</v>
      </c>
      <c r="AI30" s="1052"/>
      <c r="AJ30" s="1052" t="s">
        <v>373</v>
      </c>
      <c r="AK30" s="1052"/>
      <c r="AL30" s="1052" t="s">
        <v>373</v>
      </c>
      <c r="AM30" s="1053"/>
      <c r="AN30" s="182"/>
      <c r="AO30" s="1063" t="s">
        <v>82</v>
      </c>
      <c r="AP30" s="1064"/>
      <c r="AQ30" s="1064"/>
      <c r="AR30" s="1064"/>
      <c r="AS30" s="1064"/>
      <c r="AT30" s="1065"/>
      <c r="AW30" s="983"/>
      <c r="AX30" s="983"/>
      <c r="AY30" s="984"/>
      <c r="AZ30" s="975"/>
      <c r="BA30" s="976"/>
      <c r="BB30" s="976"/>
      <c r="BC30" s="976"/>
      <c r="BD30" s="977"/>
      <c r="BE30" s="205" t="s">
        <v>373</v>
      </c>
      <c r="BF30" s="206" t="s">
        <v>373</v>
      </c>
      <c r="BG30" s="206" t="s">
        <v>373</v>
      </c>
      <c r="BH30" s="206" t="s">
        <v>373</v>
      </c>
      <c r="BI30" s="206" t="s">
        <v>373</v>
      </c>
      <c r="BJ30" s="207" t="s">
        <v>373</v>
      </c>
      <c r="BK30" s="205" t="s">
        <v>373</v>
      </c>
      <c r="BL30" s="206" t="s">
        <v>373</v>
      </c>
      <c r="BM30" s="206" t="s">
        <v>373</v>
      </c>
      <c r="BN30" s="206" t="s">
        <v>373</v>
      </c>
      <c r="BO30" s="206" t="s">
        <v>373</v>
      </c>
      <c r="BP30" s="207" t="s">
        <v>373</v>
      </c>
      <c r="BQ30" s="205" t="s">
        <v>373</v>
      </c>
      <c r="BR30" s="206" t="s">
        <v>373</v>
      </c>
      <c r="BS30" s="206" t="s">
        <v>373</v>
      </c>
      <c r="BT30" s="206" t="s">
        <v>373</v>
      </c>
      <c r="BU30" s="206" t="s">
        <v>373</v>
      </c>
      <c r="BV30" s="207" t="s">
        <v>373</v>
      </c>
      <c r="BW30" s="190" t="s">
        <v>373</v>
      </c>
      <c r="BX30" s="191" t="s">
        <v>373</v>
      </c>
      <c r="BY30" s="191" t="s">
        <v>373</v>
      </c>
      <c r="BZ30" s="191" t="s">
        <v>373</v>
      </c>
      <c r="CA30" s="191" t="s">
        <v>373</v>
      </c>
      <c r="CB30" s="192" t="s">
        <v>373</v>
      </c>
      <c r="CC30" s="193" t="s">
        <v>373</v>
      </c>
      <c r="CD30" s="194" t="s">
        <v>373</v>
      </c>
      <c r="CE30" s="194" t="s">
        <v>373</v>
      </c>
      <c r="CF30" s="194" t="s">
        <v>373</v>
      </c>
      <c r="CG30" s="194" t="s">
        <v>373</v>
      </c>
      <c r="CH30" s="195" t="s">
        <v>373</v>
      </c>
      <c r="CI30" s="181"/>
      <c r="CJ30" s="1007"/>
      <c r="CK30" s="1008"/>
      <c r="CL30" s="1008"/>
      <c r="CM30" s="1008"/>
      <c r="CN30" s="1008"/>
      <c r="CO30" s="1009"/>
    </row>
    <row r="31" spans="2:93" ht="9" customHeight="1" x14ac:dyDescent="0.35">
      <c r="B31" s="1101"/>
      <c r="C31" s="1101"/>
      <c r="D31" s="1102"/>
      <c r="E31" s="1025"/>
      <c r="F31" s="1026"/>
      <c r="G31" s="1026"/>
      <c r="H31" s="1026"/>
      <c r="I31" s="1026"/>
      <c r="J31" s="1041"/>
      <c r="K31" s="1042"/>
      <c r="L31" s="1042"/>
      <c r="M31" s="1042"/>
      <c r="N31" s="1042"/>
      <c r="O31" s="1045"/>
      <c r="P31" s="1039"/>
      <c r="Q31" s="1039"/>
      <c r="R31" s="1039"/>
      <c r="S31" s="1039"/>
      <c r="T31" s="1039"/>
      <c r="U31" s="1040"/>
      <c r="V31" s="1047"/>
      <c r="W31" s="1039"/>
      <c r="X31" s="1039"/>
      <c r="Y31" s="1039"/>
      <c r="Z31" s="1039"/>
      <c r="AA31" s="1040"/>
      <c r="AB31" s="966"/>
      <c r="AC31" s="967"/>
      <c r="AD31" s="967"/>
      <c r="AE31" s="967"/>
      <c r="AF31" s="967"/>
      <c r="AG31" s="970"/>
      <c r="AH31" s="1033"/>
      <c r="AI31" s="1034"/>
      <c r="AJ31" s="1034"/>
      <c r="AK31" s="1034"/>
      <c r="AL31" s="1034"/>
      <c r="AM31" s="1037"/>
      <c r="AN31" s="182"/>
      <c r="AO31" s="1066"/>
      <c r="AP31" s="1067"/>
      <c r="AQ31" s="1067"/>
      <c r="AR31" s="1067"/>
      <c r="AS31" s="1067"/>
      <c r="AT31" s="1068"/>
      <c r="AW31" s="983"/>
      <c r="AX31" s="983"/>
      <c r="AY31" s="984"/>
      <c r="AZ31" s="975"/>
      <c r="BA31" s="976"/>
      <c r="BB31" s="976"/>
      <c r="BC31" s="976"/>
      <c r="BD31" s="977"/>
      <c r="BE31" s="205" t="s">
        <v>373</v>
      </c>
      <c r="BF31" s="206" t="s">
        <v>373</v>
      </c>
      <c r="BG31" s="206" t="s">
        <v>373</v>
      </c>
      <c r="BH31" s="206" t="s">
        <v>373</v>
      </c>
      <c r="BI31" s="206" t="s">
        <v>373</v>
      </c>
      <c r="BJ31" s="207" t="s">
        <v>373</v>
      </c>
      <c r="BK31" s="205" t="s">
        <v>373</v>
      </c>
      <c r="BL31" s="206" t="s">
        <v>373</v>
      </c>
      <c r="BM31" s="206" t="s">
        <v>373</v>
      </c>
      <c r="BN31" s="206" t="s">
        <v>373</v>
      </c>
      <c r="BO31" s="206" t="s">
        <v>373</v>
      </c>
      <c r="BP31" s="207" t="s">
        <v>373</v>
      </c>
      <c r="BQ31" s="205" t="s">
        <v>373</v>
      </c>
      <c r="BR31" s="206" t="s">
        <v>373</v>
      </c>
      <c r="BS31" s="206" t="s">
        <v>373</v>
      </c>
      <c r="BT31" s="206" t="s">
        <v>373</v>
      </c>
      <c r="BU31" s="206" t="s">
        <v>373</v>
      </c>
      <c r="BV31" s="207" t="s">
        <v>373</v>
      </c>
      <c r="BW31" s="190" t="s">
        <v>373</v>
      </c>
      <c r="BX31" s="191" t="s">
        <v>373</v>
      </c>
      <c r="BY31" s="191" t="s">
        <v>373</v>
      </c>
      <c r="BZ31" s="191" t="s">
        <v>373</v>
      </c>
      <c r="CA31" s="191" t="s">
        <v>373</v>
      </c>
      <c r="CB31" s="192" t="s">
        <v>373</v>
      </c>
      <c r="CC31" s="193" t="s">
        <v>373</v>
      </c>
      <c r="CD31" s="194" t="s">
        <v>373</v>
      </c>
      <c r="CE31" s="194" t="s">
        <v>373</v>
      </c>
      <c r="CF31" s="194" t="s">
        <v>373</v>
      </c>
      <c r="CG31" s="194" t="s">
        <v>373</v>
      </c>
      <c r="CH31" s="195" t="s">
        <v>373</v>
      </c>
      <c r="CI31" s="181"/>
      <c r="CJ31" s="1007"/>
      <c r="CK31" s="1008"/>
      <c r="CL31" s="1008"/>
      <c r="CM31" s="1008"/>
      <c r="CN31" s="1008"/>
      <c r="CO31" s="1009"/>
    </row>
    <row r="32" spans="2:93" ht="9" customHeight="1" x14ac:dyDescent="0.35">
      <c r="B32" s="1101"/>
      <c r="C32" s="1101"/>
      <c r="D32" s="1102"/>
      <c r="E32" s="1025"/>
      <c r="F32" s="1026"/>
      <c r="G32" s="1026"/>
      <c r="H32" s="1026"/>
      <c r="I32" s="1026"/>
      <c r="J32" s="1041" t="s">
        <v>373</v>
      </c>
      <c r="K32" s="1042"/>
      <c r="L32" s="1042" t="s">
        <v>373</v>
      </c>
      <c r="M32" s="1042"/>
      <c r="N32" s="1042" t="s">
        <v>373</v>
      </c>
      <c r="O32" s="1045"/>
      <c r="P32" s="1039" t="s">
        <v>373</v>
      </c>
      <c r="Q32" s="1039"/>
      <c r="R32" s="1039" t="s">
        <v>373</v>
      </c>
      <c r="S32" s="1039"/>
      <c r="T32" s="1039" t="s">
        <v>373</v>
      </c>
      <c r="U32" s="1040"/>
      <c r="V32" s="1047" t="s">
        <v>373</v>
      </c>
      <c r="W32" s="1039"/>
      <c r="X32" s="1039" t="s">
        <v>373</v>
      </c>
      <c r="Y32" s="1039"/>
      <c r="Z32" s="1039" t="s">
        <v>373</v>
      </c>
      <c r="AA32" s="1040"/>
      <c r="AB32" s="966" t="s">
        <v>373</v>
      </c>
      <c r="AC32" s="967"/>
      <c r="AD32" s="967" t="s">
        <v>373</v>
      </c>
      <c r="AE32" s="967"/>
      <c r="AF32" s="967" t="s">
        <v>373</v>
      </c>
      <c r="AG32" s="970"/>
      <c r="AH32" s="1033" t="s">
        <v>373</v>
      </c>
      <c r="AI32" s="1034"/>
      <c r="AJ32" s="1034" t="s">
        <v>373</v>
      </c>
      <c r="AK32" s="1034"/>
      <c r="AL32" s="1034" t="s">
        <v>373</v>
      </c>
      <c r="AM32" s="1037"/>
      <c r="AN32" s="182"/>
      <c r="AO32" s="1066"/>
      <c r="AP32" s="1067"/>
      <c r="AQ32" s="1067"/>
      <c r="AR32" s="1067"/>
      <c r="AS32" s="1067"/>
      <c r="AT32" s="1068"/>
      <c r="AW32" s="983"/>
      <c r="AX32" s="983"/>
      <c r="AY32" s="984"/>
      <c r="AZ32" s="975"/>
      <c r="BA32" s="976"/>
      <c r="BB32" s="976"/>
      <c r="BC32" s="976"/>
      <c r="BD32" s="977"/>
      <c r="BE32" s="205" t="s">
        <v>373</v>
      </c>
      <c r="BF32" s="206" t="s">
        <v>373</v>
      </c>
      <c r="BG32" s="206" t="s">
        <v>373</v>
      </c>
      <c r="BH32" s="206" t="s">
        <v>373</v>
      </c>
      <c r="BI32" s="206" t="s">
        <v>373</v>
      </c>
      <c r="BJ32" s="207" t="s">
        <v>373</v>
      </c>
      <c r="BK32" s="205" t="s">
        <v>373</v>
      </c>
      <c r="BL32" s="206" t="s">
        <v>373</v>
      </c>
      <c r="BM32" s="206" t="s">
        <v>373</v>
      </c>
      <c r="BN32" s="206" t="s">
        <v>373</v>
      </c>
      <c r="BO32" s="206" t="s">
        <v>373</v>
      </c>
      <c r="BP32" s="207" t="s">
        <v>373</v>
      </c>
      <c r="BQ32" s="205" t="s">
        <v>373</v>
      </c>
      <c r="BR32" s="206" t="s">
        <v>373</v>
      </c>
      <c r="BS32" s="206" t="s">
        <v>373</v>
      </c>
      <c r="BT32" s="206" t="s">
        <v>373</v>
      </c>
      <c r="BU32" s="206" t="s">
        <v>373</v>
      </c>
      <c r="BV32" s="207" t="s">
        <v>373</v>
      </c>
      <c r="BW32" s="190" t="s">
        <v>373</v>
      </c>
      <c r="BX32" s="191" t="s">
        <v>373</v>
      </c>
      <c r="BY32" s="191" t="s">
        <v>373</v>
      </c>
      <c r="BZ32" s="191" t="s">
        <v>373</v>
      </c>
      <c r="CA32" s="191" t="s">
        <v>373</v>
      </c>
      <c r="CB32" s="192" t="s">
        <v>373</v>
      </c>
      <c r="CC32" s="193" t="s">
        <v>373</v>
      </c>
      <c r="CD32" s="194" t="s">
        <v>373</v>
      </c>
      <c r="CE32" s="194" t="s">
        <v>373</v>
      </c>
      <c r="CF32" s="194" t="s">
        <v>373</v>
      </c>
      <c r="CG32" s="194" t="s">
        <v>373</v>
      </c>
      <c r="CH32" s="195" t="s">
        <v>373</v>
      </c>
      <c r="CI32" s="181"/>
      <c r="CJ32" s="1007"/>
      <c r="CK32" s="1008"/>
      <c r="CL32" s="1008"/>
      <c r="CM32" s="1008"/>
      <c r="CN32" s="1008"/>
      <c r="CO32" s="1009"/>
    </row>
    <row r="33" spans="2:93" ht="9" customHeight="1" x14ac:dyDescent="0.35">
      <c r="B33" s="1101"/>
      <c r="C33" s="1101"/>
      <c r="D33" s="1102"/>
      <c r="E33" s="1025"/>
      <c r="F33" s="1026"/>
      <c r="G33" s="1026"/>
      <c r="H33" s="1026"/>
      <c r="I33" s="1026"/>
      <c r="J33" s="1041"/>
      <c r="K33" s="1042"/>
      <c r="L33" s="1042"/>
      <c r="M33" s="1042"/>
      <c r="N33" s="1042"/>
      <c r="O33" s="1045"/>
      <c r="P33" s="1039"/>
      <c r="Q33" s="1039"/>
      <c r="R33" s="1039"/>
      <c r="S33" s="1039"/>
      <c r="T33" s="1039"/>
      <c r="U33" s="1040"/>
      <c r="V33" s="1047"/>
      <c r="W33" s="1039"/>
      <c r="X33" s="1039"/>
      <c r="Y33" s="1039"/>
      <c r="Z33" s="1039"/>
      <c r="AA33" s="1040"/>
      <c r="AB33" s="966"/>
      <c r="AC33" s="967"/>
      <c r="AD33" s="967"/>
      <c r="AE33" s="967"/>
      <c r="AF33" s="967"/>
      <c r="AG33" s="970"/>
      <c r="AH33" s="1033"/>
      <c r="AI33" s="1034"/>
      <c r="AJ33" s="1034"/>
      <c r="AK33" s="1034"/>
      <c r="AL33" s="1034"/>
      <c r="AM33" s="1037"/>
      <c r="AN33" s="182"/>
      <c r="AO33" s="1066"/>
      <c r="AP33" s="1067"/>
      <c r="AQ33" s="1067"/>
      <c r="AR33" s="1067"/>
      <c r="AS33" s="1067"/>
      <c r="AT33" s="1068"/>
      <c r="AW33" s="983"/>
      <c r="AX33" s="983"/>
      <c r="AY33" s="984"/>
      <c r="AZ33" s="975"/>
      <c r="BA33" s="976"/>
      <c r="BB33" s="976"/>
      <c r="BC33" s="976"/>
      <c r="BD33" s="977"/>
      <c r="BE33" s="205" t="s">
        <v>373</v>
      </c>
      <c r="BF33" s="206" t="s">
        <v>373</v>
      </c>
      <c r="BG33" s="206" t="s">
        <v>373</v>
      </c>
      <c r="BH33" s="206" t="s">
        <v>373</v>
      </c>
      <c r="BI33" s="206" t="s">
        <v>373</v>
      </c>
      <c r="BJ33" s="207" t="s">
        <v>373</v>
      </c>
      <c r="BK33" s="205" t="s">
        <v>373</v>
      </c>
      <c r="BL33" s="206" t="s">
        <v>373</v>
      </c>
      <c r="BM33" s="206" t="s">
        <v>373</v>
      </c>
      <c r="BN33" s="206" t="s">
        <v>373</v>
      </c>
      <c r="BO33" s="206" t="s">
        <v>373</v>
      </c>
      <c r="BP33" s="207" t="s">
        <v>373</v>
      </c>
      <c r="BQ33" s="205" t="s">
        <v>373</v>
      </c>
      <c r="BR33" s="206" t="s">
        <v>373</v>
      </c>
      <c r="BS33" s="206" t="s">
        <v>373</v>
      </c>
      <c r="BT33" s="206" t="s">
        <v>373</v>
      </c>
      <c r="BU33" s="206" t="s">
        <v>373</v>
      </c>
      <c r="BV33" s="207" t="s">
        <v>373</v>
      </c>
      <c r="BW33" s="190" t="s">
        <v>373</v>
      </c>
      <c r="BX33" s="191" t="s">
        <v>373</v>
      </c>
      <c r="BY33" s="191" t="s">
        <v>373</v>
      </c>
      <c r="BZ33" s="191" t="s">
        <v>373</v>
      </c>
      <c r="CA33" s="191" t="s">
        <v>373</v>
      </c>
      <c r="CB33" s="192" t="s">
        <v>373</v>
      </c>
      <c r="CC33" s="193" t="s">
        <v>373</v>
      </c>
      <c r="CD33" s="194" t="s">
        <v>373</v>
      </c>
      <c r="CE33" s="194" t="s">
        <v>373</v>
      </c>
      <c r="CF33" s="194" t="s">
        <v>373</v>
      </c>
      <c r="CG33" s="194" t="s">
        <v>373</v>
      </c>
      <c r="CH33" s="195" t="s">
        <v>373</v>
      </c>
      <c r="CI33" s="181"/>
      <c r="CJ33" s="1007"/>
      <c r="CK33" s="1008"/>
      <c r="CL33" s="1008"/>
      <c r="CM33" s="1008"/>
      <c r="CN33" s="1008"/>
      <c r="CO33" s="1009"/>
    </row>
    <row r="34" spans="2:93" ht="9" customHeight="1" x14ac:dyDescent="0.35">
      <c r="B34" s="1101"/>
      <c r="C34" s="1101"/>
      <c r="D34" s="1102"/>
      <c r="E34" s="1025"/>
      <c r="F34" s="1026"/>
      <c r="G34" s="1026"/>
      <c r="H34" s="1026"/>
      <c r="I34" s="1026"/>
      <c r="J34" s="1041" t="s">
        <v>373</v>
      </c>
      <c r="K34" s="1042"/>
      <c r="L34" s="1042" t="s">
        <v>373</v>
      </c>
      <c r="M34" s="1042"/>
      <c r="N34" s="1042" t="s">
        <v>373</v>
      </c>
      <c r="O34" s="1045"/>
      <c r="P34" s="1039" t="s">
        <v>373</v>
      </c>
      <c r="Q34" s="1039"/>
      <c r="R34" s="1039" t="s">
        <v>373</v>
      </c>
      <c r="S34" s="1039"/>
      <c r="T34" s="1039" t="s">
        <v>373</v>
      </c>
      <c r="U34" s="1040"/>
      <c r="V34" s="1047" t="s">
        <v>373</v>
      </c>
      <c r="W34" s="1039"/>
      <c r="X34" s="1039" t="s">
        <v>373</v>
      </c>
      <c r="Y34" s="1039"/>
      <c r="Z34" s="1039" t="s">
        <v>373</v>
      </c>
      <c r="AA34" s="1040"/>
      <c r="AB34" s="966" t="s">
        <v>373</v>
      </c>
      <c r="AC34" s="967"/>
      <c r="AD34" s="967" t="s">
        <v>373</v>
      </c>
      <c r="AE34" s="967"/>
      <c r="AF34" s="967" t="s">
        <v>373</v>
      </c>
      <c r="AG34" s="970"/>
      <c r="AH34" s="1033" t="s">
        <v>373</v>
      </c>
      <c r="AI34" s="1034"/>
      <c r="AJ34" s="1034" t="s">
        <v>373</v>
      </c>
      <c r="AK34" s="1034"/>
      <c r="AL34" s="1034" t="s">
        <v>373</v>
      </c>
      <c r="AM34" s="1037"/>
      <c r="AN34" s="182"/>
      <c r="AO34" s="1066"/>
      <c r="AP34" s="1067"/>
      <c r="AQ34" s="1067"/>
      <c r="AR34" s="1067"/>
      <c r="AS34" s="1067"/>
      <c r="AT34" s="1068"/>
      <c r="AW34" s="983"/>
      <c r="AX34" s="983"/>
      <c r="AY34" s="984"/>
      <c r="AZ34" s="975"/>
      <c r="BA34" s="976"/>
      <c r="BB34" s="976"/>
      <c r="BC34" s="976"/>
      <c r="BD34" s="977"/>
      <c r="BE34" s="205" t="s">
        <v>373</v>
      </c>
      <c r="BF34" s="206" t="s">
        <v>373</v>
      </c>
      <c r="BG34" s="206" t="s">
        <v>373</v>
      </c>
      <c r="BH34" s="206" t="s">
        <v>373</v>
      </c>
      <c r="BI34" s="206" t="s">
        <v>373</v>
      </c>
      <c r="BJ34" s="207" t="s">
        <v>373</v>
      </c>
      <c r="BK34" s="205" t="s">
        <v>373</v>
      </c>
      <c r="BL34" s="206" t="s">
        <v>373</v>
      </c>
      <c r="BM34" s="206" t="s">
        <v>373</v>
      </c>
      <c r="BN34" s="206" t="s">
        <v>373</v>
      </c>
      <c r="BO34" s="206" t="s">
        <v>373</v>
      </c>
      <c r="BP34" s="207" t="s">
        <v>373</v>
      </c>
      <c r="BQ34" s="205" t="s">
        <v>373</v>
      </c>
      <c r="BR34" s="206" t="s">
        <v>373</v>
      </c>
      <c r="BS34" s="206" t="s">
        <v>373</v>
      </c>
      <c r="BT34" s="206" t="s">
        <v>373</v>
      </c>
      <c r="BU34" s="206" t="s">
        <v>373</v>
      </c>
      <c r="BV34" s="207" t="s">
        <v>373</v>
      </c>
      <c r="BW34" s="190" t="s">
        <v>373</v>
      </c>
      <c r="BX34" s="191" t="s">
        <v>373</v>
      </c>
      <c r="BY34" s="191" t="s">
        <v>373</v>
      </c>
      <c r="BZ34" s="191" t="s">
        <v>373</v>
      </c>
      <c r="CA34" s="191" t="s">
        <v>373</v>
      </c>
      <c r="CB34" s="192" t="s">
        <v>373</v>
      </c>
      <c r="CC34" s="193" t="s">
        <v>373</v>
      </c>
      <c r="CD34" s="194" t="s">
        <v>373</v>
      </c>
      <c r="CE34" s="194" t="s">
        <v>373</v>
      </c>
      <c r="CF34" s="194" t="s">
        <v>373</v>
      </c>
      <c r="CG34" s="194" t="s">
        <v>373</v>
      </c>
      <c r="CH34" s="195" t="s">
        <v>373</v>
      </c>
      <c r="CI34" s="181"/>
      <c r="CJ34" s="1007"/>
      <c r="CK34" s="1008"/>
      <c r="CL34" s="1008"/>
      <c r="CM34" s="1008"/>
      <c r="CN34" s="1008"/>
      <c r="CO34" s="1009"/>
    </row>
    <row r="35" spans="2:93" ht="9" customHeight="1" thickBot="1" x14ac:dyDescent="0.4">
      <c r="B35" s="1101"/>
      <c r="C35" s="1101"/>
      <c r="D35" s="1102"/>
      <c r="E35" s="1025"/>
      <c r="F35" s="1026"/>
      <c r="G35" s="1026"/>
      <c r="H35" s="1026"/>
      <c r="I35" s="1026"/>
      <c r="J35" s="1041"/>
      <c r="K35" s="1042"/>
      <c r="L35" s="1042"/>
      <c r="M35" s="1042"/>
      <c r="N35" s="1042"/>
      <c r="O35" s="1045"/>
      <c r="P35" s="1039"/>
      <c r="Q35" s="1039"/>
      <c r="R35" s="1039"/>
      <c r="S35" s="1039"/>
      <c r="T35" s="1039"/>
      <c r="U35" s="1040"/>
      <c r="V35" s="1047"/>
      <c r="W35" s="1039"/>
      <c r="X35" s="1039"/>
      <c r="Y35" s="1039"/>
      <c r="Z35" s="1039"/>
      <c r="AA35" s="1040"/>
      <c r="AB35" s="966"/>
      <c r="AC35" s="967"/>
      <c r="AD35" s="967"/>
      <c r="AE35" s="967"/>
      <c r="AF35" s="967"/>
      <c r="AG35" s="970"/>
      <c r="AH35" s="1033"/>
      <c r="AI35" s="1034"/>
      <c r="AJ35" s="1034"/>
      <c r="AK35" s="1034"/>
      <c r="AL35" s="1034"/>
      <c r="AM35" s="1037"/>
      <c r="AN35" s="182"/>
      <c r="AO35" s="1066"/>
      <c r="AP35" s="1067"/>
      <c r="AQ35" s="1067"/>
      <c r="AR35" s="1067"/>
      <c r="AS35" s="1067"/>
      <c r="AT35" s="1068"/>
      <c r="AW35" s="983"/>
      <c r="AX35" s="983"/>
      <c r="AY35" s="984"/>
      <c r="AZ35" s="978"/>
      <c r="BA35" s="979"/>
      <c r="BB35" s="979"/>
      <c r="BC35" s="979"/>
      <c r="BD35" s="980"/>
      <c r="BE35" s="205" t="s">
        <v>373</v>
      </c>
      <c r="BF35" s="206" t="s">
        <v>373</v>
      </c>
      <c r="BG35" s="206" t="s">
        <v>373</v>
      </c>
      <c r="BH35" s="206" t="s">
        <v>373</v>
      </c>
      <c r="BI35" s="206" t="s">
        <v>373</v>
      </c>
      <c r="BJ35" s="207" t="s">
        <v>373</v>
      </c>
      <c r="BK35" s="205" t="s">
        <v>373</v>
      </c>
      <c r="BL35" s="206" t="s">
        <v>373</v>
      </c>
      <c r="BM35" s="206" t="s">
        <v>373</v>
      </c>
      <c r="BN35" s="206" t="s">
        <v>373</v>
      </c>
      <c r="BO35" s="206" t="s">
        <v>373</v>
      </c>
      <c r="BP35" s="207" t="s">
        <v>373</v>
      </c>
      <c r="BQ35" s="205" t="s">
        <v>373</v>
      </c>
      <c r="BR35" s="206" t="s">
        <v>373</v>
      </c>
      <c r="BS35" s="206" t="s">
        <v>373</v>
      </c>
      <c r="BT35" s="206" t="s">
        <v>373</v>
      </c>
      <c r="BU35" s="206" t="s">
        <v>373</v>
      </c>
      <c r="BV35" s="207" t="s">
        <v>373</v>
      </c>
      <c r="BW35" s="196" t="s">
        <v>373</v>
      </c>
      <c r="BX35" s="197" t="s">
        <v>373</v>
      </c>
      <c r="BY35" s="197" t="s">
        <v>373</v>
      </c>
      <c r="BZ35" s="197" t="s">
        <v>373</v>
      </c>
      <c r="CA35" s="197" t="s">
        <v>373</v>
      </c>
      <c r="CB35" s="198" t="s">
        <v>373</v>
      </c>
      <c r="CC35" s="199" t="s">
        <v>373</v>
      </c>
      <c r="CD35" s="200" t="s">
        <v>373</v>
      </c>
      <c r="CE35" s="200" t="s">
        <v>373</v>
      </c>
      <c r="CF35" s="200" t="s">
        <v>373</v>
      </c>
      <c r="CG35" s="200" t="s">
        <v>373</v>
      </c>
      <c r="CH35" s="201" t="s">
        <v>373</v>
      </c>
      <c r="CI35" s="181"/>
      <c r="CJ35" s="1010"/>
      <c r="CK35" s="1011"/>
      <c r="CL35" s="1011"/>
      <c r="CM35" s="1011"/>
      <c r="CN35" s="1011"/>
      <c r="CO35" s="1012"/>
    </row>
    <row r="36" spans="2:93" ht="9" customHeight="1" x14ac:dyDescent="0.35">
      <c r="B36" s="1101"/>
      <c r="C36" s="1101"/>
      <c r="D36" s="1102"/>
      <c r="E36" s="1025"/>
      <c r="F36" s="1026"/>
      <c r="G36" s="1026"/>
      <c r="H36" s="1026"/>
      <c r="I36" s="1026"/>
      <c r="J36" s="1041" t="s">
        <v>373</v>
      </c>
      <c r="K36" s="1042"/>
      <c r="L36" s="1042" t="s">
        <v>373</v>
      </c>
      <c r="M36" s="1042"/>
      <c r="N36" s="1042" t="s">
        <v>373</v>
      </c>
      <c r="O36" s="1045"/>
      <c r="P36" s="1039" t="s">
        <v>373</v>
      </c>
      <c r="Q36" s="1039"/>
      <c r="R36" s="1039" t="s">
        <v>373</v>
      </c>
      <c r="S36" s="1039"/>
      <c r="T36" s="1039" t="s">
        <v>373</v>
      </c>
      <c r="U36" s="1040"/>
      <c r="V36" s="1047" t="s">
        <v>373</v>
      </c>
      <c r="W36" s="1039"/>
      <c r="X36" s="1039" t="s">
        <v>373</v>
      </c>
      <c r="Y36" s="1039"/>
      <c r="Z36" s="1039" t="s">
        <v>373</v>
      </c>
      <c r="AA36" s="1040"/>
      <c r="AB36" s="966" t="s">
        <v>373</v>
      </c>
      <c r="AC36" s="967"/>
      <c r="AD36" s="967" t="s">
        <v>373</v>
      </c>
      <c r="AE36" s="967"/>
      <c r="AF36" s="967" t="s">
        <v>373</v>
      </c>
      <c r="AG36" s="970"/>
      <c r="AH36" s="1033" t="s">
        <v>373</v>
      </c>
      <c r="AI36" s="1034"/>
      <c r="AJ36" s="1034" t="s">
        <v>373</v>
      </c>
      <c r="AK36" s="1034"/>
      <c r="AL36" s="1034" t="s">
        <v>373</v>
      </c>
      <c r="AM36" s="1037"/>
      <c r="AN36" s="182"/>
      <c r="AO36" s="1066"/>
      <c r="AP36" s="1067"/>
      <c r="AQ36" s="1067"/>
      <c r="AR36" s="1067"/>
      <c r="AS36" s="1067"/>
      <c r="AT36" s="1068"/>
      <c r="AW36" s="983"/>
      <c r="AX36" s="983"/>
      <c r="AY36" s="984"/>
      <c r="AZ36" s="972" t="s">
        <v>114</v>
      </c>
      <c r="BA36" s="973"/>
      <c r="BB36" s="973"/>
      <c r="BC36" s="973"/>
      <c r="BD36" s="973"/>
      <c r="BE36" s="211" t="s">
        <v>373</v>
      </c>
      <c r="BF36" s="212" t="s">
        <v>373</v>
      </c>
      <c r="BG36" s="212" t="s">
        <v>373</v>
      </c>
      <c r="BH36" s="212" t="s">
        <v>373</v>
      </c>
      <c r="BI36" s="212" t="s">
        <v>373</v>
      </c>
      <c r="BJ36" s="213" t="s">
        <v>373</v>
      </c>
      <c r="BK36" s="202" t="s">
        <v>373</v>
      </c>
      <c r="BL36" s="203" t="s">
        <v>373</v>
      </c>
      <c r="BM36" s="203" t="s">
        <v>373</v>
      </c>
      <c r="BN36" s="203" t="s">
        <v>373</v>
      </c>
      <c r="BO36" s="203" t="s">
        <v>373</v>
      </c>
      <c r="BP36" s="204" t="s">
        <v>373</v>
      </c>
      <c r="BQ36" s="202" t="s">
        <v>373</v>
      </c>
      <c r="BR36" s="203" t="s">
        <v>373</v>
      </c>
      <c r="BS36" s="203" t="s">
        <v>373</v>
      </c>
      <c r="BT36" s="203" t="s">
        <v>373</v>
      </c>
      <c r="BU36" s="203" t="s">
        <v>373</v>
      </c>
      <c r="BV36" s="204" t="s">
        <v>373</v>
      </c>
      <c r="BW36" s="184" t="s">
        <v>373</v>
      </c>
      <c r="BX36" s="185" t="s">
        <v>373</v>
      </c>
      <c r="BY36" s="185" t="s">
        <v>373</v>
      </c>
      <c r="BZ36" s="185" t="s">
        <v>373</v>
      </c>
      <c r="CA36" s="185" t="s">
        <v>373</v>
      </c>
      <c r="CB36" s="186" t="s">
        <v>373</v>
      </c>
      <c r="CC36" s="187" t="s">
        <v>373</v>
      </c>
      <c r="CD36" s="188" t="s">
        <v>373</v>
      </c>
      <c r="CE36" s="188" t="s">
        <v>373</v>
      </c>
      <c r="CF36" s="188" t="s">
        <v>373</v>
      </c>
      <c r="CG36" s="188" t="s">
        <v>373</v>
      </c>
      <c r="CH36" s="189" t="s">
        <v>373</v>
      </c>
      <c r="CI36" s="181"/>
      <c r="CJ36" s="1013" t="s">
        <v>82</v>
      </c>
      <c r="CK36" s="1014"/>
      <c r="CL36" s="1014"/>
      <c r="CM36" s="1014"/>
      <c r="CN36" s="1014"/>
      <c r="CO36" s="1015"/>
    </row>
    <row r="37" spans="2:93" ht="9" customHeight="1" thickBot="1" x14ac:dyDescent="0.4">
      <c r="B37" s="1101"/>
      <c r="C37" s="1101"/>
      <c r="D37" s="1102"/>
      <c r="E37" s="1028"/>
      <c r="F37" s="1029"/>
      <c r="G37" s="1029"/>
      <c r="H37" s="1029"/>
      <c r="I37" s="1029"/>
      <c r="J37" s="1043"/>
      <c r="K37" s="1044"/>
      <c r="L37" s="1044"/>
      <c r="M37" s="1044"/>
      <c r="N37" s="1044"/>
      <c r="O37" s="1046"/>
      <c r="P37" s="1049"/>
      <c r="Q37" s="1049"/>
      <c r="R37" s="1049"/>
      <c r="S37" s="1049"/>
      <c r="T37" s="1049"/>
      <c r="U37" s="1050"/>
      <c r="V37" s="1048"/>
      <c r="W37" s="1049"/>
      <c r="X37" s="1049"/>
      <c r="Y37" s="1049"/>
      <c r="Z37" s="1049"/>
      <c r="AA37" s="1050"/>
      <c r="AB37" s="968"/>
      <c r="AC37" s="969"/>
      <c r="AD37" s="969"/>
      <c r="AE37" s="969"/>
      <c r="AF37" s="969"/>
      <c r="AG37" s="971"/>
      <c r="AH37" s="1035"/>
      <c r="AI37" s="1036"/>
      <c r="AJ37" s="1036"/>
      <c r="AK37" s="1036"/>
      <c r="AL37" s="1036"/>
      <c r="AM37" s="1038"/>
      <c r="AN37" s="182"/>
      <c r="AO37" s="1069"/>
      <c r="AP37" s="1070"/>
      <c r="AQ37" s="1070"/>
      <c r="AR37" s="1070"/>
      <c r="AS37" s="1070"/>
      <c r="AT37" s="1071"/>
      <c r="AW37" s="983"/>
      <c r="AX37" s="983"/>
      <c r="AY37" s="984"/>
      <c r="AZ37" s="994"/>
      <c r="BA37" s="976"/>
      <c r="BB37" s="976"/>
      <c r="BC37" s="976"/>
      <c r="BD37" s="976"/>
      <c r="BE37" s="214" t="s">
        <v>373</v>
      </c>
      <c r="BF37" s="215" t="s">
        <v>373</v>
      </c>
      <c r="BG37" s="215" t="s">
        <v>373</v>
      </c>
      <c r="BH37" s="215" t="s">
        <v>373</v>
      </c>
      <c r="BI37" s="215" t="s">
        <v>373</v>
      </c>
      <c r="BJ37" s="216" t="s">
        <v>373</v>
      </c>
      <c r="BK37" s="205" t="s">
        <v>373</v>
      </c>
      <c r="BL37" s="206" t="s">
        <v>373</v>
      </c>
      <c r="BM37" s="206" t="s">
        <v>373</v>
      </c>
      <c r="BN37" s="206" t="s">
        <v>373</v>
      </c>
      <c r="BO37" s="206" t="s">
        <v>373</v>
      </c>
      <c r="BP37" s="207" t="s">
        <v>373</v>
      </c>
      <c r="BQ37" s="205" t="s">
        <v>373</v>
      </c>
      <c r="BR37" s="206" t="s">
        <v>373</v>
      </c>
      <c r="BS37" s="206" t="s">
        <v>373</v>
      </c>
      <c r="BT37" s="206" t="s">
        <v>373</v>
      </c>
      <c r="BU37" s="206" t="s">
        <v>373</v>
      </c>
      <c r="BV37" s="207" t="s">
        <v>373</v>
      </c>
      <c r="BW37" s="190" t="s">
        <v>373</v>
      </c>
      <c r="BX37" s="191" t="s">
        <v>373</v>
      </c>
      <c r="BY37" s="191" t="s">
        <v>373</v>
      </c>
      <c r="BZ37" s="191" t="s">
        <v>373</v>
      </c>
      <c r="CA37" s="191" t="s">
        <v>373</v>
      </c>
      <c r="CB37" s="192" t="s">
        <v>373</v>
      </c>
      <c r="CC37" s="193" t="s">
        <v>373</v>
      </c>
      <c r="CD37" s="194" t="s">
        <v>373</v>
      </c>
      <c r="CE37" s="194" t="s">
        <v>373</v>
      </c>
      <c r="CF37" s="194" t="s">
        <v>373</v>
      </c>
      <c r="CG37" s="194" t="s">
        <v>373</v>
      </c>
      <c r="CH37" s="195" t="s">
        <v>373</v>
      </c>
      <c r="CI37" s="181"/>
      <c r="CJ37" s="1016"/>
      <c r="CK37" s="1017"/>
      <c r="CL37" s="1017"/>
      <c r="CM37" s="1017"/>
      <c r="CN37" s="1017"/>
      <c r="CO37" s="1018"/>
    </row>
    <row r="38" spans="2:93" ht="9" customHeight="1" x14ac:dyDescent="0.35">
      <c r="B38" s="1101"/>
      <c r="C38" s="1101"/>
      <c r="D38" s="1102"/>
      <c r="E38" s="1022" t="s">
        <v>113</v>
      </c>
      <c r="F38" s="1023"/>
      <c r="G38" s="1023"/>
      <c r="H38" s="1023"/>
      <c r="I38" s="1024"/>
      <c r="J38" s="1060" t="s">
        <v>373</v>
      </c>
      <c r="K38" s="1061"/>
      <c r="L38" s="1061" t="s">
        <v>373</v>
      </c>
      <c r="M38" s="1061"/>
      <c r="N38" s="1061" t="s">
        <v>373</v>
      </c>
      <c r="O38" s="1062"/>
      <c r="P38" s="1060" t="s">
        <v>373</v>
      </c>
      <c r="Q38" s="1061"/>
      <c r="R38" s="1061" t="s">
        <v>373</v>
      </c>
      <c r="S38" s="1061"/>
      <c r="T38" s="1061" t="s">
        <v>373</v>
      </c>
      <c r="U38" s="1062"/>
      <c r="V38" s="1054" t="s">
        <v>373</v>
      </c>
      <c r="W38" s="1055"/>
      <c r="X38" s="1055" t="s">
        <v>373</v>
      </c>
      <c r="Y38" s="1055"/>
      <c r="Z38" s="1055" t="s">
        <v>373</v>
      </c>
      <c r="AA38" s="1056"/>
      <c r="AB38" s="1057" t="s">
        <v>373</v>
      </c>
      <c r="AC38" s="1058"/>
      <c r="AD38" s="1058" t="s">
        <v>373</v>
      </c>
      <c r="AE38" s="1058"/>
      <c r="AF38" s="1058" t="s">
        <v>373</v>
      </c>
      <c r="AG38" s="1059"/>
      <c r="AH38" s="1051" t="s">
        <v>374</v>
      </c>
      <c r="AI38" s="1052"/>
      <c r="AJ38" s="1052" t="s">
        <v>373</v>
      </c>
      <c r="AK38" s="1052"/>
      <c r="AL38" s="1052" t="s">
        <v>373</v>
      </c>
      <c r="AM38" s="1053"/>
      <c r="AN38" s="182"/>
      <c r="AO38" s="182"/>
      <c r="AP38" s="182"/>
      <c r="AQ38" s="182"/>
      <c r="AR38" s="182"/>
      <c r="AS38" s="182"/>
      <c r="AT38" s="182"/>
      <c r="AW38" s="983"/>
      <c r="AX38" s="983"/>
      <c r="AY38" s="984"/>
      <c r="AZ38" s="975"/>
      <c r="BA38" s="976"/>
      <c r="BB38" s="976"/>
      <c r="BC38" s="976"/>
      <c r="BD38" s="976"/>
      <c r="BE38" s="214" t="s">
        <v>373</v>
      </c>
      <c r="BF38" s="215" t="s">
        <v>373</v>
      </c>
      <c r="BG38" s="215" t="s">
        <v>373</v>
      </c>
      <c r="BH38" s="215" t="s">
        <v>373</v>
      </c>
      <c r="BI38" s="215" t="s">
        <v>373</v>
      </c>
      <c r="BJ38" s="216" t="s">
        <v>373</v>
      </c>
      <c r="BK38" s="205" t="s">
        <v>373</v>
      </c>
      <c r="BL38" s="206" t="s">
        <v>373</v>
      </c>
      <c r="BM38" s="206" t="s">
        <v>373</v>
      </c>
      <c r="BN38" s="206" t="s">
        <v>373</v>
      </c>
      <c r="BO38" s="206" t="s">
        <v>373</v>
      </c>
      <c r="BP38" s="207" t="s">
        <v>373</v>
      </c>
      <c r="BQ38" s="205" t="s">
        <v>373</v>
      </c>
      <c r="BR38" s="206" t="s">
        <v>373</v>
      </c>
      <c r="BS38" s="206" t="s">
        <v>373</v>
      </c>
      <c r="BT38" s="206" t="s">
        <v>373</v>
      </c>
      <c r="BU38" s="206" t="s">
        <v>373</v>
      </c>
      <c r="BV38" s="207" t="s">
        <v>373</v>
      </c>
      <c r="BW38" s="190" t="s">
        <v>373</v>
      </c>
      <c r="BX38" s="191" t="s">
        <v>373</v>
      </c>
      <c r="BY38" s="191" t="s">
        <v>373</v>
      </c>
      <c r="BZ38" s="191" t="s">
        <v>373</v>
      </c>
      <c r="CA38" s="191" t="s">
        <v>373</v>
      </c>
      <c r="CB38" s="192" t="s">
        <v>373</v>
      </c>
      <c r="CC38" s="193" t="s">
        <v>373</v>
      </c>
      <c r="CD38" s="194" t="s">
        <v>373</v>
      </c>
      <c r="CE38" s="194" t="s">
        <v>373</v>
      </c>
      <c r="CF38" s="194" t="s">
        <v>373</v>
      </c>
      <c r="CG38" s="194" t="s">
        <v>373</v>
      </c>
      <c r="CH38" s="195" t="s">
        <v>373</v>
      </c>
      <c r="CI38" s="181"/>
      <c r="CJ38" s="1016"/>
      <c r="CK38" s="1017"/>
      <c r="CL38" s="1017"/>
      <c r="CM38" s="1017"/>
      <c r="CN38" s="1017"/>
      <c r="CO38" s="1018"/>
    </row>
    <row r="39" spans="2:93" ht="9" customHeight="1" x14ac:dyDescent="0.35">
      <c r="B39" s="1101"/>
      <c r="C39" s="1101"/>
      <c r="D39" s="1102"/>
      <c r="E39" s="1025"/>
      <c r="F39" s="1026"/>
      <c r="G39" s="1026"/>
      <c r="H39" s="1026"/>
      <c r="I39" s="1027"/>
      <c r="J39" s="1041"/>
      <c r="K39" s="1042"/>
      <c r="L39" s="1042"/>
      <c r="M39" s="1042"/>
      <c r="N39" s="1042"/>
      <c r="O39" s="1045"/>
      <c r="P39" s="1041"/>
      <c r="Q39" s="1042"/>
      <c r="R39" s="1042"/>
      <c r="S39" s="1042"/>
      <c r="T39" s="1042"/>
      <c r="U39" s="1045"/>
      <c r="V39" s="1047"/>
      <c r="W39" s="1039"/>
      <c r="X39" s="1039"/>
      <c r="Y39" s="1039"/>
      <c r="Z39" s="1039"/>
      <c r="AA39" s="1040"/>
      <c r="AB39" s="966"/>
      <c r="AC39" s="967"/>
      <c r="AD39" s="967"/>
      <c r="AE39" s="967"/>
      <c r="AF39" s="967"/>
      <c r="AG39" s="970"/>
      <c r="AH39" s="1033"/>
      <c r="AI39" s="1034"/>
      <c r="AJ39" s="1034"/>
      <c r="AK39" s="1034"/>
      <c r="AL39" s="1034"/>
      <c r="AM39" s="1037"/>
      <c r="AN39" s="182"/>
      <c r="AO39" s="182"/>
      <c r="AP39" s="182"/>
      <c r="AQ39" s="182"/>
      <c r="AR39" s="182"/>
      <c r="AS39" s="182"/>
      <c r="AT39" s="182"/>
      <c r="AW39" s="983"/>
      <c r="AX39" s="983"/>
      <c r="AY39" s="984"/>
      <c r="AZ39" s="975"/>
      <c r="BA39" s="976"/>
      <c r="BB39" s="976"/>
      <c r="BC39" s="976"/>
      <c r="BD39" s="976"/>
      <c r="BE39" s="214" t="s">
        <v>373</v>
      </c>
      <c r="BF39" s="215" t="s">
        <v>373</v>
      </c>
      <c r="BG39" s="215" t="s">
        <v>373</v>
      </c>
      <c r="BH39" s="215" t="s">
        <v>373</v>
      </c>
      <c r="BI39" s="215" t="s">
        <v>373</v>
      </c>
      <c r="BJ39" s="216" t="s">
        <v>373</v>
      </c>
      <c r="BK39" s="205" t="s">
        <v>373</v>
      </c>
      <c r="BL39" s="206" t="s">
        <v>373</v>
      </c>
      <c r="BM39" s="206" t="s">
        <v>373</v>
      </c>
      <c r="BN39" s="206" t="s">
        <v>373</v>
      </c>
      <c r="BO39" s="206" t="s">
        <v>373</v>
      </c>
      <c r="BP39" s="207" t="s">
        <v>373</v>
      </c>
      <c r="BQ39" s="205" t="s">
        <v>373</v>
      </c>
      <c r="BR39" s="206" t="s">
        <v>373</v>
      </c>
      <c r="BS39" s="206" t="s">
        <v>373</v>
      </c>
      <c r="BT39" s="206" t="s">
        <v>373</v>
      </c>
      <c r="BU39" s="206" t="s">
        <v>373</v>
      </c>
      <c r="BV39" s="207" t="s">
        <v>373</v>
      </c>
      <c r="BW39" s="190" t="s">
        <v>373</v>
      </c>
      <c r="BX39" s="191" t="s">
        <v>373</v>
      </c>
      <c r="BY39" s="191" t="s">
        <v>373</v>
      </c>
      <c r="BZ39" s="191" t="s">
        <v>373</v>
      </c>
      <c r="CA39" s="191" t="s">
        <v>373</v>
      </c>
      <c r="CB39" s="192" t="s">
        <v>373</v>
      </c>
      <c r="CC39" s="193" t="s">
        <v>373</v>
      </c>
      <c r="CD39" s="194" t="s">
        <v>373</v>
      </c>
      <c r="CE39" s="194" t="s">
        <v>373</v>
      </c>
      <c r="CF39" s="194" t="s">
        <v>373</v>
      </c>
      <c r="CG39" s="194" t="s">
        <v>373</v>
      </c>
      <c r="CH39" s="195" t="s">
        <v>373</v>
      </c>
      <c r="CI39" s="181"/>
      <c r="CJ39" s="1016"/>
      <c r="CK39" s="1017"/>
      <c r="CL39" s="1017"/>
      <c r="CM39" s="1017"/>
      <c r="CN39" s="1017"/>
      <c r="CO39" s="1018"/>
    </row>
    <row r="40" spans="2:93" ht="9" customHeight="1" x14ac:dyDescent="0.35">
      <c r="B40" s="1101"/>
      <c r="C40" s="1101"/>
      <c r="D40" s="1102"/>
      <c r="E40" s="1025"/>
      <c r="F40" s="1026"/>
      <c r="G40" s="1026"/>
      <c r="H40" s="1026"/>
      <c r="I40" s="1027"/>
      <c r="J40" s="1041" t="s">
        <v>373</v>
      </c>
      <c r="K40" s="1042"/>
      <c r="L40" s="1042" t="s">
        <v>373</v>
      </c>
      <c r="M40" s="1042"/>
      <c r="N40" s="1042" t="s">
        <v>373</v>
      </c>
      <c r="O40" s="1045"/>
      <c r="P40" s="1041" t="s">
        <v>373</v>
      </c>
      <c r="Q40" s="1042"/>
      <c r="R40" s="1042" t="s">
        <v>373</v>
      </c>
      <c r="S40" s="1042"/>
      <c r="T40" s="1042" t="s">
        <v>373</v>
      </c>
      <c r="U40" s="1045"/>
      <c r="V40" s="1047" t="s">
        <v>373</v>
      </c>
      <c r="W40" s="1039"/>
      <c r="X40" s="1039" t="s">
        <v>373</v>
      </c>
      <c r="Y40" s="1039"/>
      <c r="Z40" s="1039" t="s">
        <v>373</v>
      </c>
      <c r="AA40" s="1040"/>
      <c r="AB40" s="966" t="s">
        <v>373</v>
      </c>
      <c r="AC40" s="967"/>
      <c r="AD40" s="967" t="s">
        <v>373</v>
      </c>
      <c r="AE40" s="967"/>
      <c r="AF40" s="967" t="s">
        <v>373</v>
      </c>
      <c r="AG40" s="970"/>
      <c r="AH40" s="1033" t="s">
        <v>373</v>
      </c>
      <c r="AI40" s="1034"/>
      <c r="AJ40" s="1034" t="s">
        <v>373</v>
      </c>
      <c r="AK40" s="1034"/>
      <c r="AL40" s="1034" t="s">
        <v>373</v>
      </c>
      <c r="AM40" s="1037"/>
      <c r="AN40" s="182"/>
      <c r="AO40" s="182"/>
      <c r="AP40" s="182"/>
      <c r="AQ40" s="182"/>
      <c r="AR40" s="182"/>
      <c r="AS40" s="182"/>
      <c r="AT40" s="182"/>
      <c r="AW40" s="983"/>
      <c r="AX40" s="983"/>
      <c r="AY40" s="984"/>
      <c r="AZ40" s="975"/>
      <c r="BA40" s="976"/>
      <c r="BB40" s="976"/>
      <c r="BC40" s="976"/>
      <c r="BD40" s="976"/>
      <c r="BE40" s="214" t="s">
        <v>373</v>
      </c>
      <c r="BF40" s="215" t="s">
        <v>373</v>
      </c>
      <c r="BG40" s="215" t="s">
        <v>373</v>
      </c>
      <c r="BH40" s="215" t="s">
        <v>373</v>
      </c>
      <c r="BI40" s="215" t="s">
        <v>373</v>
      </c>
      <c r="BJ40" s="216" t="s">
        <v>373</v>
      </c>
      <c r="BK40" s="205" t="s">
        <v>373</v>
      </c>
      <c r="BL40" s="206" t="s">
        <v>373</v>
      </c>
      <c r="BM40" s="206" t="s">
        <v>373</v>
      </c>
      <c r="BN40" s="206" t="s">
        <v>373</v>
      </c>
      <c r="BO40" s="206" t="s">
        <v>373</v>
      </c>
      <c r="BP40" s="207" t="s">
        <v>373</v>
      </c>
      <c r="BQ40" s="205" t="s">
        <v>373</v>
      </c>
      <c r="BR40" s="206" t="s">
        <v>373</v>
      </c>
      <c r="BS40" s="206" t="s">
        <v>373</v>
      </c>
      <c r="BT40" s="206" t="s">
        <v>373</v>
      </c>
      <c r="BU40" s="206" t="s">
        <v>373</v>
      </c>
      <c r="BV40" s="207" t="s">
        <v>373</v>
      </c>
      <c r="BW40" s="190" t="s">
        <v>373</v>
      </c>
      <c r="BX40" s="191" t="s">
        <v>373</v>
      </c>
      <c r="BY40" s="191" t="s">
        <v>373</v>
      </c>
      <c r="BZ40" s="191" t="s">
        <v>373</v>
      </c>
      <c r="CA40" s="191" t="s">
        <v>373</v>
      </c>
      <c r="CB40" s="192" t="s">
        <v>373</v>
      </c>
      <c r="CC40" s="193" t="s">
        <v>373</v>
      </c>
      <c r="CD40" s="194" t="s">
        <v>373</v>
      </c>
      <c r="CE40" s="194" t="s">
        <v>373</v>
      </c>
      <c r="CF40" s="194" t="s">
        <v>373</v>
      </c>
      <c r="CG40" s="194" t="s">
        <v>373</v>
      </c>
      <c r="CH40" s="195" t="s">
        <v>373</v>
      </c>
      <c r="CI40" s="181"/>
      <c r="CJ40" s="1016"/>
      <c r="CK40" s="1017"/>
      <c r="CL40" s="1017"/>
      <c r="CM40" s="1017"/>
      <c r="CN40" s="1017"/>
      <c r="CO40" s="1018"/>
    </row>
    <row r="41" spans="2:93" ht="9" customHeight="1" x14ac:dyDescent="0.35">
      <c r="B41" s="1101"/>
      <c r="C41" s="1101"/>
      <c r="D41" s="1102"/>
      <c r="E41" s="1025"/>
      <c r="F41" s="1026"/>
      <c r="G41" s="1026"/>
      <c r="H41" s="1026"/>
      <c r="I41" s="1027"/>
      <c r="J41" s="1041"/>
      <c r="K41" s="1042"/>
      <c r="L41" s="1042"/>
      <c r="M41" s="1042"/>
      <c r="N41" s="1042"/>
      <c r="O41" s="1045"/>
      <c r="P41" s="1041"/>
      <c r="Q41" s="1042"/>
      <c r="R41" s="1042"/>
      <c r="S41" s="1042"/>
      <c r="T41" s="1042"/>
      <c r="U41" s="1045"/>
      <c r="V41" s="1047"/>
      <c r="W41" s="1039"/>
      <c r="X41" s="1039"/>
      <c r="Y41" s="1039"/>
      <c r="Z41" s="1039"/>
      <c r="AA41" s="1040"/>
      <c r="AB41" s="966"/>
      <c r="AC41" s="967"/>
      <c r="AD41" s="967"/>
      <c r="AE41" s="967"/>
      <c r="AF41" s="967"/>
      <c r="AG41" s="970"/>
      <c r="AH41" s="1033"/>
      <c r="AI41" s="1034"/>
      <c r="AJ41" s="1034"/>
      <c r="AK41" s="1034"/>
      <c r="AL41" s="1034"/>
      <c r="AM41" s="1037"/>
      <c r="AN41" s="182"/>
      <c r="AO41" s="182"/>
      <c r="AP41" s="182"/>
      <c r="AQ41" s="182"/>
      <c r="AR41" s="182"/>
      <c r="AS41" s="182"/>
      <c r="AT41" s="182"/>
      <c r="AW41" s="983"/>
      <c r="AX41" s="983"/>
      <c r="AY41" s="984"/>
      <c r="AZ41" s="975"/>
      <c r="BA41" s="976"/>
      <c r="BB41" s="976"/>
      <c r="BC41" s="976"/>
      <c r="BD41" s="976"/>
      <c r="BE41" s="214" t="s">
        <v>373</v>
      </c>
      <c r="BF41" s="215" t="s">
        <v>373</v>
      </c>
      <c r="BG41" s="215" t="s">
        <v>373</v>
      </c>
      <c r="BH41" s="215" t="s">
        <v>373</v>
      </c>
      <c r="BI41" s="215" t="s">
        <v>373</v>
      </c>
      <c r="BJ41" s="216" t="s">
        <v>373</v>
      </c>
      <c r="BK41" s="205" t="s">
        <v>373</v>
      </c>
      <c r="BL41" s="206" t="s">
        <v>373</v>
      </c>
      <c r="BM41" s="206" t="s">
        <v>373</v>
      </c>
      <c r="BN41" s="206" t="s">
        <v>373</v>
      </c>
      <c r="BO41" s="206" t="s">
        <v>373</v>
      </c>
      <c r="BP41" s="207" t="s">
        <v>373</v>
      </c>
      <c r="BQ41" s="205" t="s">
        <v>373</v>
      </c>
      <c r="BR41" s="206" t="s">
        <v>373</v>
      </c>
      <c r="BS41" s="206" t="s">
        <v>373</v>
      </c>
      <c r="BT41" s="206" t="s">
        <v>373</v>
      </c>
      <c r="BU41" s="206" t="s">
        <v>373</v>
      </c>
      <c r="BV41" s="207" t="s">
        <v>373</v>
      </c>
      <c r="BW41" s="190" t="s">
        <v>373</v>
      </c>
      <c r="BX41" s="191" t="s">
        <v>373</v>
      </c>
      <c r="BY41" s="191" t="s">
        <v>373</v>
      </c>
      <c r="BZ41" s="191" t="s">
        <v>373</v>
      </c>
      <c r="CA41" s="191" t="s">
        <v>373</v>
      </c>
      <c r="CB41" s="192" t="s">
        <v>373</v>
      </c>
      <c r="CC41" s="193" t="s">
        <v>373</v>
      </c>
      <c r="CD41" s="194" t="s">
        <v>373</v>
      </c>
      <c r="CE41" s="194" t="s">
        <v>373</v>
      </c>
      <c r="CF41" s="194" t="s">
        <v>373</v>
      </c>
      <c r="CG41" s="194" t="s">
        <v>373</v>
      </c>
      <c r="CH41" s="195" t="s">
        <v>373</v>
      </c>
      <c r="CI41" s="181"/>
      <c r="CJ41" s="1016"/>
      <c r="CK41" s="1017"/>
      <c r="CL41" s="1017"/>
      <c r="CM41" s="1017"/>
      <c r="CN41" s="1017"/>
      <c r="CO41" s="1018"/>
    </row>
    <row r="42" spans="2:93" ht="9" customHeight="1" x14ac:dyDescent="0.35">
      <c r="B42" s="1101"/>
      <c r="C42" s="1101"/>
      <c r="D42" s="1102"/>
      <c r="E42" s="1025"/>
      <c r="F42" s="1026"/>
      <c r="G42" s="1026"/>
      <c r="H42" s="1026"/>
      <c r="I42" s="1027"/>
      <c r="J42" s="1041" t="s">
        <v>373</v>
      </c>
      <c r="K42" s="1042"/>
      <c r="L42" s="1042" t="s">
        <v>373</v>
      </c>
      <c r="M42" s="1042"/>
      <c r="N42" s="1042" t="s">
        <v>373</v>
      </c>
      <c r="O42" s="1045"/>
      <c r="P42" s="1041" t="s">
        <v>373</v>
      </c>
      <c r="Q42" s="1042"/>
      <c r="R42" s="1042" t="s">
        <v>373</v>
      </c>
      <c r="S42" s="1042"/>
      <c r="T42" s="1042" t="s">
        <v>373</v>
      </c>
      <c r="U42" s="1045"/>
      <c r="V42" s="1047" t="s">
        <v>373</v>
      </c>
      <c r="W42" s="1039"/>
      <c r="X42" s="1039" t="s">
        <v>373</v>
      </c>
      <c r="Y42" s="1039"/>
      <c r="Z42" s="1039" t="s">
        <v>373</v>
      </c>
      <c r="AA42" s="1040"/>
      <c r="AB42" s="966" t="s">
        <v>373</v>
      </c>
      <c r="AC42" s="967"/>
      <c r="AD42" s="967" t="s">
        <v>373</v>
      </c>
      <c r="AE42" s="967"/>
      <c r="AF42" s="967" t="s">
        <v>373</v>
      </c>
      <c r="AG42" s="970"/>
      <c r="AH42" s="1033" t="s">
        <v>373</v>
      </c>
      <c r="AI42" s="1034"/>
      <c r="AJ42" s="1034" t="s">
        <v>373</v>
      </c>
      <c r="AK42" s="1034"/>
      <c r="AL42" s="1034" t="s">
        <v>373</v>
      </c>
      <c r="AM42" s="1037"/>
      <c r="AN42" s="182"/>
      <c r="AO42" s="182"/>
      <c r="AP42" s="182"/>
      <c r="AQ42" s="182"/>
      <c r="AR42" s="182"/>
      <c r="AS42" s="182"/>
      <c r="AT42" s="182"/>
      <c r="AW42" s="983"/>
      <c r="AX42" s="983"/>
      <c r="AY42" s="984"/>
      <c r="AZ42" s="975"/>
      <c r="BA42" s="976"/>
      <c r="BB42" s="976"/>
      <c r="BC42" s="976"/>
      <c r="BD42" s="976"/>
      <c r="BE42" s="214" t="s">
        <v>373</v>
      </c>
      <c r="BF42" s="215" t="s">
        <v>373</v>
      </c>
      <c r="BG42" s="215" t="s">
        <v>373</v>
      </c>
      <c r="BH42" s="215" t="s">
        <v>373</v>
      </c>
      <c r="BI42" s="215" t="s">
        <v>373</v>
      </c>
      <c r="BJ42" s="216" t="s">
        <v>373</v>
      </c>
      <c r="BK42" s="205" t="s">
        <v>373</v>
      </c>
      <c r="BL42" s="206" t="s">
        <v>373</v>
      </c>
      <c r="BM42" s="206" t="s">
        <v>373</v>
      </c>
      <c r="BN42" s="206" t="s">
        <v>373</v>
      </c>
      <c r="BO42" s="206" t="s">
        <v>373</v>
      </c>
      <c r="BP42" s="207" t="s">
        <v>373</v>
      </c>
      <c r="BQ42" s="205" t="s">
        <v>373</v>
      </c>
      <c r="BR42" s="206" t="s">
        <v>373</v>
      </c>
      <c r="BS42" s="206" t="s">
        <v>373</v>
      </c>
      <c r="BT42" s="206" t="s">
        <v>373</v>
      </c>
      <c r="BU42" s="206" t="s">
        <v>373</v>
      </c>
      <c r="BV42" s="207" t="s">
        <v>373</v>
      </c>
      <c r="BW42" s="190" t="s">
        <v>373</v>
      </c>
      <c r="BX42" s="191" t="s">
        <v>373</v>
      </c>
      <c r="BY42" s="191" t="s">
        <v>373</v>
      </c>
      <c r="BZ42" s="191" t="s">
        <v>373</v>
      </c>
      <c r="CA42" s="191" t="s">
        <v>373</v>
      </c>
      <c r="CB42" s="192" t="s">
        <v>373</v>
      </c>
      <c r="CC42" s="193" t="s">
        <v>373</v>
      </c>
      <c r="CD42" s="194" t="s">
        <v>373</v>
      </c>
      <c r="CE42" s="194" t="s">
        <v>373</v>
      </c>
      <c r="CF42" s="194" t="s">
        <v>373</v>
      </c>
      <c r="CG42" s="194" t="s">
        <v>373</v>
      </c>
      <c r="CH42" s="195" t="s">
        <v>373</v>
      </c>
      <c r="CI42" s="181"/>
      <c r="CJ42" s="1016"/>
      <c r="CK42" s="1017"/>
      <c r="CL42" s="1017"/>
      <c r="CM42" s="1017"/>
      <c r="CN42" s="1017"/>
      <c r="CO42" s="1018"/>
    </row>
    <row r="43" spans="2:93" ht="9" customHeight="1" x14ac:dyDescent="0.35">
      <c r="B43" s="1101"/>
      <c r="C43" s="1101"/>
      <c r="D43" s="1102"/>
      <c r="E43" s="1025"/>
      <c r="F43" s="1026"/>
      <c r="G43" s="1026"/>
      <c r="H43" s="1026"/>
      <c r="I43" s="1027"/>
      <c r="J43" s="1041"/>
      <c r="K43" s="1042"/>
      <c r="L43" s="1042"/>
      <c r="M43" s="1042"/>
      <c r="N43" s="1042"/>
      <c r="O43" s="1045"/>
      <c r="P43" s="1041"/>
      <c r="Q43" s="1042"/>
      <c r="R43" s="1042"/>
      <c r="S43" s="1042"/>
      <c r="T43" s="1042"/>
      <c r="U43" s="1045"/>
      <c r="V43" s="1047"/>
      <c r="W43" s="1039"/>
      <c r="X43" s="1039"/>
      <c r="Y43" s="1039"/>
      <c r="Z43" s="1039"/>
      <c r="AA43" s="1040"/>
      <c r="AB43" s="966"/>
      <c r="AC43" s="967"/>
      <c r="AD43" s="967"/>
      <c r="AE43" s="967"/>
      <c r="AF43" s="967"/>
      <c r="AG43" s="970"/>
      <c r="AH43" s="1033"/>
      <c r="AI43" s="1034"/>
      <c r="AJ43" s="1034"/>
      <c r="AK43" s="1034"/>
      <c r="AL43" s="1034"/>
      <c r="AM43" s="1037"/>
      <c r="AN43" s="182"/>
      <c r="AO43" s="182"/>
      <c r="AP43" s="182"/>
      <c r="AQ43" s="182"/>
      <c r="AR43" s="182"/>
      <c r="AS43" s="182"/>
      <c r="AT43" s="182"/>
      <c r="AW43" s="983"/>
      <c r="AX43" s="983"/>
      <c r="AY43" s="984"/>
      <c r="AZ43" s="975"/>
      <c r="BA43" s="976"/>
      <c r="BB43" s="976"/>
      <c r="BC43" s="976"/>
      <c r="BD43" s="976"/>
      <c r="BE43" s="214" t="s">
        <v>373</v>
      </c>
      <c r="BF43" s="215" t="s">
        <v>373</v>
      </c>
      <c r="BG43" s="215" t="s">
        <v>373</v>
      </c>
      <c r="BH43" s="215" t="s">
        <v>373</v>
      </c>
      <c r="BI43" s="215" t="s">
        <v>373</v>
      </c>
      <c r="BJ43" s="216" t="s">
        <v>373</v>
      </c>
      <c r="BK43" s="205" t="s">
        <v>373</v>
      </c>
      <c r="BL43" s="206" t="s">
        <v>373</v>
      </c>
      <c r="BM43" s="206" t="s">
        <v>373</v>
      </c>
      <c r="BN43" s="206" t="s">
        <v>373</v>
      </c>
      <c r="BO43" s="206" t="s">
        <v>373</v>
      </c>
      <c r="BP43" s="207" t="s">
        <v>373</v>
      </c>
      <c r="BQ43" s="205" t="s">
        <v>373</v>
      </c>
      <c r="BR43" s="206" t="s">
        <v>373</v>
      </c>
      <c r="BS43" s="206" t="s">
        <v>373</v>
      </c>
      <c r="BT43" s="206" t="s">
        <v>373</v>
      </c>
      <c r="BU43" s="206" t="s">
        <v>373</v>
      </c>
      <c r="BV43" s="207" t="s">
        <v>373</v>
      </c>
      <c r="BW43" s="190" t="s">
        <v>373</v>
      </c>
      <c r="BX43" s="191" t="s">
        <v>373</v>
      </c>
      <c r="BY43" s="191" t="s">
        <v>373</v>
      </c>
      <c r="BZ43" s="191" t="s">
        <v>373</v>
      </c>
      <c r="CA43" s="191" t="s">
        <v>373</v>
      </c>
      <c r="CB43" s="192" t="s">
        <v>373</v>
      </c>
      <c r="CC43" s="193" t="s">
        <v>373</v>
      </c>
      <c r="CD43" s="194" t="s">
        <v>373</v>
      </c>
      <c r="CE43" s="194" t="s">
        <v>373</v>
      </c>
      <c r="CF43" s="194" t="s">
        <v>373</v>
      </c>
      <c r="CG43" s="194" t="s">
        <v>373</v>
      </c>
      <c r="CH43" s="195" t="s">
        <v>373</v>
      </c>
      <c r="CI43" s="181"/>
      <c r="CJ43" s="1016"/>
      <c r="CK43" s="1017"/>
      <c r="CL43" s="1017"/>
      <c r="CM43" s="1017"/>
      <c r="CN43" s="1017"/>
      <c r="CO43" s="1018"/>
    </row>
    <row r="44" spans="2:93" ht="9" customHeight="1" x14ac:dyDescent="0.35">
      <c r="B44" s="1101"/>
      <c r="C44" s="1101"/>
      <c r="D44" s="1102"/>
      <c r="E44" s="1025"/>
      <c r="F44" s="1026"/>
      <c r="G44" s="1026"/>
      <c r="H44" s="1026"/>
      <c r="I44" s="1027"/>
      <c r="J44" s="1041" t="s">
        <v>373</v>
      </c>
      <c r="K44" s="1042"/>
      <c r="L44" s="1042" t="s">
        <v>373</v>
      </c>
      <c r="M44" s="1042"/>
      <c r="N44" s="1042" t="s">
        <v>373</v>
      </c>
      <c r="O44" s="1045"/>
      <c r="P44" s="1041" t="s">
        <v>373</v>
      </c>
      <c r="Q44" s="1042"/>
      <c r="R44" s="1042" t="s">
        <v>373</v>
      </c>
      <c r="S44" s="1042"/>
      <c r="T44" s="1042" t="s">
        <v>373</v>
      </c>
      <c r="U44" s="1045"/>
      <c r="V44" s="1047" t="s">
        <v>373</v>
      </c>
      <c r="W44" s="1039"/>
      <c r="X44" s="1039" t="s">
        <v>373</v>
      </c>
      <c r="Y44" s="1039"/>
      <c r="Z44" s="1039" t="s">
        <v>373</v>
      </c>
      <c r="AA44" s="1040"/>
      <c r="AB44" s="966" t="s">
        <v>373</v>
      </c>
      <c r="AC44" s="967"/>
      <c r="AD44" s="967" t="s">
        <v>373</v>
      </c>
      <c r="AE44" s="967"/>
      <c r="AF44" s="967" t="s">
        <v>373</v>
      </c>
      <c r="AG44" s="970"/>
      <c r="AH44" s="1033" t="s">
        <v>373</v>
      </c>
      <c r="AI44" s="1034"/>
      <c r="AJ44" s="1034" t="s">
        <v>373</v>
      </c>
      <c r="AK44" s="1034"/>
      <c r="AL44" s="1034" t="s">
        <v>373</v>
      </c>
      <c r="AM44" s="1037"/>
      <c r="AN44" s="182"/>
      <c r="AO44" s="182"/>
      <c r="AP44" s="182"/>
      <c r="AQ44" s="182"/>
      <c r="AR44" s="182"/>
      <c r="AS44" s="182"/>
      <c r="AT44" s="182"/>
      <c r="AW44" s="983"/>
      <c r="AX44" s="983"/>
      <c r="AY44" s="984"/>
      <c r="AZ44" s="975"/>
      <c r="BA44" s="976"/>
      <c r="BB44" s="976"/>
      <c r="BC44" s="976"/>
      <c r="BD44" s="976"/>
      <c r="BE44" s="214" t="s">
        <v>373</v>
      </c>
      <c r="BF44" s="215" t="s">
        <v>373</v>
      </c>
      <c r="BG44" s="215" t="s">
        <v>373</v>
      </c>
      <c r="BH44" s="215" t="s">
        <v>373</v>
      </c>
      <c r="BI44" s="215" t="s">
        <v>373</v>
      </c>
      <c r="BJ44" s="216" t="s">
        <v>373</v>
      </c>
      <c r="BK44" s="205" t="s">
        <v>373</v>
      </c>
      <c r="BL44" s="206" t="s">
        <v>373</v>
      </c>
      <c r="BM44" s="206" t="s">
        <v>373</v>
      </c>
      <c r="BN44" s="206" t="s">
        <v>373</v>
      </c>
      <c r="BO44" s="206" t="s">
        <v>373</v>
      </c>
      <c r="BP44" s="207" t="s">
        <v>373</v>
      </c>
      <c r="BQ44" s="205" t="s">
        <v>373</v>
      </c>
      <c r="BR44" s="206" t="s">
        <v>373</v>
      </c>
      <c r="BS44" s="206" t="s">
        <v>373</v>
      </c>
      <c r="BT44" s="206" t="s">
        <v>373</v>
      </c>
      <c r="BU44" s="206" t="s">
        <v>373</v>
      </c>
      <c r="BV44" s="207" t="s">
        <v>373</v>
      </c>
      <c r="BW44" s="190" t="s">
        <v>373</v>
      </c>
      <c r="BX44" s="191" t="s">
        <v>373</v>
      </c>
      <c r="BY44" s="191" t="s">
        <v>373</v>
      </c>
      <c r="BZ44" s="191" t="s">
        <v>373</v>
      </c>
      <c r="CA44" s="191" t="s">
        <v>373</v>
      </c>
      <c r="CB44" s="192" t="s">
        <v>373</v>
      </c>
      <c r="CC44" s="193" t="s">
        <v>373</v>
      </c>
      <c r="CD44" s="194" t="s">
        <v>373</v>
      </c>
      <c r="CE44" s="194" t="s">
        <v>373</v>
      </c>
      <c r="CF44" s="194" t="s">
        <v>373</v>
      </c>
      <c r="CG44" s="194" t="s">
        <v>373</v>
      </c>
      <c r="CH44" s="195" t="s">
        <v>373</v>
      </c>
      <c r="CI44" s="181"/>
      <c r="CJ44" s="1016"/>
      <c r="CK44" s="1017"/>
      <c r="CL44" s="1017"/>
      <c r="CM44" s="1017"/>
      <c r="CN44" s="1017"/>
      <c r="CO44" s="1018"/>
    </row>
    <row r="45" spans="2:93" ht="9" customHeight="1" thickBot="1" x14ac:dyDescent="0.4">
      <c r="B45" s="1101"/>
      <c r="C45" s="1101"/>
      <c r="D45" s="1102"/>
      <c r="E45" s="1028"/>
      <c r="F45" s="1029"/>
      <c r="G45" s="1029"/>
      <c r="H45" s="1029"/>
      <c r="I45" s="1030"/>
      <c r="J45" s="1043"/>
      <c r="K45" s="1044"/>
      <c r="L45" s="1044"/>
      <c r="M45" s="1044"/>
      <c r="N45" s="1044"/>
      <c r="O45" s="1046"/>
      <c r="P45" s="1043"/>
      <c r="Q45" s="1044"/>
      <c r="R45" s="1044"/>
      <c r="S45" s="1044"/>
      <c r="T45" s="1044"/>
      <c r="U45" s="1046"/>
      <c r="V45" s="1048"/>
      <c r="W45" s="1049"/>
      <c r="X45" s="1049"/>
      <c r="Y45" s="1049"/>
      <c r="Z45" s="1049"/>
      <c r="AA45" s="1050"/>
      <c r="AB45" s="968"/>
      <c r="AC45" s="969"/>
      <c r="AD45" s="969"/>
      <c r="AE45" s="969"/>
      <c r="AF45" s="969"/>
      <c r="AG45" s="971"/>
      <c r="AH45" s="1035"/>
      <c r="AI45" s="1036"/>
      <c r="AJ45" s="1036"/>
      <c r="AK45" s="1036"/>
      <c r="AL45" s="1036"/>
      <c r="AM45" s="1038"/>
      <c r="AN45" s="182"/>
      <c r="AO45" s="182"/>
      <c r="AP45" s="182"/>
      <c r="AQ45" s="182"/>
      <c r="AR45" s="182"/>
      <c r="AS45" s="182"/>
      <c r="AT45" s="182"/>
      <c r="AW45" s="983"/>
      <c r="AX45" s="983"/>
      <c r="AY45" s="984"/>
      <c r="AZ45" s="978"/>
      <c r="BA45" s="979"/>
      <c r="BB45" s="979"/>
      <c r="BC45" s="979"/>
      <c r="BD45" s="979"/>
      <c r="BE45" s="217" t="s">
        <v>373</v>
      </c>
      <c r="BF45" s="218" t="s">
        <v>373</v>
      </c>
      <c r="BG45" s="218" t="s">
        <v>373</v>
      </c>
      <c r="BH45" s="218" t="s">
        <v>373</v>
      </c>
      <c r="BI45" s="218" t="s">
        <v>373</v>
      </c>
      <c r="BJ45" s="219" t="s">
        <v>373</v>
      </c>
      <c r="BK45" s="205" t="s">
        <v>373</v>
      </c>
      <c r="BL45" s="206" t="s">
        <v>373</v>
      </c>
      <c r="BM45" s="206" t="s">
        <v>373</v>
      </c>
      <c r="BN45" s="206" t="s">
        <v>373</v>
      </c>
      <c r="BO45" s="206" t="s">
        <v>373</v>
      </c>
      <c r="BP45" s="207" t="s">
        <v>373</v>
      </c>
      <c r="BQ45" s="208" t="s">
        <v>373</v>
      </c>
      <c r="BR45" s="209" t="s">
        <v>373</v>
      </c>
      <c r="BS45" s="209" t="s">
        <v>373</v>
      </c>
      <c r="BT45" s="209" t="s">
        <v>373</v>
      </c>
      <c r="BU45" s="209" t="s">
        <v>373</v>
      </c>
      <c r="BV45" s="210" t="s">
        <v>373</v>
      </c>
      <c r="BW45" s="196" t="s">
        <v>373</v>
      </c>
      <c r="BX45" s="197" t="s">
        <v>373</v>
      </c>
      <c r="BY45" s="197" t="s">
        <v>373</v>
      </c>
      <c r="BZ45" s="197" t="s">
        <v>373</v>
      </c>
      <c r="CA45" s="197" t="s">
        <v>373</v>
      </c>
      <c r="CB45" s="198" t="s">
        <v>373</v>
      </c>
      <c r="CC45" s="199" t="s">
        <v>373</v>
      </c>
      <c r="CD45" s="200" t="s">
        <v>373</v>
      </c>
      <c r="CE45" s="200" t="s">
        <v>373</v>
      </c>
      <c r="CF45" s="200" t="s">
        <v>373</v>
      </c>
      <c r="CG45" s="200" t="s">
        <v>373</v>
      </c>
      <c r="CH45" s="201" t="s">
        <v>373</v>
      </c>
      <c r="CI45" s="181"/>
      <c r="CJ45" s="1019"/>
      <c r="CK45" s="1020"/>
      <c r="CL45" s="1020"/>
      <c r="CM45" s="1020"/>
      <c r="CN45" s="1020"/>
      <c r="CO45" s="1021"/>
    </row>
    <row r="46" spans="2:93" ht="9" customHeight="1" x14ac:dyDescent="0.35">
      <c r="B46" s="182"/>
      <c r="C46" s="182"/>
      <c r="D46" s="182"/>
      <c r="E46" s="182"/>
      <c r="F46" s="182"/>
      <c r="G46" s="182"/>
      <c r="H46" s="182"/>
      <c r="I46" s="182"/>
      <c r="J46" s="1022" t="s">
        <v>112</v>
      </c>
      <c r="K46" s="1023"/>
      <c r="L46" s="1023"/>
      <c r="M46" s="1023"/>
      <c r="N46" s="1023"/>
      <c r="O46" s="1024"/>
      <c r="P46" s="1022" t="s">
        <v>111</v>
      </c>
      <c r="Q46" s="1023"/>
      <c r="R46" s="1023"/>
      <c r="S46" s="1023"/>
      <c r="T46" s="1023"/>
      <c r="U46" s="1024"/>
      <c r="V46" s="1022" t="s">
        <v>110</v>
      </c>
      <c r="W46" s="1023"/>
      <c r="X46" s="1023"/>
      <c r="Y46" s="1023"/>
      <c r="Z46" s="1023"/>
      <c r="AA46" s="1024"/>
      <c r="AB46" s="1022" t="s">
        <v>109</v>
      </c>
      <c r="AC46" s="1031"/>
      <c r="AD46" s="1023"/>
      <c r="AE46" s="1023"/>
      <c r="AF46" s="1023"/>
      <c r="AG46" s="1024"/>
      <c r="AH46" s="1022" t="s">
        <v>108</v>
      </c>
      <c r="AI46" s="1023"/>
      <c r="AJ46" s="1023"/>
      <c r="AK46" s="1023"/>
      <c r="AL46" s="1023"/>
      <c r="AM46" s="1024"/>
      <c r="AN46" s="182"/>
      <c r="AO46" s="182"/>
      <c r="AP46" s="182"/>
      <c r="AQ46" s="182"/>
      <c r="AR46" s="182"/>
      <c r="AS46" s="182"/>
      <c r="AT46" s="182"/>
      <c r="AW46" s="983"/>
      <c r="AX46" s="983"/>
      <c r="AY46" s="984"/>
      <c r="AZ46" s="972" t="s">
        <v>113</v>
      </c>
      <c r="BA46" s="973"/>
      <c r="BB46" s="973"/>
      <c r="BC46" s="973"/>
      <c r="BD46" s="974"/>
      <c r="BE46" s="211" t="s">
        <v>373</v>
      </c>
      <c r="BF46" s="212" t="s">
        <v>373</v>
      </c>
      <c r="BG46" s="212" t="s">
        <v>373</v>
      </c>
      <c r="BH46" s="212" t="s">
        <v>373</v>
      </c>
      <c r="BI46" s="212" t="s">
        <v>373</v>
      </c>
      <c r="BJ46" s="213" t="s">
        <v>373</v>
      </c>
      <c r="BK46" s="211" t="s">
        <v>373</v>
      </c>
      <c r="BL46" s="212" t="s">
        <v>373</v>
      </c>
      <c r="BM46" s="212" t="s">
        <v>373</v>
      </c>
      <c r="BN46" s="212" t="s">
        <v>373</v>
      </c>
      <c r="BO46" s="212" t="s">
        <v>373</v>
      </c>
      <c r="BP46" s="213" t="s">
        <v>373</v>
      </c>
      <c r="BQ46" s="202" t="s">
        <v>373</v>
      </c>
      <c r="BR46" s="203" t="s">
        <v>373</v>
      </c>
      <c r="BS46" s="203" t="s">
        <v>373</v>
      </c>
      <c r="BT46" s="203" t="s">
        <v>373</v>
      </c>
      <c r="BU46" s="203" t="s">
        <v>373</v>
      </c>
      <c r="BV46" s="204" t="s">
        <v>373</v>
      </c>
      <c r="BW46" s="184" t="s">
        <v>373</v>
      </c>
      <c r="BX46" s="185" t="s">
        <v>373</v>
      </c>
      <c r="BY46" s="185" t="s">
        <v>373</v>
      </c>
      <c r="BZ46" s="185" t="s">
        <v>373</v>
      </c>
      <c r="CA46" s="185" t="s">
        <v>373</v>
      </c>
      <c r="CB46" s="186" t="s">
        <v>373</v>
      </c>
      <c r="CC46" s="187" t="s">
        <v>375</v>
      </c>
      <c r="CD46" s="188" t="s">
        <v>373</v>
      </c>
      <c r="CE46" s="188" t="s">
        <v>373</v>
      </c>
      <c r="CF46" s="188" t="s">
        <v>373</v>
      </c>
      <c r="CG46" s="188" t="s">
        <v>373</v>
      </c>
      <c r="CH46" s="189" t="s">
        <v>373</v>
      </c>
      <c r="CI46" s="181"/>
      <c r="CJ46" s="181"/>
      <c r="CK46" s="181"/>
      <c r="CL46" s="181"/>
      <c r="CM46" s="181"/>
      <c r="CN46" s="181"/>
      <c r="CO46" s="181"/>
    </row>
    <row r="47" spans="2:93" ht="9" customHeight="1" x14ac:dyDescent="0.35">
      <c r="B47" s="182"/>
      <c r="C47" s="182"/>
      <c r="D47" s="182"/>
      <c r="E47" s="182"/>
      <c r="F47" s="182"/>
      <c r="G47" s="182"/>
      <c r="H47" s="182"/>
      <c r="I47" s="182"/>
      <c r="J47" s="1025"/>
      <c r="K47" s="1026"/>
      <c r="L47" s="1026"/>
      <c r="M47" s="1026"/>
      <c r="N47" s="1026"/>
      <c r="O47" s="1027"/>
      <c r="P47" s="1025"/>
      <c r="Q47" s="1026"/>
      <c r="R47" s="1026"/>
      <c r="S47" s="1026"/>
      <c r="T47" s="1026"/>
      <c r="U47" s="1027"/>
      <c r="V47" s="1025"/>
      <c r="W47" s="1026"/>
      <c r="X47" s="1026"/>
      <c r="Y47" s="1026"/>
      <c r="Z47" s="1026"/>
      <c r="AA47" s="1027"/>
      <c r="AB47" s="1025"/>
      <c r="AC47" s="1026"/>
      <c r="AD47" s="1026"/>
      <c r="AE47" s="1026"/>
      <c r="AF47" s="1026"/>
      <c r="AG47" s="1027"/>
      <c r="AH47" s="1025"/>
      <c r="AI47" s="1026"/>
      <c r="AJ47" s="1026"/>
      <c r="AK47" s="1026"/>
      <c r="AL47" s="1026"/>
      <c r="AM47" s="1027"/>
      <c r="AN47" s="182"/>
      <c r="AO47" s="182"/>
      <c r="AP47" s="182"/>
      <c r="AQ47" s="182"/>
      <c r="AR47" s="182"/>
      <c r="AS47" s="182"/>
      <c r="AT47" s="182"/>
      <c r="AW47" s="983"/>
      <c r="AX47" s="983"/>
      <c r="AY47" s="984"/>
      <c r="AZ47" s="994"/>
      <c r="BA47" s="976"/>
      <c r="BB47" s="976"/>
      <c r="BC47" s="976"/>
      <c r="BD47" s="977"/>
      <c r="BE47" s="214" t="s">
        <v>373</v>
      </c>
      <c r="BF47" s="215" t="s">
        <v>373</v>
      </c>
      <c r="BG47" s="215" t="s">
        <v>373</v>
      </c>
      <c r="BH47" s="215" t="s">
        <v>373</v>
      </c>
      <c r="BI47" s="215" t="s">
        <v>373</v>
      </c>
      <c r="BJ47" s="216" t="s">
        <v>373</v>
      </c>
      <c r="BK47" s="214" t="s">
        <v>373</v>
      </c>
      <c r="BL47" s="215" t="s">
        <v>373</v>
      </c>
      <c r="BM47" s="215" t="s">
        <v>373</v>
      </c>
      <c r="BN47" s="215" t="s">
        <v>373</v>
      </c>
      <c r="BO47" s="215" t="s">
        <v>373</v>
      </c>
      <c r="BP47" s="216" t="s">
        <v>373</v>
      </c>
      <c r="BQ47" s="205" t="s">
        <v>373</v>
      </c>
      <c r="BR47" s="206" t="s">
        <v>373</v>
      </c>
      <c r="BS47" s="206" t="s">
        <v>373</v>
      </c>
      <c r="BT47" s="206" t="s">
        <v>373</v>
      </c>
      <c r="BU47" s="206" t="s">
        <v>373</v>
      </c>
      <c r="BV47" s="207" t="s">
        <v>373</v>
      </c>
      <c r="BW47" s="190" t="s">
        <v>373</v>
      </c>
      <c r="BX47" s="191" t="s">
        <v>373</v>
      </c>
      <c r="BY47" s="191" t="s">
        <v>373</v>
      </c>
      <c r="BZ47" s="191" t="s">
        <v>373</v>
      </c>
      <c r="CA47" s="191" t="s">
        <v>373</v>
      </c>
      <c r="CB47" s="192" t="s">
        <v>373</v>
      </c>
      <c r="CC47" s="193" t="s">
        <v>373</v>
      </c>
      <c r="CD47" s="194" t="s">
        <v>373</v>
      </c>
      <c r="CE47" s="194" t="s">
        <v>373</v>
      </c>
      <c r="CF47" s="194" t="s">
        <v>373</v>
      </c>
      <c r="CG47" s="194" t="s">
        <v>373</v>
      </c>
      <c r="CH47" s="195" t="s">
        <v>373</v>
      </c>
      <c r="CI47" s="181"/>
      <c r="CJ47" s="181"/>
      <c r="CK47" s="181"/>
      <c r="CL47" s="181"/>
      <c r="CM47" s="181"/>
      <c r="CN47" s="181"/>
      <c r="CO47" s="181"/>
    </row>
    <row r="48" spans="2:93" ht="9" customHeight="1" x14ac:dyDescent="0.35">
      <c r="B48" s="182"/>
      <c r="C48" s="182"/>
      <c r="D48" s="182"/>
      <c r="E48" s="182"/>
      <c r="F48" s="182"/>
      <c r="G48" s="182"/>
      <c r="H48" s="182"/>
      <c r="I48" s="182"/>
      <c r="J48" s="1025"/>
      <c r="K48" s="1026"/>
      <c r="L48" s="1026"/>
      <c r="M48" s="1026"/>
      <c r="N48" s="1026"/>
      <c r="O48" s="1027"/>
      <c r="P48" s="1025"/>
      <c r="Q48" s="1026"/>
      <c r="R48" s="1026"/>
      <c r="S48" s="1026"/>
      <c r="T48" s="1026"/>
      <c r="U48" s="1027"/>
      <c r="V48" s="1025"/>
      <c r="W48" s="1026"/>
      <c r="X48" s="1026"/>
      <c r="Y48" s="1026"/>
      <c r="Z48" s="1026"/>
      <c r="AA48" s="1027"/>
      <c r="AB48" s="1025"/>
      <c r="AC48" s="1026"/>
      <c r="AD48" s="1026"/>
      <c r="AE48" s="1026"/>
      <c r="AF48" s="1026"/>
      <c r="AG48" s="1027"/>
      <c r="AH48" s="1025"/>
      <c r="AI48" s="1026"/>
      <c r="AJ48" s="1026"/>
      <c r="AK48" s="1026"/>
      <c r="AL48" s="1026"/>
      <c r="AM48" s="1027"/>
      <c r="AN48" s="182"/>
      <c r="AO48" s="182"/>
      <c r="AP48" s="182"/>
      <c r="AQ48" s="182"/>
      <c r="AR48" s="182"/>
      <c r="AS48" s="182"/>
      <c r="AT48" s="182"/>
      <c r="AW48" s="983"/>
      <c r="AX48" s="983"/>
      <c r="AY48" s="984"/>
      <c r="AZ48" s="994"/>
      <c r="BA48" s="976"/>
      <c r="BB48" s="976"/>
      <c r="BC48" s="976"/>
      <c r="BD48" s="977"/>
      <c r="BE48" s="214" t="s">
        <v>373</v>
      </c>
      <c r="BF48" s="215" t="s">
        <v>373</v>
      </c>
      <c r="BG48" s="215" t="s">
        <v>373</v>
      </c>
      <c r="BH48" s="215" t="s">
        <v>373</v>
      </c>
      <c r="BI48" s="215" t="s">
        <v>373</v>
      </c>
      <c r="BJ48" s="216" t="s">
        <v>373</v>
      </c>
      <c r="BK48" s="214" t="s">
        <v>373</v>
      </c>
      <c r="BL48" s="215" t="s">
        <v>373</v>
      </c>
      <c r="BM48" s="215" t="s">
        <v>373</v>
      </c>
      <c r="BN48" s="215" t="s">
        <v>373</v>
      </c>
      <c r="BO48" s="215" t="s">
        <v>373</v>
      </c>
      <c r="BP48" s="216" t="s">
        <v>373</v>
      </c>
      <c r="BQ48" s="205" t="s">
        <v>373</v>
      </c>
      <c r="BR48" s="206" t="s">
        <v>373</v>
      </c>
      <c r="BS48" s="206" t="s">
        <v>373</v>
      </c>
      <c r="BT48" s="206" t="s">
        <v>373</v>
      </c>
      <c r="BU48" s="206" t="s">
        <v>373</v>
      </c>
      <c r="BV48" s="207" t="s">
        <v>373</v>
      </c>
      <c r="BW48" s="190" t="s">
        <v>373</v>
      </c>
      <c r="BX48" s="191" t="s">
        <v>373</v>
      </c>
      <c r="BY48" s="191" t="s">
        <v>373</v>
      </c>
      <c r="BZ48" s="191" t="s">
        <v>373</v>
      </c>
      <c r="CA48" s="191" t="s">
        <v>373</v>
      </c>
      <c r="CB48" s="192" t="s">
        <v>373</v>
      </c>
      <c r="CC48" s="193" t="s">
        <v>373</v>
      </c>
      <c r="CD48" s="194" t="s">
        <v>373</v>
      </c>
      <c r="CE48" s="194" t="s">
        <v>373</v>
      </c>
      <c r="CF48" s="194" t="s">
        <v>373</v>
      </c>
      <c r="CG48" s="194" t="s">
        <v>373</v>
      </c>
      <c r="CH48" s="195" t="s">
        <v>373</v>
      </c>
      <c r="CI48" s="181"/>
      <c r="CJ48" s="181"/>
      <c r="CK48" s="181"/>
      <c r="CL48" s="181"/>
      <c r="CM48" s="181"/>
      <c r="CN48" s="181"/>
      <c r="CO48" s="181"/>
    </row>
    <row r="49" spans="2:93" ht="9" customHeight="1" x14ac:dyDescent="0.35">
      <c r="B49" s="182"/>
      <c r="C49" s="182"/>
      <c r="D49" s="182"/>
      <c r="E49" s="182"/>
      <c r="F49" s="182"/>
      <c r="G49" s="182"/>
      <c r="H49" s="182"/>
      <c r="I49" s="182"/>
      <c r="J49" s="1025"/>
      <c r="K49" s="1026"/>
      <c r="L49" s="1026"/>
      <c r="M49" s="1026"/>
      <c r="N49" s="1026"/>
      <c r="O49" s="1027"/>
      <c r="P49" s="1025"/>
      <c r="Q49" s="1026"/>
      <c r="R49" s="1026"/>
      <c r="S49" s="1026"/>
      <c r="T49" s="1026"/>
      <c r="U49" s="1027"/>
      <c r="V49" s="1025"/>
      <c r="W49" s="1026"/>
      <c r="X49" s="1026"/>
      <c r="Y49" s="1026"/>
      <c r="Z49" s="1026"/>
      <c r="AA49" s="1027"/>
      <c r="AB49" s="1025"/>
      <c r="AC49" s="1026"/>
      <c r="AD49" s="1026"/>
      <c r="AE49" s="1026"/>
      <c r="AF49" s="1026"/>
      <c r="AG49" s="1027"/>
      <c r="AH49" s="1025"/>
      <c r="AI49" s="1026"/>
      <c r="AJ49" s="1026"/>
      <c r="AK49" s="1026"/>
      <c r="AL49" s="1026"/>
      <c r="AM49" s="1027"/>
      <c r="AN49" s="182"/>
      <c r="AO49" s="182"/>
      <c r="AP49" s="182"/>
      <c r="AQ49" s="182"/>
      <c r="AR49" s="182"/>
      <c r="AS49" s="182"/>
      <c r="AT49" s="182"/>
      <c r="AW49" s="983"/>
      <c r="AX49" s="983"/>
      <c r="AY49" s="984"/>
      <c r="AZ49" s="975"/>
      <c r="BA49" s="976"/>
      <c r="BB49" s="976"/>
      <c r="BC49" s="976"/>
      <c r="BD49" s="977"/>
      <c r="BE49" s="214" t="s">
        <v>373</v>
      </c>
      <c r="BF49" s="215" t="s">
        <v>373</v>
      </c>
      <c r="BG49" s="215" t="s">
        <v>373</v>
      </c>
      <c r="BH49" s="215" t="s">
        <v>373</v>
      </c>
      <c r="BI49" s="215" t="s">
        <v>373</v>
      </c>
      <c r="BJ49" s="216" t="s">
        <v>373</v>
      </c>
      <c r="BK49" s="214" t="s">
        <v>373</v>
      </c>
      <c r="BL49" s="215" t="s">
        <v>373</v>
      </c>
      <c r="BM49" s="215" t="s">
        <v>373</v>
      </c>
      <c r="BN49" s="215" t="s">
        <v>373</v>
      </c>
      <c r="BO49" s="215" t="s">
        <v>373</v>
      </c>
      <c r="BP49" s="216" t="s">
        <v>373</v>
      </c>
      <c r="BQ49" s="205" t="s">
        <v>373</v>
      </c>
      <c r="BR49" s="206" t="s">
        <v>373</v>
      </c>
      <c r="BS49" s="206" t="s">
        <v>373</v>
      </c>
      <c r="BT49" s="206" t="s">
        <v>373</v>
      </c>
      <c r="BU49" s="206" t="s">
        <v>373</v>
      </c>
      <c r="BV49" s="207" t="s">
        <v>373</v>
      </c>
      <c r="BW49" s="190" t="s">
        <v>373</v>
      </c>
      <c r="BX49" s="191" t="s">
        <v>373</v>
      </c>
      <c r="BY49" s="191" t="s">
        <v>373</v>
      </c>
      <c r="BZ49" s="191" t="s">
        <v>373</v>
      </c>
      <c r="CA49" s="191" t="s">
        <v>373</v>
      </c>
      <c r="CB49" s="192" t="s">
        <v>373</v>
      </c>
      <c r="CC49" s="193" t="s">
        <v>373</v>
      </c>
      <c r="CD49" s="194" t="s">
        <v>373</v>
      </c>
      <c r="CE49" s="194" t="s">
        <v>373</v>
      </c>
      <c r="CF49" s="194" t="s">
        <v>373</v>
      </c>
      <c r="CG49" s="194" t="s">
        <v>373</v>
      </c>
      <c r="CH49" s="195" t="s">
        <v>373</v>
      </c>
      <c r="CI49" s="181"/>
      <c r="CJ49" s="181"/>
      <c r="CK49" s="181"/>
      <c r="CL49" s="181"/>
      <c r="CM49" s="181"/>
      <c r="CN49" s="181"/>
      <c r="CO49" s="181"/>
    </row>
    <row r="50" spans="2:93" ht="9" customHeight="1" x14ac:dyDescent="0.35">
      <c r="B50" s="182"/>
      <c r="C50" s="182"/>
      <c r="D50" s="182"/>
      <c r="E50" s="182"/>
      <c r="F50" s="182"/>
      <c r="G50" s="182"/>
      <c r="H50" s="182"/>
      <c r="I50" s="182"/>
      <c r="J50" s="1025"/>
      <c r="K50" s="1026"/>
      <c r="L50" s="1026"/>
      <c r="M50" s="1026"/>
      <c r="N50" s="1026"/>
      <c r="O50" s="1027"/>
      <c r="P50" s="1025"/>
      <c r="Q50" s="1026"/>
      <c r="R50" s="1026"/>
      <c r="S50" s="1026"/>
      <c r="T50" s="1026"/>
      <c r="U50" s="1027"/>
      <c r="V50" s="1025"/>
      <c r="W50" s="1026"/>
      <c r="X50" s="1026"/>
      <c r="Y50" s="1026"/>
      <c r="Z50" s="1026"/>
      <c r="AA50" s="1027"/>
      <c r="AB50" s="1025"/>
      <c r="AC50" s="1026"/>
      <c r="AD50" s="1026"/>
      <c r="AE50" s="1026"/>
      <c r="AF50" s="1026"/>
      <c r="AG50" s="1027"/>
      <c r="AH50" s="1025"/>
      <c r="AI50" s="1026"/>
      <c r="AJ50" s="1026"/>
      <c r="AK50" s="1026"/>
      <c r="AL50" s="1026"/>
      <c r="AM50" s="1027"/>
      <c r="AN50" s="182"/>
      <c r="AO50" s="182"/>
      <c r="AP50" s="182"/>
      <c r="AQ50" s="182"/>
      <c r="AR50" s="182"/>
      <c r="AS50" s="182"/>
      <c r="AT50" s="182"/>
      <c r="AW50" s="983"/>
      <c r="AX50" s="983"/>
      <c r="AY50" s="984"/>
      <c r="AZ50" s="975"/>
      <c r="BA50" s="976"/>
      <c r="BB50" s="976"/>
      <c r="BC50" s="976"/>
      <c r="BD50" s="977"/>
      <c r="BE50" s="214" t="s">
        <v>373</v>
      </c>
      <c r="BF50" s="215" t="s">
        <v>373</v>
      </c>
      <c r="BG50" s="215" t="s">
        <v>373</v>
      </c>
      <c r="BH50" s="215" t="s">
        <v>373</v>
      </c>
      <c r="BI50" s="215" t="s">
        <v>373</v>
      </c>
      <c r="BJ50" s="216" t="s">
        <v>373</v>
      </c>
      <c r="BK50" s="214" t="s">
        <v>373</v>
      </c>
      <c r="BL50" s="215" t="s">
        <v>373</v>
      </c>
      <c r="BM50" s="215" t="s">
        <v>373</v>
      </c>
      <c r="BN50" s="215" t="s">
        <v>373</v>
      </c>
      <c r="BO50" s="215" t="s">
        <v>373</v>
      </c>
      <c r="BP50" s="216" t="s">
        <v>373</v>
      </c>
      <c r="BQ50" s="205" t="s">
        <v>373</v>
      </c>
      <c r="BR50" s="206" t="s">
        <v>373</v>
      </c>
      <c r="BS50" s="206" t="s">
        <v>373</v>
      </c>
      <c r="BT50" s="206" t="s">
        <v>373</v>
      </c>
      <c r="BU50" s="206" t="s">
        <v>373</v>
      </c>
      <c r="BV50" s="207" t="s">
        <v>373</v>
      </c>
      <c r="BW50" s="190" t="s">
        <v>373</v>
      </c>
      <c r="BX50" s="191" t="s">
        <v>373</v>
      </c>
      <c r="BY50" s="191" t="s">
        <v>373</v>
      </c>
      <c r="BZ50" s="191" t="s">
        <v>373</v>
      </c>
      <c r="CA50" s="191" t="s">
        <v>373</v>
      </c>
      <c r="CB50" s="192" t="s">
        <v>373</v>
      </c>
      <c r="CC50" s="193" t="s">
        <v>373</v>
      </c>
      <c r="CD50" s="194" t="s">
        <v>373</v>
      </c>
      <c r="CE50" s="194" t="s">
        <v>373</v>
      </c>
      <c r="CF50" s="194" t="s">
        <v>373</v>
      </c>
      <c r="CG50" s="194" t="s">
        <v>373</v>
      </c>
      <c r="CH50" s="195" t="s">
        <v>373</v>
      </c>
      <c r="CI50" s="181"/>
      <c r="CJ50" s="181"/>
      <c r="CK50" s="181"/>
      <c r="CL50" s="181"/>
      <c r="CM50" s="181"/>
      <c r="CN50" s="181"/>
      <c r="CO50" s="181"/>
    </row>
    <row r="51" spans="2:93" ht="9" customHeight="1" thickBot="1" x14ac:dyDescent="0.4">
      <c r="B51" s="182"/>
      <c r="C51" s="182"/>
      <c r="D51" s="182"/>
      <c r="E51" s="182"/>
      <c r="F51" s="182"/>
      <c r="G51" s="182"/>
      <c r="H51" s="182"/>
      <c r="I51" s="182"/>
      <c r="J51" s="1028"/>
      <c r="K51" s="1029"/>
      <c r="L51" s="1029"/>
      <c r="M51" s="1029"/>
      <c r="N51" s="1029"/>
      <c r="O51" s="1030"/>
      <c r="P51" s="1028"/>
      <c r="Q51" s="1029"/>
      <c r="R51" s="1029"/>
      <c r="S51" s="1029"/>
      <c r="T51" s="1029"/>
      <c r="U51" s="1030"/>
      <c r="V51" s="1028"/>
      <c r="W51" s="1029"/>
      <c r="X51" s="1029"/>
      <c r="Y51" s="1029"/>
      <c r="Z51" s="1029"/>
      <c r="AA51" s="1030"/>
      <c r="AB51" s="1028"/>
      <c r="AC51" s="1029"/>
      <c r="AD51" s="1029"/>
      <c r="AE51" s="1029"/>
      <c r="AF51" s="1029"/>
      <c r="AG51" s="1030"/>
      <c r="AH51" s="1028"/>
      <c r="AI51" s="1029"/>
      <c r="AJ51" s="1029"/>
      <c r="AK51" s="1029"/>
      <c r="AL51" s="1029"/>
      <c r="AM51" s="1030"/>
      <c r="AN51" s="182"/>
      <c r="AO51" s="182"/>
      <c r="AP51" s="182"/>
      <c r="AQ51" s="182"/>
      <c r="AR51" s="182"/>
      <c r="AS51" s="182"/>
      <c r="AT51" s="182"/>
      <c r="AW51" s="983"/>
      <c r="AX51" s="983"/>
      <c r="AY51" s="984"/>
      <c r="AZ51" s="975"/>
      <c r="BA51" s="976"/>
      <c r="BB51" s="976"/>
      <c r="BC51" s="976"/>
      <c r="BD51" s="977"/>
      <c r="BE51" s="214" t="s">
        <v>373</v>
      </c>
      <c r="BF51" s="215" t="s">
        <v>373</v>
      </c>
      <c r="BG51" s="215" t="s">
        <v>373</v>
      </c>
      <c r="BH51" s="215" t="s">
        <v>373</v>
      </c>
      <c r="BI51" s="215" t="s">
        <v>373</v>
      </c>
      <c r="BJ51" s="216" t="s">
        <v>373</v>
      </c>
      <c r="BK51" s="214" t="s">
        <v>373</v>
      </c>
      <c r="BL51" s="215" t="s">
        <v>373</v>
      </c>
      <c r="BM51" s="215" t="s">
        <v>373</v>
      </c>
      <c r="BN51" s="215" t="s">
        <v>373</v>
      </c>
      <c r="BO51" s="215" t="s">
        <v>373</v>
      </c>
      <c r="BP51" s="216" t="s">
        <v>373</v>
      </c>
      <c r="BQ51" s="205" t="s">
        <v>373</v>
      </c>
      <c r="BR51" s="206" t="s">
        <v>373</v>
      </c>
      <c r="BS51" s="206" t="s">
        <v>373</v>
      </c>
      <c r="BT51" s="206" t="s">
        <v>373</v>
      </c>
      <c r="BU51" s="206" t="s">
        <v>373</v>
      </c>
      <c r="BV51" s="207" t="s">
        <v>373</v>
      </c>
      <c r="BW51" s="190" t="s">
        <v>373</v>
      </c>
      <c r="BX51" s="191" t="s">
        <v>373</v>
      </c>
      <c r="BY51" s="191" t="s">
        <v>373</v>
      </c>
      <c r="BZ51" s="191" t="s">
        <v>373</v>
      </c>
      <c r="CA51" s="191" t="s">
        <v>373</v>
      </c>
      <c r="CB51" s="192" t="s">
        <v>373</v>
      </c>
      <c r="CC51" s="193" t="s">
        <v>373</v>
      </c>
      <c r="CD51" s="194" t="s">
        <v>373</v>
      </c>
      <c r="CE51" s="194" t="s">
        <v>373</v>
      </c>
      <c r="CF51" s="194" t="s">
        <v>373</v>
      </c>
      <c r="CG51" s="194" t="s">
        <v>373</v>
      </c>
      <c r="CH51" s="195" t="s">
        <v>373</v>
      </c>
      <c r="CI51" s="181"/>
      <c r="CJ51" s="181"/>
      <c r="CK51" s="181"/>
      <c r="CL51" s="181"/>
      <c r="CM51" s="181"/>
      <c r="CN51" s="181"/>
      <c r="CO51" s="181"/>
    </row>
    <row r="52" spans="2:93" ht="9" customHeight="1" x14ac:dyDescent="0.35">
      <c r="AW52" s="983"/>
      <c r="AX52" s="983"/>
      <c r="AY52" s="984"/>
      <c r="AZ52" s="975"/>
      <c r="BA52" s="976"/>
      <c r="BB52" s="976"/>
      <c r="BC52" s="976"/>
      <c r="BD52" s="977"/>
      <c r="BE52" s="214" t="s">
        <v>373</v>
      </c>
      <c r="BF52" s="215" t="s">
        <v>373</v>
      </c>
      <c r="BG52" s="215" t="s">
        <v>373</v>
      </c>
      <c r="BH52" s="215" t="s">
        <v>373</v>
      </c>
      <c r="BI52" s="215" t="s">
        <v>373</v>
      </c>
      <c r="BJ52" s="216" t="s">
        <v>373</v>
      </c>
      <c r="BK52" s="214" t="s">
        <v>373</v>
      </c>
      <c r="BL52" s="215" t="s">
        <v>373</v>
      </c>
      <c r="BM52" s="215" t="s">
        <v>373</v>
      </c>
      <c r="BN52" s="215" t="s">
        <v>373</v>
      </c>
      <c r="BO52" s="215" t="s">
        <v>373</v>
      </c>
      <c r="BP52" s="216" t="s">
        <v>373</v>
      </c>
      <c r="BQ52" s="205" t="s">
        <v>373</v>
      </c>
      <c r="BR52" s="206" t="s">
        <v>373</v>
      </c>
      <c r="BS52" s="206" t="s">
        <v>373</v>
      </c>
      <c r="BT52" s="206" t="s">
        <v>373</v>
      </c>
      <c r="BU52" s="206" t="s">
        <v>373</v>
      </c>
      <c r="BV52" s="207" t="s">
        <v>373</v>
      </c>
      <c r="BW52" s="190" t="s">
        <v>373</v>
      </c>
      <c r="BX52" s="191" t="s">
        <v>373</v>
      </c>
      <c r="BY52" s="191" t="s">
        <v>373</v>
      </c>
      <c r="BZ52" s="191" t="s">
        <v>373</v>
      </c>
      <c r="CA52" s="191" t="s">
        <v>373</v>
      </c>
      <c r="CB52" s="192" t="s">
        <v>373</v>
      </c>
      <c r="CC52" s="193" t="s">
        <v>373</v>
      </c>
      <c r="CD52" s="194" t="s">
        <v>373</v>
      </c>
      <c r="CE52" s="194" t="s">
        <v>373</v>
      </c>
      <c r="CF52" s="194" t="s">
        <v>373</v>
      </c>
      <c r="CG52" s="194" t="s">
        <v>373</v>
      </c>
      <c r="CH52" s="195" t="s">
        <v>373</v>
      </c>
      <c r="CI52" s="181"/>
      <c r="CJ52" s="181"/>
      <c r="CK52" s="181"/>
      <c r="CL52" s="181"/>
      <c r="CM52" s="181"/>
      <c r="CN52" s="181"/>
      <c r="CO52" s="181"/>
    </row>
    <row r="53" spans="2:93" ht="9" customHeight="1" x14ac:dyDescent="0.35">
      <c r="AW53" s="983"/>
      <c r="AX53" s="983"/>
      <c r="AY53" s="984"/>
      <c r="AZ53" s="975"/>
      <c r="BA53" s="976"/>
      <c r="BB53" s="976"/>
      <c r="BC53" s="976"/>
      <c r="BD53" s="977"/>
      <c r="BE53" s="214" t="s">
        <v>373</v>
      </c>
      <c r="BF53" s="215" t="s">
        <v>373</v>
      </c>
      <c r="BG53" s="215" t="s">
        <v>373</v>
      </c>
      <c r="BH53" s="215" t="s">
        <v>373</v>
      </c>
      <c r="BI53" s="215" t="s">
        <v>373</v>
      </c>
      <c r="BJ53" s="216" t="s">
        <v>373</v>
      </c>
      <c r="BK53" s="214" t="s">
        <v>373</v>
      </c>
      <c r="BL53" s="215" t="s">
        <v>373</v>
      </c>
      <c r="BM53" s="215" t="s">
        <v>373</v>
      </c>
      <c r="BN53" s="215" t="s">
        <v>373</v>
      </c>
      <c r="BO53" s="215" t="s">
        <v>373</v>
      </c>
      <c r="BP53" s="216" t="s">
        <v>373</v>
      </c>
      <c r="BQ53" s="205" t="s">
        <v>373</v>
      </c>
      <c r="BR53" s="206" t="s">
        <v>373</v>
      </c>
      <c r="BS53" s="206" t="s">
        <v>373</v>
      </c>
      <c r="BT53" s="206" t="s">
        <v>373</v>
      </c>
      <c r="BU53" s="206" t="s">
        <v>373</v>
      </c>
      <c r="BV53" s="207" t="s">
        <v>373</v>
      </c>
      <c r="BW53" s="190" t="s">
        <v>373</v>
      </c>
      <c r="BX53" s="191" t="s">
        <v>373</v>
      </c>
      <c r="BY53" s="191" t="s">
        <v>373</v>
      </c>
      <c r="BZ53" s="191" t="s">
        <v>373</v>
      </c>
      <c r="CA53" s="191" t="s">
        <v>373</v>
      </c>
      <c r="CB53" s="192" t="s">
        <v>373</v>
      </c>
      <c r="CC53" s="193" t="s">
        <v>373</v>
      </c>
      <c r="CD53" s="194" t="s">
        <v>373</v>
      </c>
      <c r="CE53" s="194" t="s">
        <v>373</v>
      </c>
      <c r="CF53" s="194" t="s">
        <v>373</v>
      </c>
      <c r="CG53" s="194" t="s">
        <v>373</v>
      </c>
      <c r="CH53" s="195" t="s">
        <v>373</v>
      </c>
      <c r="CI53" s="181"/>
      <c r="CJ53" s="181"/>
      <c r="CK53" s="181"/>
      <c r="CL53" s="181"/>
      <c r="CM53" s="181"/>
      <c r="CN53" s="181"/>
      <c r="CO53" s="181"/>
    </row>
    <row r="54" spans="2:93" ht="9" customHeight="1" x14ac:dyDescent="0.35">
      <c r="AW54" s="983"/>
      <c r="AX54" s="983"/>
      <c r="AY54" s="984"/>
      <c r="AZ54" s="975"/>
      <c r="BA54" s="976"/>
      <c r="BB54" s="976"/>
      <c r="BC54" s="976"/>
      <c r="BD54" s="977"/>
      <c r="BE54" s="214" t="s">
        <v>373</v>
      </c>
      <c r="BF54" s="215" t="s">
        <v>373</v>
      </c>
      <c r="BG54" s="215" t="s">
        <v>373</v>
      </c>
      <c r="BH54" s="215" t="s">
        <v>373</v>
      </c>
      <c r="BI54" s="215" t="s">
        <v>373</v>
      </c>
      <c r="BJ54" s="216" t="s">
        <v>373</v>
      </c>
      <c r="BK54" s="214" t="s">
        <v>373</v>
      </c>
      <c r="BL54" s="215" t="s">
        <v>373</v>
      </c>
      <c r="BM54" s="215" t="s">
        <v>373</v>
      </c>
      <c r="BN54" s="215" t="s">
        <v>373</v>
      </c>
      <c r="BO54" s="215" t="s">
        <v>373</v>
      </c>
      <c r="BP54" s="216" t="s">
        <v>373</v>
      </c>
      <c r="BQ54" s="205" t="s">
        <v>373</v>
      </c>
      <c r="BR54" s="206" t="s">
        <v>373</v>
      </c>
      <c r="BS54" s="206" t="s">
        <v>373</v>
      </c>
      <c r="BT54" s="206" t="s">
        <v>373</v>
      </c>
      <c r="BU54" s="206" t="s">
        <v>373</v>
      </c>
      <c r="BV54" s="207" t="s">
        <v>373</v>
      </c>
      <c r="BW54" s="190" t="s">
        <v>373</v>
      </c>
      <c r="BX54" s="191" t="s">
        <v>373</v>
      </c>
      <c r="BY54" s="191" t="s">
        <v>373</v>
      </c>
      <c r="BZ54" s="191" t="s">
        <v>373</v>
      </c>
      <c r="CA54" s="191" t="s">
        <v>373</v>
      </c>
      <c r="CB54" s="192" t="s">
        <v>373</v>
      </c>
      <c r="CC54" s="193" t="s">
        <v>373</v>
      </c>
      <c r="CD54" s="194" t="s">
        <v>373</v>
      </c>
      <c r="CE54" s="194" t="s">
        <v>373</v>
      </c>
      <c r="CF54" s="194" t="s">
        <v>373</v>
      </c>
      <c r="CG54" s="194" t="s">
        <v>373</v>
      </c>
      <c r="CH54" s="195" t="s">
        <v>373</v>
      </c>
      <c r="CI54" s="181"/>
      <c r="CJ54" s="181"/>
      <c r="CK54" s="181"/>
      <c r="CL54" s="181"/>
      <c r="CM54" s="181"/>
      <c r="CN54" s="181"/>
      <c r="CO54" s="181"/>
    </row>
    <row r="55" spans="2:93" ht="9" customHeight="1" thickBot="1" x14ac:dyDescent="0.4">
      <c r="AW55" s="983"/>
      <c r="AX55" s="983"/>
      <c r="AY55" s="984"/>
      <c r="AZ55" s="978"/>
      <c r="BA55" s="979"/>
      <c r="BB55" s="979"/>
      <c r="BC55" s="979"/>
      <c r="BD55" s="980"/>
      <c r="BE55" s="217" t="s">
        <v>373</v>
      </c>
      <c r="BF55" s="218" t="s">
        <v>373</v>
      </c>
      <c r="BG55" s="218" t="s">
        <v>373</v>
      </c>
      <c r="BH55" s="218" t="s">
        <v>373</v>
      </c>
      <c r="BI55" s="218" t="s">
        <v>373</v>
      </c>
      <c r="BJ55" s="219" t="s">
        <v>373</v>
      </c>
      <c r="BK55" s="217" t="s">
        <v>373</v>
      </c>
      <c r="BL55" s="218" t="s">
        <v>373</v>
      </c>
      <c r="BM55" s="218" t="s">
        <v>373</v>
      </c>
      <c r="BN55" s="218" t="s">
        <v>373</v>
      </c>
      <c r="BO55" s="218" t="s">
        <v>373</v>
      </c>
      <c r="BP55" s="219" t="s">
        <v>373</v>
      </c>
      <c r="BQ55" s="208" t="s">
        <v>373</v>
      </c>
      <c r="BR55" s="209" t="s">
        <v>373</v>
      </c>
      <c r="BS55" s="209" t="s">
        <v>373</v>
      </c>
      <c r="BT55" s="209" t="s">
        <v>373</v>
      </c>
      <c r="BU55" s="209" t="s">
        <v>373</v>
      </c>
      <c r="BV55" s="210" t="s">
        <v>373</v>
      </c>
      <c r="BW55" s="196" t="s">
        <v>373</v>
      </c>
      <c r="BX55" s="197" t="s">
        <v>373</v>
      </c>
      <c r="BY55" s="197" t="s">
        <v>373</v>
      </c>
      <c r="BZ55" s="197" t="s">
        <v>373</v>
      </c>
      <c r="CA55" s="197" t="s">
        <v>373</v>
      </c>
      <c r="CB55" s="198" t="s">
        <v>373</v>
      </c>
      <c r="CC55" s="199" t="s">
        <v>373</v>
      </c>
      <c r="CD55" s="200" t="s">
        <v>373</v>
      </c>
      <c r="CE55" s="200" t="s">
        <v>373</v>
      </c>
      <c r="CF55" s="200" t="s">
        <v>373</v>
      </c>
      <c r="CG55" s="200" t="s">
        <v>373</v>
      </c>
      <c r="CH55" s="201" t="s">
        <v>373</v>
      </c>
      <c r="CI55" s="181"/>
      <c r="CJ55" s="181"/>
      <c r="CK55" s="181"/>
      <c r="CL55" s="181"/>
      <c r="CM55" s="181"/>
      <c r="CN55" s="181"/>
      <c r="CO55" s="181"/>
    </row>
    <row r="56" spans="2:93" ht="8.25" customHeight="1" x14ac:dyDescent="0.35">
      <c r="AW56" s="181"/>
      <c r="AX56" s="181"/>
      <c r="AY56" s="181"/>
      <c r="AZ56" s="181"/>
      <c r="BA56" s="181"/>
      <c r="BB56" s="181"/>
      <c r="BC56" s="181"/>
      <c r="BD56" s="181"/>
      <c r="BE56" s="972" t="s">
        <v>112</v>
      </c>
      <c r="BF56" s="973"/>
      <c r="BG56" s="973"/>
      <c r="BH56" s="973"/>
      <c r="BI56" s="973"/>
      <c r="BJ56" s="974"/>
      <c r="BK56" s="972" t="s">
        <v>111</v>
      </c>
      <c r="BL56" s="973"/>
      <c r="BM56" s="973"/>
      <c r="BN56" s="973"/>
      <c r="BO56" s="973"/>
      <c r="BP56" s="974"/>
      <c r="BQ56" s="972" t="s">
        <v>110</v>
      </c>
      <c r="BR56" s="973"/>
      <c r="BS56" s="973"/>
      <c r="BT56" s="973"/>
      <c r="BU56" s="973"/>
      <c r="BV56" s="974"/>
      <c r="BW56" s="972" t="s">
        <v>109</v>
      </c>
      <c r="BX56" s="981"/>
      <c r="BY56" s="973"/>
      <c r="BZ56" s="973"/>
      <c r="CA56" s="973"/>
      <c r="CB56" s="974"/>
      <c r="CC56" s="972" t="s">
        <v>108</v>
      </c>
      <c r="CD56" s="973"/>
      <c r="CE56" s="973"/>
      <c r="CF56" s="973"/>
      <c r="CG56" s="973"/>
      <c r="CH56" s="974"/>
      <c r="CI56" s="181"/>
      <c r="CJ56" s="181"/>
      <c r="CK56" s="181"/>
      <c r="CL56" s="181"/>
      <c r="CM56" s="181"/>
      <c r="CN56" s="181"/>
      <c r="CO56" s="181"/>
    </row>
    <row r="57" spans="2:93" ht="8.25" customHeight="1" x14ac:dyDescent="0.35">
      <c r="AW57" s="181"/>
      <c r="AX57" s="181"/>
      <c r="AY57" s="181"/>
      <c r="AZ57" s="181"/>
      <c r="BA57" s="181"/>
      <c r="BB57" s="181"/>
      <c r="BC57" s="181"/>
      <c r="BD57" s="181"/>
      <c r="BE57" s="975"/>
      <c r="BF57" s="976"/>
      <c r="BG57" s="976"/>
      <c r="BH57" s="976"/>
      <c r="BI57" s="976"/>
      <c r="BJ57" s="977"/>
      <c r="BK57" s="975"/>
      <c r="BL57" s="976"/>
      <c r="BM57" s="976"/>
      <c r="BN57" s="976"/>
      <c r="BO57" s="976"/>
      <c r="BP57" s="977"/>
      <c r="BQ57" s="975"/>
      <c r="BR57" s="976"/>
      <c r="BS57" s="976"/>
      <c r="BT57" s="976"/>
      <c r="BU57" s="976"/>
      <c r="BV57" s="977"/>
      <c r="BW57" s="975"/>
      <c r="BX57" s="976"/>
      <c r="BY57" s="976"/>
      <c r="BZ57" s="976"/>
      <c r="CA57" s="976"/>
      <c r="CB57" s="977"/>
      <c r="CC57" s="975"/>
      <c r="CD57" s="976"/>
      <c r="CE57" s="976"/>
      <c r="CF57" s="976"/>
      <c r="CG57" s="976"/>
      <c r="CH57" s="977"/>
      <c r="CI57" s="181"/>
      <c r="CJ57" s="181"/>
      <c r="CK57" s="181"/>
      <c r="CL57" s="181"/>
      <c r="CM57" s="181"/>
      <c r="CN57" s="181"/>
      <c r="CO57" s="181"/>
    </row>
    <row r="58" spans="2:93" ht="8.25" customHeight="1" thickBot="1" x14ac:dyDescent="0.4">
      <c r="AW58" s="181"/>
      <c r="AX58" s="181"/>
      <c r="AY58" s="181"/>
      <c r="AZ58" s="181"/>
      <c r="BA58" s="181"/>
      <c r="BB58" s="181"/>
      <c r="BC58" s="181"/>
      <c r="BD58" s="181"/>
      <c r="BE58" s="975"/>
      <c r="BF58" s="976"/>
      <c r="BG58" s="976"/>
      <c r="BH58" s="976"/>
      <c r="BI58" s="976"/>
      <c r="BJ58" s="977"/>
      <c r="BK58" s="975"/>
      <c r="BL58" s="976"/>
      <c r="BM58" s="976"/>
      <c r="BN58" s="976"/>
      <c r="BO58" s="976"/>
      <c r="BP58" s="977"/>
      <c r="BQ58" s="975"/>
      <c r="BR58" s="976"/>
      <c r="BS58" s="976"/>
      <c r="BT58" s="976"/>
      <c r="BU58" s="976"/>
      <c r="BV58" s="977"/>
      <c r="BW58" s="975"/>
      <c r="BX58" s="976"/>
      <c r="BY58" s="976"/>
      <c r="BZ58" s="976"/>
      <c r="CA58" s="976"/>
      <c r="CB58" s="977"/>
      <c r="CC58" s="975"/>
      <c r="CD58" s="976"/>
      <c r="CE58" s="976"/>
      <c r="CF58" s="976"/>
      <c r="CG58" s="976"/>
      <c r="CH58" s="977"/>
      <c r="CI58" s="181"/>
      <c r="CJ58" s="181"/>
      <c r="CK58" s="181"/>
      <c r="CL58" s="181"/>
      <c r="CM58" s="181"/>
      <c r="CN58" s="181"/>
      <c r="CO58" s="181"/>
    </row>
    <row r="59" spans="2:93" ht="13.5" customHeight="1" x14ac:dyDescent="0.35">
      <c r="AW59" s="181"/>
      <c r="AX59" s="181"/>
      <c r="AY59" s="181"/>
      <c r="AZ59" s="181"/>
      <c r="BA59" s="181"/>
      <c r="BB59" s="181"/>
      <c r="BC59" s="181"/>
      <c r="BD59" s="181"/>
      <c r="BE59" s="975"/>
      <c r="BF59" s="976"/>
      <c r="BG59" s="976"/>
      <c r="BH59" s="976"/>
      <c r="BI59" s="976"/>
      <c r="BJ59" s="977"/>
      <c r="BK59" s="975"/>
      <c r="BL59" s="976"/>
      <c r="BM59" s="976"/>
      <c r="BN59" s="976"/>
      <c r="BO59" s="976"/>
      <c r="BP59" s="977"/>
      <c r="BQ59" s="975"/>
      <c r="BR59" s="976"/>
      <c r="BS59" s="976"/>
      <c r="BT59" s="976"/>
      <c r="BU59" s="976"/>
      <c r="BV59" s="977"/>
      <c r="BW59" s="975"/>
      <c r="BX59" s="976"/>
      <c r="BY59" s="976"/>
      <c r="BZ59" s="976"/>
      <c r="CA59" s="976"/>
      <c r="CB59" s="977"/>
      <c r="CC59" s="975"/>
      <c r="CD59" s="976"/>
      <c r="CE59" s="976"/>
      <c r="CF59" s="976"/>
      <c r="CG59" s="976"/>
      <c r="CH59" s="977"/>
      <c r="CI59" s="181"/>
      <c r="CJ59" s="181"/>
      <c r="CK59" s="181"/>
      <c r="CL59" s="181"/>
      <c r="CM59" s="181"/>
      <c r="CN59" s="181"/>
      <c r="CO59" s="181"/>
    </row>
    <row r="60" spans="2:93" ht="8.25" customHeight="1" x14ac:dyDescent="0.35">
      <c r="AW60" s="181"/>
      <c r="AX60" s="181"/>
      <c r="AY60" s="181"/>
      <c r="AZ60" s="181"/>
      <c r="BA60" s="181"/>
      <c r="BB60" s="181"/>
      <c r="BC60" s="181"/>
      <c r="BD60" s="181"/>
      <c r="BE60" s="975"/>
      <c r="BF60" s="976"/>
      <c r="BG60" s="976"/>
      <c r="BH60" s="976"/>
      <c r="BI60" s="976"/>
      <c r="BJ60" s="977"/>
      <c r="BK60" s="975"/>
      <c r="BL60" s="976"/>
      <c r="BM60" s="976"/>
      <c r="BN60" s="976"/>
      <c r="BO60" s="976"/>
      <c r="BP60" s="977"/>
      <c r="BQ60" s="975"/>
      <c r="BR60" s="976"/>
      <c r="BS60" s="976"/>
      <c r="BT60" s="976"/>
      <c r="BU60" s="976"/>
      <c r="BV60" s="977"/>
      <c r="BW60" s="975"/>
      <c r="BX60" s="976"/>
      <c r="BY60" s="976"/>
      <c r="BZ60" s="976"/>
      <c r="CA60" s="976"/>
      <c r="CB60" s="977"/>
      <c r="CC60" s="975"/>
      <c r="CD60" s="976"/>
      <c r="CE60" s="976"/>
      <c r="CF60" s="976"/>
      <c r="CG60" s="976"/>
      <c r="CH60" s="977"/>
      <c r="CI60" s="181"/>
      <c r="CJ60" s="181"/>
      <c r="CK60" s="181"/>
      <c r="CL60" s="181"/>
      <c r="CM60" s="181"/>
      <c r="CN60" s="181"/>
      <c r="CO60" s="181"/>
    </row>
    <row r="61" spans="2:93" ht="8.25" customHeight="1" thickBot="1" x14ac:dyDescent="0.4">
      <c r="AW61" s="181"/>
      <c r="AX61" s="181"/>
      <c r="AY61" s="181"/>
      <c r="AZ61" s="181"/>
      <c r="BA61" s="181"/>
      <c r="BB61" s="181"/>
      <c r="BC61" s="181"/>
      <c r="BD61" s="181"/>
      <c r="BE61" s="978"/>
      <c r="BF61" s="979"/>
      <c r="BG61" s="979"/>
      <c r="BH61" s="979"/>
      <c r="BI61" s="979"/>
      <c r="BJ61" s="980"/>
      <c r="BK61" s="978"/>
      <c r="BL61" s="979"/>
      <c r="BM61" s="979"/>
      <c r="BN61" s="979"/>
      <c r="BO61" s="979"/>
      <c r="BP61" s="980"/>
      <c r="BQ61" s="978"/>
      <c r="BR61" s="979"/>
      <c r="BS61" s="979"/>
      <c r="BT61" s="979"/>
      <c r="BU61" s="979"/>
      <c r="BV61" s="980"/>
      <c r="BW61" s="978"/>
      <c r="BX61" s="979"/>
      <c r="BY61" s="979"/>
      <c r="BZ61" s="979"/>
      <c r="CA61" s="979"/>
      <c r="CB61" s="980"/>
      <c r="CC61" s="978"/>
      <c r="CD61" s="979"/>
      <c r="CE61" s="979"/>
      <c r="CF61" s="979"/>
      <c r="CG61" s="979"/>
      <c r="CH61" s="980"/>
      <c r="CI61" s="181"/>
      <c r="CJ61" s="181"/>
      <c r="CK61" s="181"/>
      <c r="CL61" s="181"/>
      <c r="CM61" s="181"/>
      <c r="CN61" s="181"/>
      <c r="CO61" s="181"/>
    </row>
  </sheetData>
  <mergeCells count="335">
    <mergeCell ref="B2:I4"/>
    <mergeCell ref="J2:AM4"/>
    <mergeCell ref="B6:D45"/>
    <mergeCell ref="E6:I13"/>
    <mergeCell ref="J6:K7"/>
    <mergeCell ref="L6:M7"/>
    <mergeCell ref="N6:O7"/>
    <mergeCell ref="P6:Q7"/>
    <mergeCell ref="R6:S7"/>
    <mergeCell ref="T6:U7"/>
    <mergeCell ref="AH6:AI7"/>
    <mergeCell ref="AJ6:AK7"/>
    <mergeCell ref="AL6:AM7"/>
    <mergeCell ref="X10:Y11"/>
    <mergeCell ref="Z10:AA11"/>
    <mergeCell ref="AB10:AC11"/>
    <mergeCell ref="AD10:AE11"/>
    <mergeCell ref="AF10:AG11"/>
    <mergeCell ref="AH10:AI11"/>
    <mergeCell ref="AH8:AI9"/>
    <mergeCell ref="AJ8:AK9"/>
    <mergeCell ref="AL8:AM9"/>
    <mergeCell ref="Z8:AA9"/>
    <mergeCell ref="AB8:AC9"/>
    <mergeCell ref="AO6:AT13"/>
    <mergeCell ref="J8:K9"/>
    <mergeCell ref="L8:M9"/>
    <mergeCell ref="N8:O9"/>
    <mergeCell ref="P8:Q9"/>
    <mergeCell ref="R8:S9"/>
    <mergeCell ref="T8:U9"/>
    <mergeCell ref="V6:W7"/>
    <mergeCell ref="X6:Y7"/>
    <mergeCell ref="Z6:AA7"/>
    <mergeCell ref="AB6:AC7"/>
    <mergeCell ref="AD6:AE7"/>
    <mergeCell ref="AF6:AG7"/>
    <mergeCell ref="J10:K11"/>
    <mergeCell ref="L10:M11"/>
    <mergeCell ref="N10:O11"/>
    <mergeCell ref="P10:Q11"/>
    <mergeCell ref="R10:S11"/>
    <mergeCell ref="T10:U11"/>
    <mergeCell ref="V10:W11"/>
    <mergeCell ref="V8:W9"/>
    <mergeCell ref="X8:Y9"/>
    <mergeCell ref="AJ10:AK11"/>
    <mergeCell ref="AL10:AM11"/>
    <mergeCell ref="AD8:AE9"/>
    <mergeCell ref="AF8:AG9"/>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X18:Y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D40:AE41"/>
    <mergeCell ref="AF40:AG41"/>
    <mergeCell ref="AH40:AI41"/>
    <mergeCell ref="AH38:AI39"/>
    <mergeCell ref="AJ38:AK39"/>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J42:K43"/>
    <mergeCell ref="L42:M43"/>
    <mergeCell ref="N42:O43"/>
    <mergeCell ref="P42:Q43"/>
    <mergeCell ref="R42:S43"/>
    <mergeCell ref="T42:U43"/>
    <mergeCell ref="V42:W43"/>
    <mergeCell ref="X42:Y43"/>
    <mergeCell ref="X40:Y41"/>
    <mergeCell ref="J44:K45"/>
    <mergeCell ref="L44:M45"/>
    <mergeCell ref="N44:O45"/>
    <mergeCell ref="P44:Q45"/>
    <mergeCell ref="R44:S45"/>
    <mergeCell ref="T44:U45"/>
    <mergeCell ref="V44:W45"/>
    <mergeCell ref="X44:Y45"/>
    <mergeCell ref="Z44:AA45"/>
    <mergeCell ref="AB46:AG51"/>
    <mergeCell ref="AH46:AM51"/>
    <mergeCell ref="AW2:BD4"/>
    <mergeCell ref="AZ46:BD55"/>
    <mergeCell ref="V12:W13"/>
    <mergeCell ref="T12:U13"/>
    <mergeCell ref="R12:S13"/>
    <mergeCell ref="AB44:AC45"/>
    <mergeCell ref="AD44:AE45"/>
    <mergeCell ref="AF44:AG45"/>
    <mergeCell ref="AH44:AI45"/>
    <mergeCell ref="AJ44:AK45"/>
    <mergeCell ref="AL44:AM45"/>
    <mergeCell ref="AL42:AM43"/>
    <mergeCell ref="Z42:AA43"/>
    <mergeCell ref="AB42:AC43"/>
    <mergeCell ref="AD42:AE43"/>
    <mergeCell ref="AF42:AG43"/>
    <mergeCell ref="AH42:AI43"/>
    <mergeCell ref="AJ42:AK43"/>
    <mergeCell ref="AJ40:AK41"/>
    <mergeCell ref="AL40:AM41"/>
    <mergeCell ref="Z40:AA41"/>
    <mergeCell ref="AB40:AC41"/>
    <mergeCell ref="CR2:CT2"/>
    <mergeCell ref="P12:Q13"/>
    <mergeCell ref="N12:O13"/>
    <mergeCell ref="L12:M13"/>
    <mergeCell ref="J12:K13"/>
    <mergeCell ref="BE56:BJ61"/>
    <mergeCell ref="BK56:BP61"/>
    <mergeCell ref="BQ56:BV61"/>
    <mergeCell ref="BW56:CB61"/>
    <mergeCell ref="CC56:CH61"/>
    <mergeCell ref="X12:Y13"/>
    <mergeCell ref="BE2:CH4"/>
    <mergeCell ref="AW6:AY55"/>
    <mergeCell ref="AZ6:BD15"/>
    <mergeCell ref="CJ6:CO15"/>
    <mergeCell ref="AZ16:BD25"/>
    <mergeCell ref="CJ16:CO25"/>
    <mergeCell ref="AZ26:BD35"/>
    <mergeCell ref="CJ26:CO35"/>
    <mergeCell ref="AZ36:BD45"/>
    <mergeCell ref="CJ36:CO45"/>
    <mergeCell ref="J46:O51"/>
    <mergeCell ref="P46:U51"/>
    <mergeCell ref="V46:AA5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U140"/>
  <sheetViews>
    <sheetView zoomScale="50" zoomScaleNormal="50" workbookViewId="0">
      <selection activeCell="B2" sqref="B2:AT51"/>
    </sheetView>
  </sheetViews>
  <sheetFormatPr baseColWidth="10" defaultRowHeight="15" x14ac:dyDescent="0.25"/>
  <cols>
    <col min="2" max="39" width="5.7109375" customWidth="1"/>
    <col min="41" max="46" width="5.7109375" customWidth="1"/>
  </cols>
  <sheetData>
    <row r="1" spans="1:99"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row>
    <row r="2" spans="1:99" ht="18" customHeight="1" x14ac:dyDescent="0.25">
      <c r="A2" s="83"/>
      <c r="B2" s="1188" t="s">
        <v>161</v>
      </c>
      <c r="C2" s="1188"/>
      <c r="D2" s="1188"/>
      <c r="E2" s="1188"/>
      <c r="F2" s="1188"/>
      <c r="G2" s="1188"/>
      <c r="H2" s="1188"/>
      <c r="I2" s="1188"/>
      <c r="J2" s="1156" t="s">
        <v>2</v>
      </c>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row>
    <row r="3" spans="1:99" ht="18.75" customHeight="1" x14ac:dyDescent="0.25">
      <c r="A3" s="83"/>
      <c r="B3" s="1188"/>
      <c r="C3" s="1188"/>
      <c r="D3" s="1188"/>
      <c r="E3" s="1188"/>
      <c r="F3" s="1188"/>
      <c r="G3" s="1188"/>
      <c r="H3" s="1188"/>
      <c r="I3" s="1188"/>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row>
    <row r="4" spans="1:99" ht="15" customHeight="1" x14ac:dyDescent="0.25">
      <c r="A4" s="83"/>
      <c r="B4" s="1188"/>
      <c r="C4" s="1188"/>
      <c r="D4" s="1188"/>
      <c r="E4" s="1188"/>
      <c r="F4" s="1188"/>
      <c r="G4" s="1188"/>
      <c r="H4" s="1188"/>
      <c r="I4" s="1188"/>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row>
    <row r="5" spans="1:99" ht="15.75" thickBot="1" x14ac:dyDescent="0.3">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row>
    <row r="6" spans="1:99" ht="15" customHeight="1" x14ac:dyDescent="0.25">
      <c r="A6" s="83"/>
      <c r="B6" s="1103" t="s">
        <v>4</v>
      </c>
      <c r="C6" s="1103"/>
      <c r="D6" s="1104"/>
      <c r="E6" s="1141" t="s">
        <v>116</v>
      </c>
      <c r="F6" s="1142"/>
      <c r="G6" s="1142"/>
      <c r="H6" s="1142"/>
      <c r="I6" s="1143"/>
      <c r="J6" s="1152" t="str">
        <f ca="1">IF(AND('Riesgos de gestión'!$H$10="Muy Alta",'Riesgos de gestión'!$L$10="Leve"),CONCATENATE("R",'Riesgos de gestión'!$A$10),"")</f>
        <v/>
      </c>
      <c r="K6" s="1153"/>
      <c r="L6" s="1153" t="str">
        <f ca="1">IF(AND('Riesgos de gestión'!$H$16="Muy Alta",'Riesgos de gestión'!$L$16="Leve"),CONCATENATE("R",'Riesgos de gestión'!$A$16),"")</f>
        <v/>
      </c>
      <c r="M6" s="1153"/>
      <c r="N6" s="1153" t="str">
        <f ca="1">IF(AND('Riesgos de gestión'!$H$22="Muy Alta",'Riesgos de gestión'!$L$22="Leve"),CONCATENATE("R",'Riesgos de gestión'!$A$22),"")</f>
        <v/>
      </c>
      <c r="O6" s="1155"/>
      <c r="P6" s="1152" t="str">
        <f ca="1">IF(AND('Riesgos de gestión'!$H$10="Muy Alta",'Riesgos de gestión'!$L$10="Menor"),CONCATENATE("R",'Riesgos de gestión'!$A$10),"")</f>
        <v/>
      </c>
      <c r="Q6" s="1153"/>
      <c r="R6" s="1153" t="str">
        <f ca="1">IF(AND('Riesgos de gestión'!$H$16="Muy Alta",'Riesgos de gestión'!$L$16="Menor"),CONCATENATE("R",'Riesgos de gestión'!$A$16),"")</f>
        <v/>
      </c>
      <c r="S6" s="1153"/>
      <c r="T6" s="1153" t="str">
        <f ca="1">IF(AND('Riesgos de gestión'!$H$22="Muy Alta",'Riesgos de gestión'!$L$22="Menor"),CONCATENATE("R",'Riesgos de gestión'!$A$22),"")</f>
        <v/>
      </c>
      <c r="U6" s="1155"/>
      <c r="V6" s="1152" t="str">
        <f ca="1">IF(AND('Riesgos de gestión'!$H$10="Muy Alta",'Riesgos de gestión'!$L$10="Moderado"),CONCATENATE("R",'Riesgos de gestión'!$A$10),"")</f>
        <v/>
      </c>
      <c r="W6" s="1153"/>
      <c r="X6" s="1153" t="str">
        <f ca="1">IF(AND('Riesgos de gestión'!$H$16="Muy Alta",'Riesgos de gestión'!$L$16="Moderado"),CONCATENATE("R",'Riesgos de gestión'!$A$16),"")</f>
        <v/>
      </c>
      <c r="Y6" s="1153"/>
      <c r="Z6" s="1153" t="str">
        <f ca="1">IF(AND('Riesgos de gestión'!$H$22="Muy Alta",'Riesgos de gestión'!$L$22="Moderado"),CONCATENATE("R",'Riesgos de gestión'!$A$22),"")</f>
        <v/>
      </c>
      <c r="AA6" s="1155"/>
      <c r="AB6" s="1152" t="str">
        <f ca="1">IF(AND('Riesgos de gestión'!$H$10="Muy Alta",'Riesgos de gestión'!$L$10="Mayor"),CONCATENATE("R",'Riesgos de gestión'!$A$10),"")</f>
        <v/>
      </c>
      <c r="AC6" s="1153"/>
      <c r="AD6" s="1153" t="str">
        <f ca="1">IF(AND('Riesgos de gestión'!$H$16="Muy Alta",'Riesgos de gestión'!$L$16="Mayor"),CONCATENATE("R",'Riesgos de gestión'!$A$16),"")</f>
        <v/>
      </c>
      <c r="AE6" s="1153"/>
      <c r="AF6" s="1153" t="str">
        <f ca="1">IF(AND('Riesgos de gestión'!$H$22="Muy Alta",'Riesgos de gestión'!$L$22="Mayor"),CONCATENATE("R",'Riesgos de gestión'!$A$22),"")</f>
        <v/>
      </c>
      <c r="AG6" s="1155"/>
      <c r="AH6" s="1167" t="str">
        <f ca="1">IF(AND('Riesgos de gestión'!$H$10="Muy Alta",'Riesgos de gestión'!$L$10="Catastrófico"),CONCATENATE("R",'Riesgos de gestión'!$A$10),"")</f>
        <v/>
      </c>
      <c r="AI6" s="1168"/>
      <c r="AJ6" s="1168" t="str">
        <f ca="1">IF(AND('Riesgos de gestión'!$H$16="Muy Alta",'Riesgos de gestión'!$L$16="Catastrófico"),CONCATENATE("R",'Riesgos de gestión'!$A$16),"")</f>
        <v/>
      </c>
      <c r="AK6" s="1168"/>
      <c r="AL6" s="1168" t="str">
        <f ca="1">IF(AND('Riesgos de gestión'!$H$22="Muy Alta",'Riesgos de gestión'!$L$22="Catastrófico"),CONCATENATE("R",'Riesgos de gestión'!$A$22),"")</f>
        <v/>
      </c>
      <c r="AM6" s="1169"/>
      <c r="AO6" s="1105" t="s">
        <v>79</v>
      </c>
      <c r="AP6" s="1106"/>
      <c r="AQ6" s="1106"/>
      <c r="AR6" s="1106"/>
      <c r="AS6" s="1106"/>
      <c r="AT6" s="1107"/>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row>
    <row r="7" spans="1:99" ht="15" customHeight="1" x14ac:dyDescent="0.25">
      <c r="A7" s="83"/>
      <c r="B7" s="1103"/>
      <c r="C7" s="1103"/>
      <c r="D7" s="1104"/>
      <c r="E7" s="1144"/>
      <c r="F7" s="1145"/>
      <c r="G7" s="1145"/>
      <c r="H7" s="1145"/>
      <c r="I7" s="1146"/>
      <c r="J7" s="1154"/>
      <c r="K7" s="1150"/>
      <c r="L7" s="1150"/>
      <c r="M7" s="1150"/>
      <c r="N7" s="1150"/>
      <c r="O7" s="1151"/>
      <c r="P7" s="1154"/>
      <c r="Q7" s="1150"/>
      <c r="R7" s="1150"/>
      <c r="S7" s="1150"/>
      <c r="T7" s="1150"/>
      <c r="U7" s="1151"/>
      <c r="V7" s="1154"/>
      <c r="W7" s="1150"/>
      <c r="X7" s="1150"/>
      <c r="Y7" s="1150"/>
      <c r="Z7" s="1150"/>
      <c r="AA7" s="1151"/>
      <c r="AB7" s="1154"/>
      <c r="AC7" s="1150"/>
      <c r="AD7" s="1150"/>
      <c r="AE7" s="1150"/>
      <c r="AF7" s="1150"/>
      <c r="AG7" s="1151"/>
      <c r="AH7" s="1161"/>
      <c r="AI7" s="1162"/>
      <c r="AJ7" s="1162"/>
      <c r="AK7" s="1162"/>
      <c r="AL7" s="1162"/>
      <c r="AM7" s="1163"/>
      <c r="AN7" s="83"/>
      <c r="AO7" s="1108"/>
      <c r="AP7" s="1109"/>
      <c r="AQ7" s="1109"/>
      <c r="AR7" s="1109"/>
      <c r="AS7" s="1109"/>
      <c r="AT7" s="1110"/>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row>
    <row r="8" spans="1:99" ht="15" customHeight="1" x14ac:dyDescent="0.25">
      <c r="A8" s="83"/>
      <c r="B8" s="1103"/>
      <c r="C8" s="1103"/>
      <c r="D8" s="1104"/>
      <c r="E8" s="1144"/>
      <c r="F8" s="1145"/>
      <c r="G8" s="1145"/>
      <c r="H8" s="1145"/>
      <c r="I8" s="1146"/>
      <c r="J8" s="1154" t="str">
        <f ca="1">IF(AND('Riesgos de gestión'!$H$28="Muy Alta",'Riesgos de gestión'!$L$28="Leve"),CONCATENATE("R",'Riesgos de gestión'!$A$28),"")</f>
        <v/>
      </c>
      <c r="K8" s="1150"/>
      <c r="L8" s="1150" t="str">
        <f ca="1">IF(AND('Riesgos de gestión'!$H$34="Muy Alta",'Riesgos de gestión'!$L$34="Leve"),CONCATENATE("R",'Riesgos de gestión'!$A$34),"")</f>
        <v/>
      </c>
      <c r="M8" s="1150"/>
      <c r="N8" s="1150" t="str">
        <f ca="1">IF(AND('Riesgos de gestión'!$H$40="Muy Alta",'Riesgos de gestión'!$L$40="Leve"),CONCATENATE("R",'Riesgos de gestión'!$A$40),"")</f>
        <v/>
      </c>
      <c r="O8" s="1151"/>
      <c r="P8" s="1154" t="str">
        <f ca="1">IF(AND('Riesgos de gestión'!$H$28="Muy Alta",'Riesgos de gestión'!$L$28="Menor"),CONCATENATE("R",'Riesgos de gestión'!$A$28),"")</f>
        <v/>
      </c>
      <c r="Q8" s="1150"/>
      <c r="R8" s="1150" t="str">
        <f ca="1">IF(AND('Riesgos de gestión'!$H$34="Muy Alta",'Riesgos de gestión'!$L$34="Menor"),CONCATENATE("R",'Riesgos de gestión'!$A$34),"")</f>
        <v/>
      </c>
      <c r="S8" s="1150"/>
      <c r="T8" s="1150" t="str">
        <f ca="1">IF(AND('Riesgos de gestión'!$H$40="Muy Alta",'Riesgos de gestión'!$L$40="Menor"),CONCATENATE("R",'Riesgos de gestión'!$A$40),"")</f>
        <v/>
      </c>
      <c r="U8" s="1151"/>
      <c r="V8" s="1154" t="str">
        <f ca="1">IF(AND('Riesgos de gestión'!$H$28="Muy Alta",'Riesgos de gestión'!$L$28="Moderado"),CONCATENATE("R",'Riesgos de gestión'!$A$28),"")</f>
        <v/>
      </c>
      <c r="W8" s="1150"/>
      <c r="X8" s="1150" t="str">
        <f ca="1">IF(AND('Riesgos de gestión'!$H$34="Muy Alta",'Riesgos de gestión'!$L$34="Moderado"),CONCATENATE("R",'Riesgos de gestión'!$A$34),"")</f>
        <v/>
      </c>
      <c r="Y8" s="1150"/>
      <c r="Z8" s="1150" t="str">
        <f ca="1">IF(AND('Riesgos de gestión'!$H$40="Muy Alta",'Riesgos de gestión'!$L$40="Moderado"),CONCATENATE("R",'Riesgos de gestión'!$A$40),"")</f>
        <v/>
      </c>
      <c r="AA8" s="1151"/>
      <c r="AB8" s="1154" t="str">
        <f ca="1">IF(AND('Riesgos de gestión'!$H$28="Muy Alta",'Riesgos de gestión'!$L$28="Mayor"),CONCATENATE("R",'Riesgos de gestión'!$A$28),"")</f>
        <v/>
      </c>
      <c r="AC8" s="1150"/>
      <c r="AD8" s="1150" t="str">
        <f ca="1">IF(AND('Riesgos de gestión'!$H$34="Muy Alta",'Riesgos de gestión'!$L$34="Mayor"),CONCATENATE("R",'Riesgos de gestión'!$A$34),"")</f>
        <v/>
      </c>
      <c r="AE8" s="1150"/>
      <c r="AF8" s="1150" t="str">
        <f ca="1">IF(AND('Riesgos de gestión'!$H$40="Muy Alta",'Riesgos de gestión'!$L$40="Mayor"),CONCATENATE("R",'Riesgos de gestión'!$A$40),"")</f>
        <v/>
      </c>
      <c r="AG8" s="1151"/>
      <c r="AH8" s="1161" t="str">
        <f ca="1">IF(AND('Riesgos de gestión'!$H$28="Muy Alta",'Riesgos de gestión'!$L$28="Catastrófico"),CONCATENATE("R",'Riesgos de gestión'!$A$28),"")</f>
        <v/>
      </c>
      <c r="AI8" s="1162"/>
      <c r="AJ8" s="1162" t="str">
        <f ca="1">IF(AND('Riesgos de gestión'!$H$34="Muy Alta",'Riesgos de gestión'!$L$34="Catastrófico"),CONCATENATE("R",'Riesgos de gestión'!$A$34),"")</f>
        <v/>
      </c>
      <c r="AK8" s="1162"/>
      <c r="AL8" s="1162" t="str">
        <f ca="1">IF(AND('Riesgos de gestión'!$H$40="Muy Alta",'Riesgos de gestión'!$L$40="Catastrófico"),CONCATENATE("R",'Riesgos de gestión'!$A$40),"")</f>
        <v/>
      </c>
      <c r="AM8" s="1163"/>
      <c r="AN8" s="83"/>
      <c r="AO8" s="1108"/>
      <c r="AP8" s="1109"/>
      <c r="AQ8" s="1109"/>
      <c r="AR8" s="1109"/>
      <c r="AS8" s="1109"/>
      <c r="AT8" s="1110"/>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row>
    <row r="9" spans="1:99" ht="15" customHeight="1" x14ac:dyDescent="0.25">
      <c r="A9" s="83"/>
      <c r="B9" s="1103"/>
      <c r="C9" s="1103"/>
      <c r="D9" s="1104"/>
      <c r="E9" s="1144"/>
      <c r="F9" s="1145"/>
      <c r="G9" s="1145"/>
      <c r="H9" s="1145"/>
      <c r="I9" s="1146"/>
      <c r="J9" s="1154"/>
      <c r="K9" s="1150"/>
      <c r="L9" s="1150"/>
      <c r="M9" s="1150"/>
      <c r="N9" s="1150"/>
      <c r="O9" s="1151"/>
      <c r="P9" s="1154"/>
      <c r="Q9" s="1150"/>
      <c r="R9" s="1150"/>
      <c r="S9" s="1150"/>
      <c r="T9" s="1150"/>
      <c r="U9" s="1151"/>
      <c r="V9" s="1154"/>
      <c r="W9" s="1150"/>
      <c r="X9" s="1150"/>
      <c r="Y9" s="1150"/>
      <c r="Z9" s="1150"/>
      <c r="AA9" s="1151"/>
      <c r="AB9" s="1154"/>
      <c r="AC9" s="1150"/>
      <c r="AD9" s="1150"/>
      <c r="AE9" s="1150"/>
      <c r="AF9" s="1150"/>
      <c r="AG9" s="1151"/>
      <c r="AH9" s="1161"/>
      <c r="AI9" s="1162"/>
      <c r="AJ9" s="1162"/>
      <c r="AK9" s="1162"/>
      <c r="AL9" s="1162"/>
      <c r="AM9" s="1163"/>
      <c r="AN9" s="83"/>
      <c r="AO9" s="1108"/>
      <c r="AP9" s="1109"/>
      <c r="AQ9" s="1109"/>
      <c r="AR9" s="1109"/>
      <c r="AS9" s="1109"/>
      <c r="AT9" s="1110"/>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row>
    <row r="10" spans="1:99" ht="15" customHeight="1" x14ac:dyDescent="0.25">
      <c r="A10" s="83"/>
      <c r="B10" s="1103"/>
      <c r="C10" s="1103"/>
      <c r="D10" s="1104"/>
      <c r="E10" s="1144"/>
      <c r="F10" s="1145"/>
      <c r="G10" s="1145"/>
      <c r="H10" s="1145"/>
      <c r="I10" s="1146"/>
      <c r="J10" s="1154" t="str">
        <f ca="1">IF(AND('Riesgos de gestión'!$H$46="Muy Alta",'Riesgos de gestión'!$L$46="Leve"),CONCATENATE("R",'Riesgos de gestión'!$A$46),"")</f>
        <v/>
      </c>
      <c r="K10" s="1150"/>
      <c r="L10" s="1150" t="str">
        <f ca="1">IF(AND('Riesgos de gestión'!$H$52="Muy Alta",'Riesgos de gestión'!$L$52="Leve"),CONCATENATE("R",'Riesgos de gestión'!$A$52),"")</f>
        <v/>
      </c>
      <c r="M10" s="1150"/>
      <c r="N10" s="1150" t="str">
        <f ca="1">IF(AND('Riesgos de gestión'!$H$58="Muy Alta",'Riesgos de gestión'!$L$58="Leve"),CONCATENATE("R",'Riesgos de gestión'!$A$58),"")</f>
        <v/>
      </c>
      <c r="O10" s="1151"/>
      <c r="P10" s="1154" t="str">
        <f ca="1">IF(AND('Riesgos de gestión'!$H$46="Muy Alta",'Riesgos de gestión'!$L$46="Menor"),CONCATENATE("R",'Riesgos de gestión'!$A$46),"")</f>
        <v/>
      </c>
      <c r="Q10" s="1150"/>
      <c r="R10" s="1150" t="str">
        <f ca="1">IF(AND('Riesgos de gestión'!$H$52="Muy Alta",'Riesgos de gestión'!$L$52="Menor"),CONCATENATE("R",'Riesgos de gestión'!$A$52),"")</f>
        <v/>
      </c>
      <c r="S10" s="1150"/>
      <c r="T10" s="1150" t="str">
        <f ca="1">IF(AND('Riesgos de gestión'!$H$58="Muy Alta",'Riesgos de gestión'!$L$58="Menor"),CONCATENATE("R",'Riesgos de gestión'!$A$58),"")</f>
        <v/>
      </c>
      <c r="U10" s="1151"/>
      <c r="V10" s="1154" t="str">
        <f ca="1">IF(AND('Riesgos de gestión'!$H$46="Muy Alta",'Riesgos de gestión'!$L$46="Moderado"),CONCATENATE("R",'Riesgos de gestión'!$A$46),"")</f>
        <v/>
      </c>
      <c r="W10" s="1150"/>
      <c r="X10" s="1150" t="str">
        <f ca="1">IF(AND('Riesgos de gestión'!$H$52="Muy Alta",'Riesgos de gestión'!$L$52="Moderado"),CONCATENATE("R",'Riesgos de gestión'!$A$52),"")</f>
        <v/>
      </c>
      <c r="Y10" s="1150"/>
      <c r="Z10" s="1150" t="str">
        <f ca="1">IF(AND('Riesgos de gestión'!$H$58="Muy Alta",'Riesgos de gestión'!$L$58="Moderado"),CONCATENATE("R",'Riesgos de gestión'!$A$58),"")</f>
        <v/>
      </c>
      <c r="AA10" s="1151"/>
      <c r="AB10" s="1154" t="str">
        <f ca="1">IF(AND('Riesgos de gestión'!$H$46="Muy Alta",'Riesgos de gestión'!$L$46="Mayor"),CONCATENATE("R",'Riesgos de gestión'!$A$46),"")</f>
        <v/>
      </c>
      <c r="AC10" s="1150"/>
      <c r="AD10" s="1150" t="str">
        <f ca="1">IF(AND('Riesgos de gestión'!$H$52="Muy Alta",'Riesgos de gestión'!$L$52="Mayor"),CONCATENATE("R",'Riesgos de gestión'!$A$52),"")</f>
        <v/>
      </c>
      <c r="AE10" s="1150"/>
      <c r="AF10" s="1150" t="str">
        <f ca="1">IF(AND('Riesgos de gestión'!$H$58="Muy Alta",'Riesgos de gestión'!$L$58="Mayor"),CONCATENATE("R",'Riesgos de gestión'!$A$58),"")</f>
        <v/>
      </c>
      <c r="AG10" s="1151"/>
      <c r="AH10" s="1161" t="str">
        <f ca="1">IF(AND('Riesgos de gestión'!$H$46="Muy Alta",'Riesgos de gestión'!$L$46="Catastrófico"),CONCATENATE("R",'Riesgos de gestión'!$A$46),"")</f>
        <v/>
      </c>
      <c r="AI10" s="1162"/>
      <c r="AJ10" s="1162" t="str">
        <f ca="1">IF(AND('Riesgos de gestión'!$H$52="Muy Alta",'Riesgos de gestión'!$L$52="Catastrófico"),CONCATENATE("R",'Riesgos de gestión'!$A$52),"")</f>
        <v/>
      </c>
      <c r="AK10" s="1162"/>
      <c r="AL10" s="1162" t="str">
        <f ca="1">IF(AND('Riesgos de gestión'!$H$58="Muy Alta",'Riesgos de gestión'!$L$58="Catastrófico"),CONCATENATE("R",'Riesgos de gestión'!$A$58),"")</f>
        <v/>
      </c>
      <c r="AM10" s="1163"/>
      <c r="AN10" s="83"/>
      <c r="AO10" s="1108"/>
      <c r="AP10" s="1109"/>
      <c r="AQ10" s="1109"/>
      <c r="AR10" s="1109"/>
      <c r="AS10" s="1109"/>
      <c r="AT10" s="1110"/>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row>
    <row r="11" spans="1:99" ht="15" customHeight="1" x14ac:dyDescent="0.25">
      <c r="A11" s="83"/>
      <c r="B11" s="1103"/>
      <c r="C11" s="1103"/>
      <c r="D11" s="1104"/>
      <c r="E11" s="1144"/>
      <c r="F11" s="1145"/>
      <c r="G11" s="1145"/>
      <c r="H11" s="1145"/>
      <c r="I11" s="1146"/>
      <c r="J11" s="1154"/>
      <c r="K11" s="1150"/>
      <c r="L11" s="1150"/>
      <c r="M11" s="1150"/>
      <c r="N11" s="1150"/>
      <c r="O11" s="1151"/>
      <c r="P11" s="1154"/>
      <c r="Q11" s="1150"/>
      <c r="R11" s="1150"/>
      <c r="S11" s="1150"/>
      <c r="T11" s="1150"/>
      <c r="U11" s="1151"/>
      <c r="V11" s="1154"/>
      <c r="W11" s="1150"/>
      <c r="X11" s="1150"/>
      <c r="Y11" s="1150"/>
      <c r="Z11" s="1150"/>
      <c r="AA11" s="1151"/>
      <c r="AB11" s="1154"/>
      <c r="AC11" s="1150"/>
      <c r="AD11" s="1150"/>
      <c r="AE11" s="1150"/>
      <c r="AF11" s="1150"/>
      <c r="AG11" s="1151"/>
      <c r="AH11" s="1161"/>
      <c r="AI11" s="1162"/>
      <c r="AJ11" s="1162"/>
      <c r="AK11" s="1162"/>
      <c r="AL11" s="1162"/>
      <c r="AM11" s="1163"/>
      <c r="AN11" s="83"/>
      <c r="AO11" s="1108"/>
      <c r="AP11" s="1109"/>
      <c r="AQ11" s="1109"/>
      <c r="AR11" s="1109"/>
      <c r="AS11" s="1109"/>
      <c r="AT11" s="1110"/>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row>
    <row r="12" spans="1:99" ht="15" customHeight="1" x14ac:dyDescent="0.25">
      <c r="A12" s="83"/>
      <c r="B12" s="1103"/>
      <c r="C12" s="1103"/>
      <c r="D12" s="1104"/>
      <c r="E12" s="1144"/>
      <c r="F12" s="1145"/>
      <c r="G12" s="1145"/>
      <c r="H12" s="1145"/>
      <c r="I12" s="1146"/>
      <c r="J12" s="1154" t="str">
        <f ca="1">IF(AND('Riesgos de gestión'!$H$64="Muy Alta",'Riesgos de gestión'!$L$64="Leve"),CONCATENATE("R",'Riesgos de gestión'!$A$64),"")</f>
        <v/>
      </c>
      <c r="K12" s="1150"/>
      <c r="L12" s="1150" t="str">
        <f>IF(AND('Riesgos de gestión'!$H$70="Muy Alta",'Riesgos de gestión'!$L$70="Leve"),CONCATENATE("R",'Riesgos de gestión'!$A$70),"")</f>
        <v/>
      </c>
      <c r="M12" s="1150"/>
      <c r="N12" s="1150" t="str">
        <f>IF(AND('Riesgos de gestión'!$H$76="Muy Alta",'Riesgos de gestión'!$L$76="Leve"),CONCATENATE("R",'Riesgos de gestión'!$A$76),"")</f>
        <v/>
      </c>
      <c r="O12" s="1151"/>
      <c r="P12" s="1154" t="str">
        <f ca="1">IF(AND('Riesgos de gestión'!$H$64="Muy Alta",'Riesgos de gestión'!$L$64="Menor"),CONCATENATE("R",'Riesgos de gestión'!$A$64),"")</f>
        <v/>
      </c>
      <c r="Q12" s="1150"/>
      <c r="R12" s="1150" t="str">
        <f>IF(AND('Riesgos de gestión'!$H$70="Muy Alta",'Riesgos de gestión'!$L$70="Menor"),CONCATENATE("R",'Riesgos de gestión'!$A$70),"")</f>
        <v/>
      </c>
      <c r="S12" s="1150"/>
      <c r="T12" s="1150" t="str">
        <f>IF(AND('Riesgos de gestión'!$H$76="Muy Alta",'Riesgos de gestión'!$L$76="Menor"),CONCATENATE("R",'Riesgos de gestión'!$A$76),"")</f>
        <v/>
      </c>
      <c r="U12" s="1151"/>
      <c r="V12" s="1154" t="str">
        <f ca="1">IF(AND('Riesgos de gestión'!$H$64="Muy Alta",'Riesgos de gestión'!$L$64="Moderado"),CONCATENATE("R",'Riesgos de gestión'!$A$64),"")</f>
        <v/>
      </c>
      <c r="W12" s="1150"/>
      <c r="X12" s="1150" t="str">
        <f>IF(AND('Riesgos de gestión'!$H$70="Muy Alta",'Riesgos de gestión'!$L$70="Moderado"),CONCATENATE("R",'Riesgos de gestión'!$A$70),"")</f>
        <v/>
      </c>
      <c r="Y12" s="1150"/>
      <c r="Z12" s="1150" t="str">
        <f>IF(AND('Riesgos de gestión'!$H$76="Muy Alta",'Riesgos de gestión'!$L$76="Moderado"),CONCATENATE("R",'Riesgos de gestión'!$A$76),"")</f>
        <v/>
      </c>
      <c r="AA12" s="1151"/>
      <c r="AB12" s="1154" t="str">
        <f ca="1">IF(AND('Riesgos de gestión'!$H$64="Muy Alta",'Riesgos de gestión'!$L$64="Mayor"),CONCATENATE("R",'Riesgos de gestión'!$A$64),"")</f>
        <v/>
      </c>
      <c r="AC12" s="1150"/>
      <c r="AD12" s="1150" t="str">
        <f>IF(AND('Riesgos de gestión'!$H$70="Muy Alta",'Riesgos de gestión'!$L$70="Mayor"),CONCATENATE("R",'Riesgos de gestión'!$A$70),"")</f>
        <v/>
      </c>
      <c r="AE12" s="1150"/>
      <c r="AF12" s="1150" t="str">
        <f>IF(AND('Riesgos de gestión'!$H$76="Muy Alta",'Riesgos de gestión'!$L$76="Mayor"),CONCATENATE("R",'Riesgos de gestión'!$A$76),"")</f>
        <v/>
      </c>
      <c r="AG12" s="1151"/>
      <c r="AH12" s="1161" t="str">
        <f ca="1">IF(AND('Riesgos de gestión'!$H$64="Muy Alta",'Riesgos de gestión'!$L$64="Catastrófico"),CONCATENATE("R",'Riesgos de gestión'!$A$64),"")</f>
        <v/>
      </c>
      <c r="AI12" s="1162"/>
      <c r="AJ12" s="1162" t="str">
        <f>IF(AND('Riesgos de gestión'!$H$70="Muy Alta",'Riesgos de gestión'!$L$70="Catastrófico"),CONCATENATE("R",'Riesgos de gestión'!$A$70),"")</f>
        <v/>
      </c>
      <c r="AK12" s="1162"/>
      <c r="AL12" s="1162" t="str">
        <f>IF(AND('Riesgos de gestión'!$H$76="Muy Alta",'Riesgos de gestión'!$L$76="Catastrófico"),CONCATENATE("R",'Riesgos de gestión'!$A$76),"")</f>
        <v/>
      </c>
      <c r="AM12" s="1163"/>
      <c r="AN12" s="83"/>
      <c r="AO12" s="1108"/>
      <c r="AP12" s="1109"/>
      <c r="AQ12" s="1109"/>
      <c r="AR12" s="1109"/>
      <c r="AS12" s="1109"/>
      <c r="AT12" s="1110"/>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row>
    <row r="13" spans="1:99" ht="15.75" customHeight="1" thickBot="1" x14ac:dyDescent="0.3">
      <c r="A13" s="83"/>
      <c r="B13" s="1103"/>
      <c r="C13" s="1103"/>
      <c r="D13" s="1104"/>
      <c r="E13" s="1147"/>
      <c r="F13" s="1148"/>
      <c r="G13" s="1148"/>
      <c r="H13" s="1148"/>
      <c r="I13" s="1149"/>
      <c r="J13" s="1154"/>
      <c r="K13" s="1150"/>
      <c r="L13" s="1150"/>
      <c r="M13" s="1150"/>
      <c r="N13" s="1150"/>
      <c r="O13" s="1151"/>
      <c r="P13" s="1154"/>
      <c r="Q13" s="1150"/>
      <c r="R13" s="1150"/>
      <c r="S13" s="1150"/>
      <c r="T13" s="1150"/>
      <c r="U13" s="1151"/>
      <c r="V13" s="1154"/>
      <c r="W13" s="1150"/>
      <c r="X13" s="1150"/>
      <c r="Y13" s="1150"/>
      <c r="Z13" s="1150"/>
      <c r="AA13" s="1151"/>
      <c r="AB13" s="1154"/>
      <c r="AC13" s="1150"/>
      <c r="AD13" s="1150"/>
      <c r="AE13" s="1150"/>
      <c r="AF13" s="1150"/>
      <c r="AG13" s="1151"/>
      <c r="AH13" s="1164"/>
      <c r="AI13" s="1165"/>
      <c r="AJ13" s="1165"/>
      <c r="AK13" s="1165"/>
      <c r="AL13" s="1165"/>
      <c r="AM13" s="1166"/>
      <c r="AN13" s="83"/>
      <c r="AO13" s="1111"/>
      <c r="AP13" s="1112"/>
      <c r="AQ13" s="1112"/>
      <c r="AR13" s="1112"/>
      <c r="AS13" s="1112"/>
      <c r="AT13" s="111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row>
    <row r="14" spans="1:99" ht="15" customHeight="1" x14ac:dyDescent="0.25">
      <c r="A14" s="83"/>
      <c r="B14" s="1103"/>
      <c r="C14" s="1103"/>
      <c r="D14" s="1104"/>
      <c r="E14" s="1141" t="s">
        <v>115</v>
      </c>
      <c r="F14" s="1142"/>
      <c r="G14" s="1142"/>
      <c r="H14" s="1142"/>
      <c r="I14" s="1142"/>
      <c r="J14" s="1176" t="str">
        <f ca="1">IF(AND('Riesgos de gestión'!$H$10="Alta",'Riesgos de gestión'!$L$10="Leve"),CONCATENATE("R",'Riesgos de gestión'!$A$10),"")</f>
        <v/>
      </c>
      <c r="K14" s="1177"/>
      <c r="L14" s="1177" t="str">
        <f ca="1">IF(AND('Riesgos de gestión'!$H$16="Alta",'Riesgos de gestión'!$L$16="Leve"),CONCATENATE("R",'Riesgos de gestión'!$A$16),"")</f>
        <v/>
      </c>
      <c r="M14" s="1177"/>
      <c r="N14" s="1177" t="str">
        <f ca="1">IF(AND('Riesgos de gestión'!$H$22="Alta",'Riesgos de gestión'!$L$22="Leve"),CONCATENATE("R",'Riesgos de gestión'!$A$22),"")</f>
        <v/>
      </c>
      <c r="O14" s="1178"/>
      <c r="P14" s="1176" t="str">
        <f ca="1">IF(AND('Riesgos de gestión'!$H$10="Alta",'Riesgos de gestión'!$L$10="Menor"),CONCATENATE("R",'Riesgos de gestión'!$A$10),"")</f>
        <v/>
      </c>
      <c r="Q14" s="1177"/>
      <c r="R14" s="1177" t="str">
        <f ca="1">IF(AND('Riesgos de gestión'!$H$16="Alta",'Riesgos de gestión'!$L$16="Menor"),CONCATENATE("R",'Riesgos de gestión'!$A$16),"")</f>
        <v/>
      </c>
      <c r="S14" s="1177"/>
      <c r="T14" s="1177" t="str">
        <f ca="1">IF(AND('Riesgos de gestión'!$H$22="Alta",'Riesgos de gestión'!$L$22="Menor"),CONCATENATE("R",'Riesgos de gestión'!$A$22),"")</f>
        <v/>
      </c>
      <c r="U14" s="1178"/>
      <c r="V14" s="1152" t="str">
        <f ca="1">IF(AND('Riesgos de gestión'!$H$10="Alta",'Riesgos de gestión'!$L$10="Moderado"),CONCATENATE("R",'Riesgos de gestión'!$A$10),"")</f>
        <v/>
      </c>
      <c r="W14" s="1153"/>
      <c r="X14" s="1153" t="str">
        <f ca="1">IF(AND('Riesgos de gestión'!$H$16="Alta",'Riesgos de gestión'!$L$16="Moderado"),CONCATENATE("R",'Riesgos de gestión'!$A$16),"")</f>
        <v/>
      </c>
      <c r="Y14" s="1153"/>
      <c r="Z14" s="1153" t="str">
        <f ca="1">IF(AND('Riesgos de gestión'!$H$22="Alta",'Riesgos de gestión'!$L$22="Moderado"),CONCATENATE("R",'Riesgos de gestión'!$A$22),"")</f>
        <v/>
      </c>
      <c r="AA14" s="1155"/>
      <c r="AB14" s="1152" t="str">
        <f ca="1">IF(AND('Riesgos de gestión'!$H$10="Alta",'Riesgos de gestión'!$L$10="Mayor"),CONCATENATE("R",'Riesgos de gestión'!$A$10),"")</f>
        <v/>
      </c>
      <c r="AC14" s="1153"/>
      <c r="AD14" s="1153" t="str">
        <f ca="1">IF(AND('Riesgos de gestión'!$H$16="Alta",'Riesgos de gestión'!$L$16="Mayor"),CONCATENATE("R",'Riesgos de gestión'!$A$16),"")</f>
        <v/>
      </c>
      <c r="AE14" s="1153"/>
      <c r="AF14" s="1153" t="str">
        <f ca="1">IF(AND('Riesgos de gestión'!$H$22="Alta",'Riesgos de gestión'!$L$22="Mayor"),CONCATENATE("R",'Riesgos de gestión'!$A$22),"")</f>
        <v/>
      </c>
      <c r="AG14" s="1155"/>
      <c r="AH14" s="1167" t="str">
        <f ca="1">IF(AND('Riesgos de gestión'!$H$10="Alta",'Riesgos de gestión'!$L$10="Catastrófico"),CONCATENATE("R",'Riesgos de gestión'!$A$10),"")</f>
        <v/>
      </c>
      <c r="AI14" s="1168"/>
      <c r="AJ14" s="1168" t="str">
        <f ca="1">IF(AND('Riesgos de gestión'!$H$16="Alta",'Riesgos de gestión'!$L$16="Catastrófico"),CONCATENATE("R",'Riesgos de gestión'!$A$16),"")</f>
        <v/>
      </c>
      <c r="AK14" s="1168"/>
      <c r="AL14" s="1168" t="str">
        <f ca="1">IF(AND('Riesgos de gestión'!$H$22="Alta",'Riesgos de gestión'!$L$22="Catastrófico"),CONCATENATE("R",'Riesgos de gestión'!$A$22),"")</f>
        <v/>
      </c>
      <c r="AM14" s="1169"/>
      <c r="AN14" s="83"/>
      <c r="AO14" s="1114" t="s">
        <v>80</v>
      </c>
      <c r="AP14" s="1115"/>
      <c r="AQ14" s="1115"/>
      <c r="AR14" s="1115"/>
      <c r="AS14" s="1115"/>
      <c r="AT14" s="1116"/>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row>
    <row r="15" spans="1:99" ht="15" customHeight="1" x14ac:dyDescent="0.25">
      <c r="A15" s="83"/>
      <c r="B15" s="1103"/>
      <c r="C15" s="1103"/>
      <c r="D15" s="1104"/>
      <c r="E15" s="1144"/>
      <c r="F15" s="1145"/>
      <c r="G15" s="1145"/>
      <c r="H15" s="1145"/>
      <c r="I15" s="1145"/>
      <c r="J15" s="1170"/>
      <c r="K15" s="1171"/>
      <c r="L15" s="1171"/>
      <c r="M15" s="1171"/>
      <c r="N15" s="1171"/>
      <c r="O15" s="1172"/>
      <c r="P15" s="1170"/>
      <c r="Q15" s="1171"/>
      <c r="R15" s="1171"/>
      <c r="S15" s="1171"/>
      <c r="T15" s="1171"/>
      <c r="U15" s="1172"/>
      <c r="V15" s="1154"/>
      <c r="W15" s="1150"/>
      <c r="X15" s="1150"/>
      <c r="Y15" s="1150"/>
      <c r="Z15" s="1150"/>
      <c r="AA15" s="1151"/>
      <c r="AB15" s="1154"/>
      <c r="AC15" s="1150"/>
      <c r="AD15" s="1150"/>
      <c r="AE15" s="1150"/>
      <c r="AF15" s="1150"/>
      <c r="AG15" s="1151"/>
      <c r="AH15" s="1161"/>
      <c r="AI15" s="1162"/>
      <c r="AJ15" s="1162"/>
      <c r="AK15" s="1162"/>
      <c r="AL15" s="1162"/>
      <c r="AM15" s="1163"/>
      <c r="AN15" s="83"/>
      <c r="AO15" s="1117"/>
      <c r="AP15" s="1118"/>
      <c r="AQ15" s="1118"/>
      <c r="AR15" s="1118"/>
      <c r="AS15" s="1118"/>
      <c r="AT15" s="1119"/>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row>
    <row r="16" spans="1:99" ht="15" customHeight="1" x14ac:dyDescent="0.25">
      <c r="A16" s="83"/>
      <c r="B16" s="1103"/>
      <c r="C16" s="1103"/>
      <c r="D16" s="1104"/>
      <c r="E16" s="1144"/>
      <c r="F16" s="1145"/>
      <c r="G16" s="1145"/>
      <c r="H16" s="1145"/>
      <c r="I16" s="1145"/>
      <c r="J16" s="1170" t="str">
        <f ca="1">IF(AND('Riesgos de gestión'!$H$28="Alta",'Riesgos de gestión'!$L$28="Leve"),CONCATENATE("R",'Riesgos de gestión'!$A$28),"")</f>
        <v/>
      </c>
      <c r="K16" s="1171"/>
      <c r="L16" s="1171" t="str">
        <f ca="1">IF(AND('Riesgos de gestión'!$H$34="Alta",'Riesgos de gestión'!$L$34="Leve"),CONCATENATE("R",'Riesgos de gestión'!$A$34),"")</f>
        <v/>
      </c>
      <c r="M16" s="1171"/>
      <c r="N16" s="1171" t="str">
        <f ca="1">IF(AND('Riesgos de gestión'!$H$40="Alta",'Riesgos de gestión'!$L$40="Leve"),CONCATENATE("R",'Riesgos de gestión'!$A$40),"")</f>
        <v/>
      </c>
      <c r="O16" s="1172"/>
      <c r="P16" s="1170" t="str">
        <f ca="1">IF(AND('Riesgos de gestión'!$H$28="Alta",'Riesgos de gestión'!$L$28="Menor"),CONCATENATE("R",'Riesgos de gestión'!$A$28),"")</f>
        <v/>
      </c>
      <c r="Q16" s="1171"/>
      <c r="R16" s="1171" t="str">
        <f ca="1">IF(AND('Riesgos de gestión'!$H$34="Alta",'Riesgos de gestión'!$L$34="Menor"),CONCATENATE("R",'Riesgos de gestión'!$A$34),"")</f>
        <v/>
      </c>
      <c r="S16" s="1171"/>
      <c r="T16" s="1171" t="str">
        <f ca="1">IF(AND('Riesgos de gestión'!$H$40="Alta",'Riesgos de gestión'!$L$40="Menor"),CONCATENATE("R",'Riesgos de gestión'!$A$40),"")</f>
        <v/>
      </c>
      <c r="U16" s="1172"/>
      <c r="V16" s="1154" t="str">
        <f ca="1">IF(AND('Riesgos de gestión'!$H$28="Alta",'Riesgos de gestión'!$L$28="Moderado"),CONCATENATE("R",'Riesgos de gestión'!$A$28),"")</f>
        <v/>
      </c>
      <c r="W16" s="1150"/>
      <c r="X16" s="1150" t="str">
        <f ca="1">IF(AND('Riesgos de gestión'!$H$34="Alta",'Riesgos de gestión'!$L$34="Moderado"),CONCATENATE("R",'Riesgos de gestión'!$A$34),"")</f>
        <v/>
      </c>
      <c r="Y16" s="1150"/>
      <c r="Z16" s="1150" t="str">
        <f ca="1">IF(AND('Riesgos de gestión'!$H$40="Alta",'Riesgos de gestión'!$L$40="Moderado"),CONCATENATE("R",'Riesgos de gestión'!$A$40),"")</f>
        <v/>
      </c>
      <c r="AA16" s="1151"/>
      <c r="AB16" s="1154" t="str">
        <f ca="1">IF(AND('Riesgos de gestión'!$H$28="Alta",'Riesgos de gestión'!$L$28="Mayor"),CONCATENATE("R",'Riesgos de gestión'!$A$28),"")</f>
        <v/>
      </c>
      <c r="AC16" s="1150"/>
      <c r="AD16" s="1150" t="str">
        <f ca="1">IF(AND('Riesgos de gestión'!$H$34="Alta",'Riesgos de gestión'!$L$34="Mayor"),CONCATENATE("R",'Riesgos de gestión'!$A$34),"")</f>
        <v/>
      </c>
      <c r="AE16" s="1150"/>
      <c r="AF16" s="1150" t="str">
        <f ca="1">IF(AND('Riesgos de gestión'!$H$40="Alta",'Riesgos de gestión'!$L$40="Mayor"),CONCATENATE("R",'Riesgos de gestión'!$A$40),"")</f>
        <v/>
      </c>
      <c r="AG16" s="1151"/>
      <c r="AH16" s="1161" t="str">
        <f ca="1">IF(AND('Riesgos de gestión'!$H$28="Alta",'Riesgos de gestión'!$L$28="Catastrófico"),CONCATENATE("R",'Riesgos de gestión'!$A$28),"")</f>
        <v/>
      </c>
      <c r="AI16" s="1162"/>
      <c r="AJ16" s="1162" t="str">
        <f ca="1">IF(AND('Riesgos de gestión'!$H$34="Alta",'Riesgos de gestión'!$L$34="Catastrófico"),CONCATENATE("R",'Riesgos de gestión'!$A$34),"")</f>
        <v/>
      </c>
      <c r="AK16" s="1162"/>
      <c r="AL16" s="1162" t="str">
        <f ca="1">IF(AND('Riesgos de gestión'!$H$40="Alta",'Riesgos de gestión'!$L$40="Catastrófico"),CONCATENATE("R",'Riesgos de gestión'!$A$40),"")</f>
        <v/>
      </c>
      <c r="AM16" s="1163"/>
      <c r="AN16" s="83"/>
      <c r="AO16" s="1117"/>
      <c r="AP16" s="1118"/>
      <c r="AQ16" s="1118"/>
      <c r="AR16" s="1118"/>
      <c r="AS16" s="1118"/>
      <c r="AT16" s="1119"/>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row>
    <row r="17" spans="1:80" ht="15" customHeight="1" x14ac:dyDescent="0.25">
      <c r="A17" s="83"/>
      <c r="B17" s="1103"/>
      <c r="C17" s="1103"/>
      <c r="D17" s="1104"/>
      <c r="E17" s="1144"/>
      <c r="F17" s="1145"/>
      <c r="G17" s="1145"/>
      <c r="H17" s="1145"/>
      <c r="I17" s="1145"/>
      <c r="J17" s="1170"/>
      <c r="K17" s="1171"/>
      <c r="L17" s="1171"/>
      <c r="M17" s="1171"/>
      <c r="N17" s="1171"/>
      <c r="O17" s="1172"/>
      <c r="P17" s="1170"/>
      <c r="Q17" s="1171"/>
      <c r="R17" s="1171"/>
      <c r="S17" s="1171"/>
      <c r="T17" s="1171"/>
      <c r="U17" s="1172"/>
      <c r="V17" s="1154"/>
      <c r="W17" s="1150"/>
      <c r="X17" s="1150"/>
      <c r="Y17" s="1150"/>
      <c r="Z17" s="1150"/>
      <c r="AA17" s="1151"/>
      <c r="AB17" s="1154"/>
      <c r="AC17" s="1150"/>
      <c r="AD17" s="1150"/>
      <c r="AE17" s="1150"/>
      <c r="AF17" s="1150"/>
      <c r="AG17" s="1151"/>
      <c r="AH17" s="1161"/>
      <c r="AI17" s="1162"/>
      <c r="AJ17" s="1162"/>
      <c r="AK17" s="1162"/>
      <c r="AL17" s="1162"/>
      <c r="AM17" s="1163"/>
      <c r="AN17" s="83"/>
      <c r="AO17" s="1117"/>
      <c r="AP17" s="1118"/>
      <c r="AQ17" s="1118"/>
      <c r="AR17" s="1118"/>
      <c r="AS17" s="1118"/>
      <c r="AT17" s="1119"/>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row>
    <row r="18" spans="1:80" ht="15" customHeight="1" x14ac:dyDescent="0.25">
      <c r="A18" s="83"/>
      <c r="B18" s="1103"/>
      <c r="C18" s="1103"/>
      <c r="D18" s="1104"/>
      <c r="E18" s="1144"/>
      <c r="F18" s="1145"/>
      <c r="G18" s="1145"/>
      <c r="H18" s="1145"/>
      <c r="I18" s="1145"/>
      <c r="J18" s="1170" t="str">
        <f ca="1">IF(AND('Riesgos de gestión'!$H$46="Alta",'Riesgos de gestión'!$L$46="Leve"),CONCATENATE("R",'Riesgos de gestión'!$A$46),"")</f>
        <v/>
      </c>
      <c r="K18" s="1171"/>
      <c r="L18" s="1171" t="str">
        <f ca="1">IF(AND('Riesgos de gestión'!$H$52="Alta",'Riesgos de gestión'!$L$52="Leve"),CONCATENATE("R",'Riesgos de gestión'!$A$52),"")</f>
        <v/>
      </c>
      <c r="M18" s="1171"/>
      <c r="N18" s="1171" t="str">
        <f ca="1">IF(AND('Riesgos de gestión'!$H$58="Alta",'Riesgos de gestión'!$L$58="Leve"),CONCATENATE("R",'Riesgos de gestión'!$A$58),"")</f>
        <v/>
      </c>
      <c r="O18" s="1172"/>
      <c r="P18" s="1170" t="str">
        <f ca="1">IF(AND('Riesgos de gestión'!$H$46="Alta",'Riesgos de gestión'!$L$46="Menor"),CONCATENATE("R",'Riesgos de gestión'!$A$46),"")</f>
        <v/>
      </c>
      <c r="Q18" s="1171"/>
      <c r="R18" s="1171" t="str">
        <f ca="1">IF(AND('Riesgos de gestión'!$H$52="Alta",'Riesgos de gestión'!$L$52="Menor"),CONCATENATE("R",'Riesgos de gestión'!$A$52),"")</f>
        <v/>
      </c>
      <c r="S18" s="1171"/>
      <c r="T18" s="1171" t="str">
        <f ca="1">IF(AND('Riesgos de gestión'!$H$58="Alta",'Riesgos de gestión'!$L$58="Menor"),CONCATENATE("R",'Riesgos de gestión'!$A$58),"")</f>
        <v/>
      </c>
      <c r="U18" s="1172"/>
      <c r="V18" s="1154" t="str">
        <f ca="1">IF(AND('Riesgos de gestión'!$H$46="Alta",'Riesgos de gestión'!$L$46="Moderado"),CONCATENATE("R",'Riesgos de gestión'!$A$46),"")</f>
        <v/>
      </c>
      <c r="W18" s="1150"/>
      <c r="X18" s="1150" t="str">
        <f ca="1">IF(AND('Riesgos de gestión'!$H$52="Alta",'Riesgos de gestión'!$L$52="Moderado"),CONCATENATE("R",'Riesgos de gestión'!$A$52),"")</f>
        <v/>
      </c>
      <c r="Y18" s="1150"/>
      <c r="Z18" s="1150" t="str">
        <f ca="1">IF(AND('Riesgos de gestión'!$H$58="Alta",'Riesgos de gestión'!$L$58="Moderado"),CONCATENATE("R",'Riesgos de gestión'!$A$58),"")</f>
        <v/>
      </c>
      <c r="AA18" s="1151"/>
      <c r="AB18" s="1154" t="str">
        <f ca="1">IF(AND('Riesgos de gestión'!$H$46="Alta",'Riesgos de gestión'!$L$46="Mayor"),CONCATENATE("R",'Riesgos de gestión'!$A$46),"")</f>
        <v/>
      </c>
      <c r="AC18" s="1150"/>
      <c r="AD18" s="1150" t="str">
        <f ca="1">IF(AND('Riesgos de gestión'!$H$52="Alta",'Riesgos de gestión'!$L$52="Mayor"),CONCATENATE("R",'Riesgos de gestión'!$A$52),"")</f>
        <v/>
      </c>
      <c r="AE18" s="1150"/>
      <c r="AF18" s="1150" t="str">
        <f ca="1">IF(AND('Riesgos de gestión'!$H$58="Alta",'Riesgos de gestión'!$L$58="Mayor"),CONCATENATE("R",'Riesgos de gestión'!$A$58),"")</f>
        <v/>
      </c>
      <c r="AG18" s="1151"/>
      <c r="AH18" s="1161" t="str">
        <f ca="1">IF(AND('Riesgos de gestión'!$H$46="Alta",'Riesgos de gestión'!$L$46="Catastrófico"),CONCATENATE("R",'Riesgos de gestión'!$A$46),"")</f>
        <v/>
      </c>
      <c r="AI18" s="1162"/>
      <c r="AJ18" s="1162" t="str">
        <f ca="1">IF(AND('Riesgos de gestión'!$H$52="Alta",'Riesgos de gestión'!$L$52="Catastrófico"),CONCATENATE("R",'Riesgos de gestión'!$A$52),"")</f>
        <v/>
      </c>
      <c r="AK18" s="1162"/>
      <c r="AL18" s="1162" t="str">
        <f ca="1">IF(AND('Riesgos de gestión'!$H$58="Alta",'Riesgos de gestión'!$L$58="Catastrófico"),CONCATENATE("R",'Riesgos de gestión'!$A$58),"")</f>
        <v/>
      </c>
      <c r="AM18" s="1163"/>
      <c r="AN18" s="83"/>
      <c r="AO18" s="1117"/>
      <c r="AP18" s="1118"/>
      <c r="AQ18" s="1118"/>
      <c r="AR18" s="1118"/>
      <c r="AS18" s="1118"/>
      <c r="AT18" s="1119"/>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row>
    <row r="19" spans="1:80" ht="15" customHeight="1" x14ac:dyDescent="0.25">
      <c r="A19" s="83"/>
      <c r="B19" s="1103"/>
      <c r="C19" s="1103"/>
      <c r="D19" s="1104"/>
      <c r="E19" s="1144"/>
      <c r="F19" s="1145"/>
      <c r="G19" s="1145"/>
      <c r="H19" s="1145"/>
      <c r="I19" s="1145"/>
      <c r="J19" s="1170"/>
      <c r="K19" s="1171"/>
      <c r="L19" s="1171"/>
      <c r="M19" s="1171"/>
      <c r="N19" s="1171"/>
      <c r="O19" s="1172"/>
      <c r="P19" s="1170"/>
      <c r="Q19" s="1171"/>
      <c r="R19" s="1171"/>
      <c r="S19" s="1171"/>
      <c r="T19" s="1171"/>
      <c r="U19" s="1172"/>
      <c r="V19" s="1154"/>
      <c r="W19" s="1150"/>
      <c r="X19" s="1150"/>
      <c r="Y19" s="1150"/>
      <c r="Z19" s="1150"/>
      <c r="AA19" s="1151"/>
      <c r="AB19" s="1154"/>
      <c r="AC19" s="1150"/>
      <c r="AD19" s="1150"/>
      <c r="AE19" s="1150"/>
      <c r="AF19" s="1150"/>
      <c r="AG19" s="1151"/>
      <c r="AH19" s="1161"/>
      <c r="AI19" s="1162"/>
      <c r="AJ19" s="1162"/>
      <c r="AK19" s="1162"/>
      <c r="AL19" s="1162"/>
      <c r="AM19" s="1163"/>
      <c r="AN19" s="83"/>
      <c r="AO19" s="1117"/>
      <c r="AP19" s="1118"/>
      <c r="AQ19" s="1118"/>
      <c r="AR19" s="1118"/>
      <c r="AS19" s="1118"/>
      <c r="AT19" s="1119"/>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row>
    <row r="20" spans="1:80" ht="15" customHeight="1" x14ac:dyDescent="0.25">
      <c r="A20" s="83"/>
      <c r="B20" s="1103"/>
      <c r="C20" s="1103"/>
      <c r="D20" s="1104"/>
      <c r="E20" s="1144"/>
      <c r="F20" s="1145"/>
      <c r="G20" s="1145"/>
      <c r="H20" s="1145"/>
      <c r="I20" s="1145"/>
      <c r="J20" s="1170" t="str">
        <f ca="1">IF(AND('Riesgos de gestión'!$H$64="Alta",'Riesgos de gestión'!$L$64="Leve"),CONCATENATE("R",'Riesgos de gestión'!$A$64),"")</f>
        <v/>
      </c>
      <c r="K20" s="1171"/>
      <c r="L20" s="1171" t="str">
        <f>IF(AND('Riesgos de gestión'!$H$70="Alta",'Riesgos de gestión'!$L$70="Leve"),CONCATENATE("R",'Riesgos de gestión'!$A$70),"")</f>
        <v/>
      </c>
      <c r="M20" s="1171"/>
      <c r="N20" s="1171" t="str">
        <f>IF(AND('Riesgos de gestión'!$H$76="Alta",'Riesgos de gestión'!$L$76="Leve"),CONCATENATE("R",'Riesgos de gestión'!$A$76),"")</f>
        <v/>
      </c>
      <c r="O20" s="1172"/>
      <c r="P20" s="1170" t="str">
        <f ca="1">IF(AND('Riesgos de gestión'!$H$64="Alta",'Riesgos de gestión'!$L$64="Menor"),CONCATENATE("R",'Riesgos de gestión'!$A$64),"")</f>
        <v/>
      </c>
      <c r="Q20" s="1171"/>
      <c r="R20" s="1171" t="str">
        <f>IF(AND('Riesgos de gestión'!$H$70="Alta",'Riesgos de gestión'!$L$70="Menor"),CONCATENATE("R",'Riesgos de gestión'!$A$70),"")</f>
        <v/>
      </c>
      <c r="S20" s="1171"/>
      <c r="T20" s="1171" t="str">
        <f>IF(AND('Riesgos de gestión'!$H$76="Alta",'Riesgos de gestión'!$L$76="Menor"),CONCATENATE("R",'Riesgos de gestión'!$A$76),"")</f>
        <v/>
      </c>
      <c r="U20" s="1172"/>
      <c r="V20" s="1154" t="str">
        <f ca="1">IF(AND('Riesgos de gestión'!$H$64="Alta",'Riesgos de gestión'!$L$64="Moderado"),CONCATENATE("R",'Riesgos de gestión'!$A$64),"")</f>
        <v/>
      </c>
      <c r="W20" s="1150"/>
      <c r="X20" s="1150" t="str">
        <f>IF(AND('Riesgos de gestión'!$H$70="Alta",'Riesgos de gestión'!$L$70="Moderado"),CONCATENATE("R",'Riesgos de gestión'!$A$70),"")</f>
        <v/>
      </c>
      <c r="Y20" s="1150"/>
      <c r="Z20" s="1150" t="str">
        <f>IF(AND('Riesgos de gestión'!$H$76="Alta",'Riesgos de gestión'!$L$76="Moderado"),CONCATENATE("R",'Riesgos de gestión'!$A$76),"")</f>
        <v/>
      </c>
      <c r="AA20" s="1151"/>
      <c r="AB20" s="1154" t="str">
        <f ca="1">IF(AND('Riesgos de gestión'!$H$64="Alta",'Riesgos de gestión'!$L$64="Mayor"),CONCATENATE("R",'Riesgos de gestión'!$A$64),"")</f>
        <v/>
      </c>
      <c r="AC20" s="1150"/>
      <c r="AD20" s="1150" t="str">
        <f>IF(AND('Riesgos de gestión'!$H$70="Alta",'Riesgos de gestión'!$L$70="Mayor"),CONCATENATE("R",'Riesgos de gestión'!$A$70),"")</f>
        <v/>
      </c>
      <c r="AE20" s="1150"/>
      <c r="AF20" s="1150" t="str">
        <f>IF(AND('Riesgos de gestión'!$H$76="Alta",'Riesgos de gestión'!$L$76="Mayor"),CONCATENATE("R",'Riesgos de gestión'!$A$76),"")</f>
        <v/>
      </c>
      <c r="AG20" s="1151"/>
      <c r="AH20" s="1161" t="str">
        <f ca="1">IF(AND('Riesgos de gestión'!$H$64="Alta",'Riesgos de gestión'!$L$64="Catastrófico"),CONCATENATE("R",'Riesgos de gestión'!$A$64),"")</f>
        <v/>
      </c>
      <c r="AI20" s="1162"/>
      <c r="AJ20" s="1162" t="str">
        <f>IF(AND('Riesgos de gestión'!$H$70="Alta",'Riesgos de gestión'!$L$70="Catastrófico"),CONCATENATE("R",'Riesgos de gestión'!$A$70),"")</f>
        <v/>
      </c>
      <c r="AK20" s="1162"/>
      <c r="AL20" s="1162" t="str">
        <f>IF(AND('Riesgos de gestión'!$H$76="Alta",'Riesgos de gestión'!$L$76="Catastrófico"),CONCATENATE("R",'Riesgos de gestión'!$A$76),"")</f>
        <v/>
      </c>
      <c r="AM20" s="1163"/>
      <c r="AN20" s="83"/>
      <c r="AO20" s="1117"/>
      <c r="AP20" s="1118"/>
      <c r="AQ20" s="1118"/>
      <c r="AR20" s="1118"/>
      <c r="AS20" s="1118"/>
      <c r="AT20" s="1119"/>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row>
    <row r="21" spans="1:80" ht="15.75" customHeight="1" thickBot="1" x14ac:dyDescent="0.3">
      <c r="A21" s="83"/>
      <c r="B21" s="1103"/>
      <c r="C21" s="1103"/>
      <c r="D21" s="1104"/>
      <c r="E21" s="1147"/>
      <c r="F21" s="1148"/>
      <c r="G21" s="1148"/>
      <c r="H21" s="1148"/>
      <c r="I21" s="1148"/>
      <c r="J21" s="1173"/>
      <c r="K21" s="1174"/>
      <c r="L21" s="1174"/>
      <c r="M21" s="1174"/>
      <c r="N21" s="1174"/>
      <c r="O21" s="1175"/>
      <c r="P21" s="1173"/>
      <c r="Q21" s="1174"/>
      <c r="R21" s="1174"/>
      <c r="S21" s="1174"/>
      <c r="T21" s="1174"/>
      <c r="U21" s="1175"/>
      <c r="V21" s="1158"/>
      <c r="W21" s="1159"/>
      <c r="X21" s="1159"/>
      <c r="Y21" s="1159"/>
      <c r="Z21" s="1159"/>
      <c r="AA21" s="1160"/>
      <c r="AB21" s="1158"/>
      <c r="AC21" s="1159"/>
      <c r="AD21" s="1159"/>
      <c r="AE21" s="1159"/>
      <c r="AF21" s="1159"/>
      <c r="AG21" s="1160"/>
      <c r="AH21" s="1164"/>
      <c r="AI21" s="1165"/>
      <c r="AJ21" s="1165"/>
      <c r="AK21" s="1165"/>
      <c r="AL21" s="1165"/>
      <c r="AM21" s="1166"/>
      <c r="AN21" s="83"/>
      <c r="AO21" s="1120"/>
      <c r="AP21" s="1121"/>
      <c r="AQ21" s="1121"/>
      <c r="AR21" s="1121"/>
      <c r="AS21" s="1121"/>
      <c r="AT21" s="1122"/>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row>
    <row r="22" spans="1:80" x14ac:dyDescent="0.25">
      <c r="A22" s="83"/>
      <c r="B22" s="1103"/>
      <c r="C22" s="1103"/>
      <c r="D22" s="1104"/>
      <c r="E22" s="1141" t="s">
        <v>117</v>
      </c>
      <c r="F22" s="1142"/>
      <c r="G22" s="1142"/>
      <c r="H22" s="1142"/>
      <c r="I22" s="1143"/>
      <c r="J22" s="1176" t="str">
        <f ca="1">IF(AND('Riesgos de gestión'!$H$10="Media",'Riesgos de gestión'!$L$10="Leve"),CONCATENATE("R",'Riesgos de gestión'!$A$10),"")</f>
        <v/>
      </c>
      <c r="K22" s="1177"/>
      <c r="L22" s="1177" t="str">
        <f ca="1">IF(AND('Riesgos de gestión'!$H$16="Media",'Riesgos de gestión'!$L$16="Leve"),CONCATENATE("R",'Riesgos de gestión'!$A$16),"")</f>
        <v/>
      </c>
      <c r="M22" s="1177"/>
      <c r="N22" s="1177" t="str">
        <f ca="1">IF(AND('Riesgos de gestión'!$H$22="Media",'Riesgos de gestión'!$L$22="Leve"),CONCATENATE("R",'Riesgos de gestión'!$A$22),"")</f>
        <v/>
      </c>
      <c r="O22" s="1178"/>
      <c r="P22" s="1176" t="str">
        <f ca="1">IF(AND('Riesgos de gestión'!$H$10="Media",'Riesgos de gestión'!$L$10="Menor"),CONCATENATE("R",'Riesgos de gestión'!$A$10),"")</f>
        <v/>
      </c>
      <c r="Q22" s="1177"/>
      <c r="R22" s="1177" t="str">
        <f ca="1">IF(AND('Riesgos de gestión'!$H$16="Media",'Riesgos de gestión'!$L$16="Menor"),CONCATENATE("R",'Riesgos de gestión'!$A$16),"")</f>
        <v/>
      </c>
      <c r="S22" s="1177"/>
      <c r="T22" s="1177" t="str">
        <f ca="1">IF(AND('Riesgos de gestión'!$H$22="Media",'Riesgos de gestión'!$L$22="Menor"),CONCATENATE("R",'Riesgos de gestión'!$A$22),"")</f>
        <v/>
      </c>
      <c r="U22" s="1178"/>
      <c r="V22" s="1176" t="str">
        <f ca="1">IF(AND('Riesgos de gestión'!$H$10="Media",'Riesgos de gestión'!$L$10="Moderado"),CONCATENATE("R",'Riesgos de gestión'!$A$10),"")</f>
        <v/>
      </c>
      <c r="W22" s="1177"/>
      <c r="X22" s="1177" t="str">
        <f ca="1">IF(AND('Riesgos de gestión'!$H$16="Media",'Riesgos de gestión'!$L$16="Moderado"),CONCATENATE("R",'Riesgos de gestión'!$A$16),"")</f>
        <v/>
      </c>
      <c r="Y22" s="1177"/>
      <c r="Z22" s="1177" t="str">
        <f ca="1">IF(AND('Riesgos de gestión'!$H$22="Media",'Riesgos de gestión'!$L$22="Moderado"),CONCATENATE("R",'Riesgos de gestión'!$A$22),"")</f>
        <v/>
      </c>
      <c r="AA22" s="1178"/>
      <c r="AB22" s="1152" t="str">
        <f ca="1">IF(AND('Riesgos de gestión'!$H$10="Media",'Riesgos de gestión'!$L$10="Mayor"),CONCATENATE("R",'Riesgos de gestión'!$A$10),"")</f>
        <v/>
      </c>
      <c r="AC22" s="1153"/>
      <c r="AD22" s="1153" t="str">
        <f ca="1">IF(AND('Riesgos de gestión'!$H$16="Media",'Riesgos de gestión'!$L$16="Mayor"),CONCATENATE("R",'Riesgos de gestión'!$A$16),"")</f>
        <v/>
      </c>
      <c r="AE22" s="1153"/>
      <c r="AF22" s="1153" t="str">
        <f ca="1">IF(AND('Riesgos de gestión'!$H$22="Media",'Riesgos de gestión'!$L$22="Mayor"),CONCATENATE("R",'Riesgos de gestión'!$A$22),"")</f>
        <v/>
      </c>
      <c r="AG22" s="1155"/>
      <c r="AH22" s="1167" t="str">
        <f ca="1">IF(AND('Riesgos de gestión'!$H$10="Media",'Riesgos de gestión'!$L$10="Catastrófico"),CONCATENATE("R",'Riesgos de gestión'!$A$10),"")</f>
        <v/>
      </c>
      <c r="AI22" s="1168"/>
      <c r="AJ22" s="1168" t="str">
        <f ca="1">IF(AND('Riesgos de gestión'!$H$16="Media",'Riesgos de gestión'!$L$16="Catastrófico"),CONCATENATE("R",'Riesgos de gestión'!$A$16),"")</f>
        <v/>
      </c>
      <c r="AK22" s="1168"/>
      <c r="AL22" s="1168" t="str">
        <f ca="1">IF(AND('Riesgos de gestión'!$H$22="Media",'Riesgos de gestión'!$L$22="Catastrófico"),CONCATENATE("R",'Riesgos de gestión'!$A$22),"")</f>
        <v/>
      </c>
      <c r="AM22" s="1169"/>
      <c r="AN22" s="83"/>
      <c r="AO22" s="1123" t="s">
        <v>81</v>
      </c>
      <c r="AP22" s="1124"/>
      <c r="AQ22" s="1124"/>
      <c r="AR22" s="1124"/>
      <c r="AS22" s="1124"/>
      <c r="AT22" s="1125"/>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row>
    <row r="23" spans="1:80" x14ac:dyDescent="0.25">
      <c r="A23" s="83"/>
      <c r="B23" s="1103"/>
      <c r="C23" s="1103"/>
      <c r="D23" s="1104"/>
      <c r="E23" s="1144"/>
      <c r="F23" s="1145"/>
      <c r="G23" s="1145"/>
      <c r="H23" s="1145"/>
      <c r="I23" s="1146"/>
      <c r="J23" s="1170"/>
      <c r="K23" s="1171"/>
      <c r="L23" s="1171"/>
      <c r="M23" s="1171"/>
      <c r="N23" s="1171"/>
      <c r="O23" s="1172"/>
      <c r="P23" s="1170"/>
      <c r="Q23" s="1171"/>
      <c r="R23" s="1171"/>
      <c r="S23" s="1171"/>
      <c r="T23" s="1171"/>
      <c r="U23" s="1172"/>
      <c r="V23" s="1170"/>
      <c r="W23" s="1171"/>
      <c r="X23" s="1171"/>
      <c r="Y23" s="1171"/>
      <c r="Z23" s="1171"/>
      <c r="AA23" s="1172"/>
      <c r="AB23" s="1154"/>
      <c r="AC23" s="1150"/>
      <c r="AD23" s="1150"/>
      <c r="AE23" s="1150"/>
      <c r="AF23" s="1150"/>
      <c r="AG23" s="1151"/>
      <c r="AH23" s="1161"/>
      <c r="AI23" s="1162"/>
      <c r="AJ23" s="1162"/>
      <c r="AK23" s="1162"/>
      <c r="AL23" s="1162"/>
      <c r="AM23" s="1163"/>
      <c r="AN23" s="83"/>
      <c r="AO23" s="1126"/>
      <c r="AP23" s="1127"/>
      <c r="AQ23" s="1127"/>
      <c r="AR23" s="1127"/>
      <c r="AS23" s="1127"/>
      <c r="AT23" s="1128"/>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row>
    <row r="24" spans="1:80" x14ac:dyDescent="0.25">
      <c r="A24" s="83"/>
      <c r="B24" s="1103"/>
      <c r="C24" s="1103"/>
      <c r="D24" s="1104"/>
      <c r="E24" s="1144"/>
      <c r="F24" s="1145"/>
      <c r="G24" s="1145"/>
      <c r="H24" s="1145"/>
      <c r="I24" s="1146"/>
      <c r="J24" s="1170" t="str">
        <f ca="1">IF(AND('Riesgos de gestión'!$H$28="Media",'Riesgos de gestión'!$L$28="Leve"),CONCATENATE("R",'Riesgos de gestión'!$A$28),"")</f>
        <v/>
      </c>
      <c r="K24" s="1171"/>
      <c r="L24" s="1171" t="str">
        <f ca="1">IF(AND('Riesgos de gestión'!$H$34="Media",'Riesgos de gestión'!$L$34="Leve"),CONCATENATE("R",'Riesgos de gestión'!$A$34),"")</f>
        <v/>
      </c>
      <c r="M24" s="1171"/>
      <c r="N24" s="1171" t="str">
        <f ca="1">IF(AND('Riesgos de gestión'!$H$40="Media",'Riesgos de gestión'!$L$40="Leve"),CONCATENATE("R",'Riesgos de gestión'!$A$40),"")</f>
        <v/>
      </c>
      <c r="O24" s="1172"/>
      <c r="P24" s="1170" t="str">
        <f ca="1">IF(AND('Riesgos de gestión'!$H$28="Media",'Riesgos de gestión'!$L$28="Menor"),CONCATENATE("R",'Riesgos de gestión'!$A$28),"")</f>
        <v/>
      </c>
      <c r="Q24" s="1171"/>
      <c r="R24" s="1171" t="str">
        <f ca="1">IF(AND('Riesgos de gestión'!$H$34="Media",'Riesgos de gestión'!$L$34="Menor"),CONCATENATE("R",'Riesgos de gestión'!$A$34),"")</f>
        <v/>
      </c>
      <c r="S24" s="1171"/>
      <c r="T24" s="1171" t="str">
        <f ca="1">IF(AND('Riesgos de gestión'!$H$40="Media",'Riesgos de gestión'!$L$40="Menor"),CONCATENATE("R",'Riesgos de gestión'!$A$40),"")</f>
        <v/>
      </c>
      <c r="U24" s="1172"/>
      <c r="V24" s="1170" t="str">
        <f ca="1">IF(AND('Riesgos de gestión'!$H$28="Media",'Riesgos de gestión'!$L$28="Moderado"),CONCATENATE("R",'Riesgos de gestión'!$A$28),"")</f>
        <v/>
      </c>
      <c r="W24" s="1171"/>
      <c r="X24" s="1171" t="str">
        <f ca="1">IF(AND('Riesgos de gestión'!$H$34="Media",'Riesgos de gestión'!$L$34="Moderado"),CONCATENATE("R",'Riesgos de gestión'!$A$34),"")</f>
        <v/>
      </c>
      <c r="Y24" s="1171"/>
      <c r="Z24" s="1171" t="str">
        <f ca="1">IF(AND('Riesgos de gestión'!$H$40="Media",'Riesgos de gestión'!$L$40="Moderado"),CONCATENATE("R",'Riesgos de gestión'!$A$40),"")</f>
        <v/>
      </c>
      <c r="AA24" s="1172"/>
      <c r="AB24" s="1154" t="str">
        <f ca="1">IF(AND('Riesgos de gestión'!$H$28="Media",'Riesgos de gestión'!$L$28="Mayor"),CONCATENATE("R",'Riesgos de gestión'!$A$28),"")</f>
        <v/>
      </c>
      <c r="AC24" s="1150"/>
      <c r="AD24" s="1150" t="str">
        <f ca="1">IF(AND('Riesgos de gestión'!$H$34="Media",'Riesgos de gestión'!$L$34="Mayor"),CONCATENATE("R",'Riesgos de gestión'!$A$34),"")</f>
        <v/>
      </c>
      <c r="AE24" s="1150"/>
      <c r="AF24" s="1150" t="str">
        <f ca="1">IF(AND('Riesgos de gestión'!$H$40="Media",'Riesgos de gestión'!$L$40="Mayor"),CONCATENATE("R",'Riesgos de gestión'!$A$40),"")</f>
        <v/>
      </c>
      <c r="AG24" s="1151"/>
      <c r="AH24" s="1161" t="str">
        <f ca="1">IF(AND('Riesgos de gestión'!$H$28="Media",'Riesgos de gestión'!$L$28="Catastrófico"),CONCATENATE("R",'Riesgos de gestión'!$A$28),"")</f>
        <v/>
      </c>
      <c r="AI24" s="1162"/>
      <c r="AJ24" s="1162" t="str">
        <f ca="1">IF(AND('Riesgos de gestión'!$H$34="Media",'Riesgos de gestión'!$L$34="Catastrófico"),CONCATENATE("R",'Riesgos de gestión'!$A$34),"")</f>
        <v/>
      </c>
      <c r="AK24" s="1162"/>
      <c r="AL24" s="1162" t="str">
        <f ca="1">IF(AND('Riesgos de gestión'!$H$40="Media",'Riesgos de gestión'!$L$40="Catastrófico"),CONCATENATE("R",'Riesgos de gestión'!$A$40),"")</f>
        <v/>
      </c>
      <c r="AM24" s="1163"/>
      <c r="AN24" s="83"/>
      <c r="AO24" s="1126"/>
      <c r="AP24" s="1127"/>
      <c r="AQ24" s="1127"/>
      <c r="AR24" s="1127"/>
      <c r="AS24" s="1127"/>
      <c r="AT24" s="1128"/>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row>
    <row r="25" spans="1:80" x14ac:dyDescent="0.25">
      <c r="A25" s="83"/>
      <c r="B25" s="1103"/>
      <c r="C25" s="1103"/>
      <c r="D25" s="1104"/>
      <c r="E25" s="1144"/>
      <c r="F25" s="1145"/>
      <c r="G25" s="1145"/>
      <c r="H25" s="1145"/>
      <c r="I25" s="1146"/>
      <c r="J25" s="1170"/>
      <c r="K25" s="1171"/>
      <c r="L25" s="1171"/>
      <c r="M25" s="1171"/>
      <c r="N25" s="1171"/>
      <c r="O25" s="1172"/>
      <c r="P25" s="1170"/>
      <c r="Q25" s="1171"/>
      <c r="R25" s="1171"/>
      <c r="S25" s="1171"/>
      <c r="T25" s="1171"/>
      <c r="U25" s="1172"/>
      <c r="V25" s="1170"/>
      <c r="W25" s="1171"/>
      <c r="X25" s="1171"/>
      <c r="Y25" s="1171"/>
      <c r="Z25" s="1171"/>
      <c r="AA25" s="1172"/>
      <c r="AB25" s="1154"/>
      <c r="AC25" s="1150"/>
      <c r="AD25" s="1150"/>
      <c r="AE25" s="1150"/>
      <c r="AF25" s="1150"/>
      <c r="AG25" s="1151"/>
      <c r="AH25" s="1161"/>
      <c r="AI25" s="1162"/>
      <c r="AJ25" s="1162"/>
      <c r="AK25" s="1162"/>
      <c r="AL25" s="1162"/>
      <c r="AM25" s="1163"/>
      <c r="AN25" s="83"/>
      <c r="AO25" s="1126"/>
      <c r="AP25" s="1127"/>
      <c r="AQ25" s="1127"/>
      <c r="AR25" s="1127"/>
      <c r="AS25" s="1127"/>
      <c r="AT25" s="1128"/>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row>
    <row r="26" spans="1:80" x14ac:dyDescent="0.25">
      <c r="A26" s="83"/>
      <c r="B26" s="1103"/>
      <c r="C26" s="1103"/>
      <c r="D26" s="1104"/>
      <c r="E26" s="1144"/>
      <c r="F26" s="1145"/>
      <c r="G26" s="1145"/>
      <c r="H26" s="1145"/>
      <c r="I26" s="1146"/>
      <c r="J26" s="1170" t="str">
        <f ca="1">IF(AND('Riesgos de gestión'!$H$46="Media",'Riesgos de gestión'!$L$46="Leve"),CONCATENATE("R",'Riesgos de gestión'!$A$46),"")</f>
        <v/>
      </c>
      <c r="K26" s="1171"/>
      <c r="L26" s="1171" t="str">
        <f ca="1">IF(AND('Riesgos de gestión'!$H$52="Media",'Riesgos de gestión'!$L$52="Leve"),CONCATENATE("R",'Riesgos de gestión'!$A$52),"")</f>
        <v/>
      </c>
      <c r="M26" s="1171"/>
      <c r="N26" s="1171" t="str">
        <f ca="1">IF(AND('Riesgos de gestión'!$H$58="Media",'Riesgos de gestión'!$L$58="Leve"),CONCATENATE("R",'Riesgos de gestión'!$A$58),"")</f>
        <v/>
      </c>
      <c r="O26" s="1172"/>
      <c r="P26" s="1170" t="str">
        <f ca="1">IF(AND('Riesgos de gestión'!$H$46="Media",'Riesgos de gestión'!$L$46="Menor"),CONCATENATE("R",'Riesgos de gestión'!$A$46),"")</f>
        <v/>
      </c>
      <c r="Q26" s="1171"/>
      <c r="R26" s="1171" t="str">
        <f ca="1">IF(AND('Riesgos de gestión'!$H$52="Media",'Riesgos de gestión'!$L$52="Menor"),CONCATENATE("R",'Riesgos de gestión'!$A$52),"")</f>
        <v/>
      </c>
      <c r="S26" s="1171"/>
      <c r="T26" s="1171" t="str">
        <f ca="1">IF(AND('Riesgos de gestión'!$H$58="Media",'Riesgos de gestión'!$L$58="Menor"),CONCATENATE("R",'Riesgos de gestión'!$A$58),"")</f>
        <v/>
      </c>
      <c r="U26" s="1172"/>
      <c r="V26" s="1170" t="str">
        <f ca="1">IF(AND('Riesgos de gestión'!$H$46="Media",'Riesgos de gestión'!$L$46="Moderado"),CONCATENATE("R",'Riesgos de gestión'!$A$46),"")</f>
        <v/>
      </c>
      <c r="W26" s="1171"/>
      <c r="X26" s="1171" t="str">
        <f ca="1">IF(AND('Riesgos de gestión'!$H$52="Media",'Riesgos de gestión'!$L$52="Moderado"),CONCATENATE("R",'Riesgos de gestión'!$A$52),"")</f>
        <v/>
      </c>
      <c r="Y26" s="1171"/>
      <c r="Z26" s="1171" t="str">
        <f ca="1">IF(AND('Riesgos de gestión'!$H$58="Media",'Riesgos de gestión'!$L$58="Moderado"),CONCATENATE("R",'Riesgos de gestión'!$A$58),"")</f>
        <v/>
      </c>
      <c r="AA26" s="1172"/>
      <c r="AB26" s="1154" t="str">
        <f ca="1">IF(AND('Riesgos de gestión'!$H$46="Media",'Riesgos de gestión'!$L$46="Mayor"),CONCATENATE("R",'Riesgos de gestión'!$A$46),"")</f>
        <v/>
      </c>
      <c r="AC26" s="1150"/>
      <c r="AD26" s="1150" t="str">
        <f ca="1">IF(AND('Riesgos de gestión'!$H$52="Media",'Riesgos de gestión'!$L$52="Mayor"),CONCATENATE("R",'Riesgos de gestión'!$A$52),"")</f>
        <v/>
      </c>
      <c r="AE26" s="1150"/>
      <c r="AF26" s="1150" t="str">
        <f ca="1">IF(AND('Riesgos de gestión'!$H$58="Media",'Riesgos de gestión'!$L$58="Mayor"),CONCATENATE("R",'Riesgos de gestión'!$A$58),"")</f>
        <v/>
      </c>
      <c r="AG26" s="1151"/>
      <c r="AH26" s="1161" t="str">
        <f ca="1">IF(AND('Riesgos de gestión'!$H$46="Media",'Riesgos de gestión'!$L$46="Catastrófico"),CONCATENATE("R",'Riesgos de gestión'!$A$46),"")</f>
        <v/>
      </c>
      <c r="AI26" s="1162"/>
      <c r="AJ26" s="1162" t="str">
        <f ca="1">IF(AND('Riesgos de gestión'!$H$52="Media",'Riesgos de gestión'!$L$52="Catastrófico"),CONCATENATE("R",'Riesgos de gestión'!$A$52),"")</f>
        <v/>
      </c>
      <c r="AK26" s="1162"/>
      <c r="AL26" s="1162" t="str">
        <f ca="1">IF(AND('Riesgos de gestión'!$H$58="Media",'Riesgos de gestión'!$L$58="Catastrófico"),CONCATENATE("R",'Riesgos de gestión'!$A$58),"")</f>
        <v/>
      </c>
      <c r="AM26" s="1163"/>
      <c r="AN26" s="83"/>
      <c r="AO26" s="1126"/>
      <c r="AP26" s="1127"/>
      <c r="AQ26" s="1127"/>
      <c r="AR26" s="1127"/>
      <c r="AS26" s="1127"/>
      <c r="AT26" s="1128"/>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row>
    <row r="27" spans="1:80" x14ac:dyDescent="0.25">
      <c r="A27" s="83"/>
      <c r="B27" s="1103"/>
      <c r="C27" s="1103"/>
      <c r="D27" s="1104"/>
      <c r="E27" s="1144"/>
      <c r="F27" s="1145"/>
      <c r="G27" s="1145"/>
      <c r="H27" s="1145"/>
      <c r="I27" s="1146"/>
      <c r="J27" s="1170"/>
      <c r="K27" s="1171"/>
      <c r="L27" s="1171"/>
      <c r="M27" s="1171"/>
      <c r="N27" s="1171"/>
      <c r="O27" s="1172"/>
      <c r="P27" s="1170"/>
      <c r="Q27" s="1171"/>
      <c r="R27" s="1171"/>
      <c r="S27" s="1171"/>
      <c r="T27" s="1171"/>
      <c r="U27" s="1172"/>
      <c r="V27" s="1170"/>
      <c r="W27" s="1171"/>
      <c r="X27" s="1171"/>
      <c r="Y27" s="1171"/>
      <c r="Z27" s="1171"/>
      <c r="AA27" s="1172"/>
      <c r="AB27" s="1154"/>
      <c r="AC27" s="1150"/>
      <c r="AD27" s="1150"/>
      <c r="AE27" s="1150"/>
      <c r="AF27" s="1150"/>
      <c r="AG27" s="1151"/>
      <c r="AH27" s="1161"/>
      <c r="AI27" s="1162"/>
      <c r="AJ27" s="1162"/>
      <c r="AK27" s="1162"/>
      <c r="AL27" s="1162"/>
      <c r="AM27" s="1163"/>
      <c r="AN27" s="83"/>
      <c r="AO27" s="1126"/>
      <c r="AP27" s="1127"/>
      <c r="AQ27" s="1127"/>
      <c r="AR27" s="1127"/>
      <c r="AS27" s="1127"/>
      <c r="AT27" s="1128"/>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row>
    <row r="28" spans="1:80" x14ac:dyDescent="0.25">
      <c r="A28" s="83"/>
      <c r="B28" s="1103"/>
      <c r="C28" s="1103"/>
      <c r="D28" s="1104"/>
      <c r="E28" s="1144"/>
      <c r="F28" s="1145"/>
      <c r="G28" s="1145"/>
      <c r="H28" s="1145"/>
      <c r="I28" s="1146"/>
      <c r="J28" s="1170" t="str">
        <f ca="1">IF(AND('Riesgos de gestión'!$H$64="Media",'Riesgos de gestión'!$L$64="Leve"),CONCATENATE("R",'Riesgos de gestión'!$A$64),"")</f>
        <v/>
      </c>
      <c r="K28" s="1171"/>
      <c r="L28" s="1171" t="str">
        <f>IF(AND('Riesgos de gestión'!$H$70="Media",'Riesgos de gestión'!$L$70="Leve"),CONCATENATE("R",'Riesgos de gestión'!$A$70),"")</f>
        <v/>
      </c>
      <c r="M28" s="1171"/>
      <c r="N28" s="1171" t="str">
        <f>IF(AND('Riesgos de gestión'!$H$76="Media",'Riesgos de gestión'!$L$76="Leve"),CONCATENATE("R",'Riesgos de gestión'!$A$76),"")</f>
        <v/>
      </c>
      <c r="O28" s="1172"/>
      <c r="P28" s="1170" t="str">
        <f ca="1">IF(AND('Riesgos de gestión'!$H$64="Media",'Riesgos de gestión'!$L$64="Menor"),CONCATENATE("R",'Riesgos de gestión'!$A$64),"")</f>
        <v/>
      </c>
      <c r="Q28" s="1171"/>
      <c r="R28" s="1171" t="str">
        <f>IF(AND('Riesgos de gestión'!$H$70="Media",'Riesgos de gestión'!$L$70="Menor"),CONCATENATE("R",'Riesgos de gestión'!$A$70),"")</f>
        <v/>
      </c>
      <c r="S28" s="1171"/>
      <c r="T28" s="1171" t="str">
        <f>IF(AND('Riesgos de gestión'!$H$76="Media",'Riesgos de gestión'!$L$76="Menor"),CONCATENATE("R",'Riesgos de gestión'!$A$76),"")</f>
        <v/>
      </c>
      <c r="U28" s="1172"/>
      <c r="V28" s="1170" t="str">
        <f ca="1">IF(AND('Riesgos de gestión'!$H$64="Media",'Riesgos de gestión'!$L$64="Moderado"),CONCATENATE("R",'Riesgos de gestión'!$A$64),"")</f>
        <v/>
      </c>
      <c r="W28" s="1171"/>
      <c r="X28" s="1171" t="str">
        <f>IF(AND('Riesgos de gestión'!$H$70="Media",'Riesgos de gestión'!$L$70="Moderado"),CONCATENATE("R",'Riesgos de gestión'!$A$70),"")</f>
        <v/>
      </c>
      <c r="Y28" s="1171"/>
      <c r="Z28" s="1171" t="str">
        <f>IF(AND('Riesgos de gestión'!$H$76="Media",'Riesgos de gestión'!$L$76="Moderado"),CONCATENATE("R",'Riesgos de gestión'!$A$76),"")</f>
        <v/>
      </c>
      <c r="AA28" s="1172"/>
      <c r="AB28" s="1154" t="str">
        <f ca="1">IF(AND('Riesgos de gestión'!$H$64="Media",'Riesgos de gestión'!$L$64="Mayor"),CONCATENATE("R",'Riesgos de gestión'!$A$64),"")</f>
        <v/>
      </c>
      <c r="AC28" s="1150"/>
      <c r="AD28" s="1150" t="str">
        <f>IF(AND('Riesgos de gestión'!$H$70="Media",'Riesgos de gestión'!$L$70="Mayor"),CONCATENATE("R",'Riesgos de gestión'!$A$70),"")</f>
        <v/>
      </c>
      <c r="AE28" s="1150"/>
      <c r="AF28" s="1150" t="str">
        <f>IF(AND('Riesgos de gestión'!$H$76="Media",'Riesgos de gestión'!$L$76="Mayor"),CONCATENATE("R",'Riesgos de gestión'!$A$76),"")</f>
        <v/>
      </c>
      <c r="AG28" s="1151"/>
      <c r="AH28" s="1161" t="str">
        <f ca="1">IF(AND('Riesgos de gestión'!$H$64="Media",'Riesgos de gestión'!$L$64="Catastrófico"),CONCATENATE("R",'Riesgos de gestión'!$A$64),"")</f>
        <v/>
      </c>
      <c r="AI28" s="1162"/>
      <c r="AJ28" s="1162" t="str">
        <f>IF(AND('Riesgos de gestión'!$H$70="Media",'Riesgos de gestión'!$L$70="Catastrófico"),CONCATENATE("R",'Riesgos de gestión'!$A$70),"")</f>
        <v/>
      </c>
      <c r="AK28" s="1162"/>
      <c r="AL28" s="1162" t="str">
        <f>IF(AND('Riesgos de gestión'!$H$76="Media",'Riesgos de gestión'!$L$76="Catastrófico"),CONCATENATE("R",'Riesgos de gestión'!$A$76),"")</f>
        <v/>
      </c>
      <c r="AM28" s="1163"/>
      <c r="AN28" s="83"/>
      <c r="AO28" s="1126"/>
      <c r="AP28" s="1127"/>
      <c r="AQ28" s="1127"/>
      <c r="AR28" s="1127"/>
      <c r="AS28" s="1127"/>
      <c r="AT28" s="1128"/>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row>
    <row r="29" spans="1:80" ht="15.75" thickBot="1" x14ac:dyDescent="0.3">
      <c r="A29" s="83"/>
      <c r="B29" s="1103"/>
      <c r="C29" s="1103"/>
      <c r="D29" s="1104"/>
      <c r="E29" s="1147"/>
      <c r="F29" s="1148"/>
      <c r="G29" s="1148"/>
      <c r="H29" s="1148"/>
      <c r="I29" s="1149"/>
      <c r="J29" s="1170"/>
      <c r="K29" s="1171"/>
      <c r="L29" s="1171"/>
      <c r="M29" s="1171"/>
      <c r="N29" s="1171"/>
      <c r="O29" s="1172"/>
      <c r="P29" s="1173"/>
      <c r="Q29" s="1174"/>
      <c r="R29" s="1174"/>
      <c r="S29" s="1174"/>
      <c r="T29" s="1174"/>
      <c r="U29" s="1175"/>
      <c r="V29" s="1173"/>
      <c r="W29" s="1174"/>
      <c r="X29" s="1174"/>
      <c r="Y29" s="1174"/>
      <c r="Z29" s="1174"/>
      <c r="AA29" s="1175"/>
      <c r="AB29" s="1158"/>
      <c r="AC29" s="1159"/>
      <c r="AD29" s="1159"/>
      <c r="AE29" s="1159"/>
      <c r="AF29" s="1159"/>
      <c r="AG29" s="1160"/>
      <c r="AH29" s="1164"/>
      <c r="AI29" s="1165"/>
      <c r="AJ29" s="1165"/>
      <c r="AK29" s="1165"/>
      <c r="AL29" s="1165"/>
      <c r="AM29" s="1166"/>
      <c r="AN29" s="83"/>
      <c r="AO29" s="1129"/>
      <c r="AP29" s="1130"/>
      <c r="AQ29" s="1130"/>
      <c r="AR29" s="1130"/>
      <c r="AS29" s="1130"/>
      <c r="AT29" s="1131"/>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row>
    <row r="30" spans="1:80" x14ac:dyDescent="0.25">
      <c r="A30" s="83"/>
      <c r="B30" s="1103"/>
      <c r="C30" s="1103"/>
      <c r="D30" s="1104"/>
      <c r="E30" s="1141" t="s">
        <v>114</v>
      </c>
      <c r="F30" s="1142"/>
      <c r="G30" s="1142"/>
      <c r="H30" s="1142"/>
      <c r="I30" s="1142"/>
      <c r="J30" s="1185" t="str">
        <f ca="1">IF(AND('Riesgos de gestión'!$H$10="Baja",'Riesgos de gestión'!$L$10="Leve"),CONCATENATE("R",'Riesgos de gestión'!$A$10),"")</f>
        <v/>
      </c>
      <c r="K30" s="1186"/>
      <c r="L30" s="1186" t="str">
        <f ca="1">IF(AND('Riesgos de gestión'!$H$16="Baja",'Riesgos de gestión'!$L$16="Leve"),CONCATENATE("R",'Riesgos de gestión'!$A$16),"")</f>
        <v/>
      </c>
      <c r="M30" s="1186"/>
      <c r="N30" s="1186" t="str">
        <f ca="1">IF(AND('Riesgos de gestión'!$H$22="Baja",'Riesgos de gestión'!$L$22="Leve"),CONCATENATE("R",'Riesgos de gestión'!$A$22),"")</f>
        <v/>
      </c>
      <c r="O30" s="1187"/>
      <c r="P30" s="1177" t="str">
        <f ca="1">IF(AND('Riesgos de gestión'!$H$10="Baja",'Riesgos de gestión'!$L$10="Menor"),CONCATENATE("R",'Riesgos de gestión'!$A$10),"")</f>
        <v/>
      </c>
      <c r="Q30" s="1177"/>
      <c r="R30" s="1177" t="str">
        <f ca="1">IF(AND('Riesgos de gestión'!$H$16="Baja",'Riesgos de gestión'!$L$16="Menor"),CONCATENATE("R",'Riesgos de gestión'!$A$16),"")</f>
        <v/>
      </c>
      <c r="S30" s="1177"/>
      <c r="T30" s="1177" t="str">
        <f ca="1">IF(AND('Riesgos de gestión'!$H$22="Baja",'Riesgos de gestión'!$L$22="Menor"),CONCATENATE("R",'Riesgos de gestión'!$A$22),"")</f>
        <v/>
      </c>
      <c r="U30" s="1178"/>
      <c r="V30" s="1176" t="str">
        <f ca="1">IF(AND('Riesgos de gestión'!$H$10="Baja",'Riesgos de gestión'!$L$10="Moderado"),CONCATENATE("R",'Riesgos de gestión'!$A$10),"")</f>
        <v/>
      </c>
      <c r="W30" s="1177"/>
      <c r="X30" s="1177" t="str">
        <f ca="1">IF(AND('Riesgos de gestión'!$H$16="Baja",'Riesgos de gestión'!$L$16="Moderado"),CONCATENATE("R",'Riesgos de gestión'!$A$16),"")</f>
        <v/>
      </c>
      <c r="Y30" s="1177"/>
      <c r="Z30" s="1177" t="str">
        <f ca="1">IF(AND('Riesgos de gestión'!$H$22="Baja",'Riesgos de gestión'!$L$22="Moderado"),CONCATENATE("R",'Riesgos de gestión'!$A$22),"")</f>
        <v/>
      </c>
      <c r="AA30" s="1178"/>
      <c r="AB30" s="1152" t="str">
        <f ca="1">IF(AND('Riesgos de gestión'!$H$10="Baja",'Riesgos de gestión'!$L$10="Mayor"),CONCATENATE("R",'Riesgos de gestión'!$A$10),"")</f>
        <v/>
      </c>
      <c r="AC30" s="1153"/>
      <c r="AD30" s="1153" t="str">
        <f ca="1">IF(AND('Riesgos de gestión'!$H$16="Baja",'Riesgos de gestión'!$L$16="Mayor"),CONCATENATE("R",'Riesgos de gestión'!$A$16),"")</f>
        <v/>
      </c>
      <c r="AE30" s="1153"/>
      <c r="AF30" s="1153" t="str">
        <f ca="1">IF(AND('Riesgos de gestión'!$H$22="Baja",'Riesgos de gestión'!$L$22="Mayor"),CONCATENATE("R",'Riesgos de gestión'!$A$22),"")</f>
        <v/>
      </c>
      <c r="AG30" s="1155"/>
      <c r="AH30" s="1167" t="str">
        <f ca="1">IF(AND('Riesgos de gestión'!$H$10="Baja",'Riesgos de gestión'!$L$10="Catastrófico"),CONCATENATE("R",'Riesgos de gestión'!$A$10),"")</f>
        <v/>
      </c>
      <c r="AI30" s="1168"/>
      <c r="AJ30" s="1168" t="str">
        <f ca="1">IF(AND('Riesgos de gestión'!$H$16="Baja",'Riesgos de gestión'!$L$16="Catastrófico"),CONCATENATE("R",'Riesgos de gestión'!$A$16),"")</f>
        <v/>
      </c>
      <c r="AK30" s="1168"/>
      <c r="AL30" s="1168" t="str">
        <f ca="1">IF(AND('Riesgos de gestión'!$H$22="Baja",'Riesgos de gestión'!$L$22="Catastrófico"),CONCATENATE("R",'Riesgos de gestión'!$A$22),"")</f>
        <v/>
      </c>
      <c r="AM30" s="1169"/>
      <c r="AN30" s="83"/>
      <c r="AO30" s="1132" t="s">
        <v>82</v>
      </c>
      <c r="AP30" s="1133"/>
      <c r="AQ30" s="1133"/>
      <c r="AR30" s="1133"/>
      <c r="AS30" s="1133"/>
      <c r="AT30" s="1134"/>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row>
    <row r="31" spans="1:80" x14ac:dyDescent="0.25">
      <c r="A31" s="83"/>
      <c r="B31" s="1103"/>
      <c r="C31" s="1103"/>
      <c r="D31" s="1104"/>
      <c r="E31" s="1144"/>
      <c r="F31" s="1145"/>
      <c r="G31" s="1145"/>
      <c r="H31" s="1145"/>
      <c r="I31" s="1145"/>
      <c r="J31" s="1181"/>
      <c r="K31" s="1179"/>
      <c r="L31" s="1179"/>
      <c r="M31" s="1179"/>
      <c r="N31" s="1179"/>
      <c r="O31" s="1180"/>
      <c r="P31" s="1171"/>
      <c r="Q31" s="1171"/>
      <c r="R31" s="1171"/>
      <c r="S31" s="1171"/>
      <c r="T31" s="1171"/>
      <c r="U31" s="1172"/>
      <c r="V31" s="1170"/>
      <c r="W31" s="1171"/>
      <c r="X31" s="1171"/>
      <c r="Y31" s="1171"/>
      <c r="Z31" s="1171"/>
      <c r="AA31" s="1172"/>
      <c r="AB31" s="1154"/>
      <c r="AC31" s="1150"/>
      <c r="AD31" s="1150"/>
      <c r="AE31" s="1150"/>
      <c r="AF31" s="1150"/>
      <c r="AG31" s="1151"/>
      <c r="AH31" s="1161"/>
      <c r="AI31" s="1162"/>
      <c r="AJ31" s="1162"/>
      <c r="AK31" s="1162"/>
      <c r="AL31" s="1162"/>
      <c r="AM31" s="1163"/>
      <c r="AN31" s="83"/>
      <c r="AO31" s="1135"/>
      <c r="AP31" s="1136"/>
      <c r="AQ31" s="1136"/>
      <c r="AR31" s="1136"/>
      <c r="AS31" s="1136"/>
      <c r="AT31" s="1137"/>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row>
    <row r="32" spans="1:80" x14ac:dyDescent="0.25">
      <c r="A32" s="83"/>
      <c r="B32" s="1103"/>
      <c r="C32" s="1103"/>
      <c r="D32" s="1104"/>
      <c r="E32" s="1144"/>
      <c r="F32" s="1145"/>
      <c r="G32" s="1145"/>
      <c r="H32" s="1145"/>
      <c r="I32" s="1145"/>
      <c r="J32" s="1181" t="str">
        <f ca="1">IF(AND('Riesgos de gestión'!$H$28="Baja",'Riesgos de gestión'!$L$28="Leve"),CONCATENATE("R",'Riesgos de gestión'!$A$28),"")</f>
        <v/>
      </c>
      <c r="K32" s="1179"/>
      <c r="L32" s="1179" t="str">
        <f ca="1">IF(AND('Riesgos de gestión'!$H$34="Baja",'Riesgos de gestión'!$L$34="Leve"),CONCATENATE("R",'Riesgos de gestión'!$A$34),"")</f>
        <v/>
      </c>
      <c r="M32" s="1179"/>
      <c r="N32" s="1179" t="str">
        <f ca="1">IF(AND('Riesgos de gestión'!$H$40="Baja",'Riesgos de gestión'!$L$40="Leve"),CONCATENATE("R",'Riesgos de gestión'!$A$40),"")</f>
        <v/>
      </c>
      <c r="O32" s="1180"/>
      <c r="P32" s="1171" t="str">
        <f ca="1">IF(AND('Riesgos de gestión'!$H$28="Baja",'Riesgos de gestión'!$L$28="Menor"),CONCATENATE("R",'Riesgos de gestión'!$A$28),"")</f>
        <v/>
      </c>
      <c r="Q32" s="1171"/>
      <c r="R32" s="1171" t="str">
        <f ca="1">IF(AND('Riesgos de gestión'!$H$34="Baja",'Riesgos de gestión'!$L$34="Menor"),CONCATENATE("R",'Riesgos de gestión'!$A$34),"")</f>
        <v/>
      </c>
      <c r="S32" s="1171"/>
      <c r="T32" s="1171" t="str">
        <f ca="1">IF(AND('Riesgos de gestión'!$H$40="Baja",'Riesgos de gestión'!$L$40="Menor"),CONCATENATE("R",'Riesgos de gestión'!$A$40),"")</f>
        <v/>
      </c>
      <c r="U32" s="1172"/>
      <c r="V32" s="1170" t="str">
        <f ca="1">IF(AND('Riesgos de gestión'!$H$28="Baja",'Riesgos de gestión'!$L$28="Moderado"),CONCATENATE("R",'Riesgos de gestión'!$A$28),"")</f>
        <v/>
      </c>
      <c r="W32" s="1171"/>
      <c r="X32" s="1171" t="str">
        <f ca="1">IF(AND('Riesgos de gestión'!$H$34="Baja",'Riesgos de gestión'!$L$34="Moderado"),CONCATENATE("R",'Riesgos de gestión'!$A$34),"")</f>
        <v/>
      </c>
      <c r="Y32" s="1171"/>
      <c r="Z32" s="1171" t="str">
        <f ca="1">IF(AND('Riesgos de gestión'!$H$40="Baja",'Riesgos de gestión'!$L$40="Moderado"),CONCATENATE("R",'Riesgos de gestión'!$A$40),"")</f>
        <v/>
      </c>
      <c r="AA32" s="1172"/>
      <c r="AB32" s="1154" t="str">
        <f ca="1">IF(AND('Riesgos de gestión'!$H$28="Baja",'Riesgos de gestión'!$L$28="Mayor"),CONCATENATE("R",'Riesgos de gestión'!$A$28),"")</f>
        <v/>
      </c>
      <c r="AC32" s="1150"/>
      <c r="AD32" s="1150" t="str">
        <f ca="1">IF(AND('Riesgos de gestión'!$H$34="Baja",'Riesgos de gestión'!$L$34="Mayor"),CONCATENATE("R",'Riesgos de gestión'!$A$34),"")</f>
        <v/>
      </c>
      <c r="AE32" s="1150"/>
      <c r="AF32" s="1150" t="str">
        <f ca="1">IF(AND('Riesgos de gestión'!$H$40="Baja",'Riesgos de gestión'!$L$40="Mayor"),CONCATENATE("R",'Riesgos de gestión'!$A$40),"")</f>
        <v/>
      </c>
      <c r="AG32" s="1151"/>
      <c r="AH32" s="1161" t="str">
        <f ca="1">IF(AND('Riesgos de gestión'!$H$28="Baja",'Riesgos de gestión'!$L$28="Catastrófico"),CONCATENATE("R",'Riesgos de gestión'!$A$28),"")</f>
        <v/>
      </c>
      <c r="AI32" s="1162"/>
      <c r="AJ32" s="1162" t="str">
        <f ca="1">IF(AND('Riesgos de gestión'!$H$34="Baja",'Riesgos de gestión'!$L$34="Catastrófico"),CONCATENATE("R",'Riesgos de gestión'!$A$34),"")</f>
        <v/>
      </c>
      <c r="AK32" s="1162"/>
      <c r="AL32" s="1162" t="str">
        <f ca="1">IF(AND('Riesgos de gestión'!$H$40="Baja",'Riesgos de gestión'!$L$40="Catastrófico"),CONCATENATE("R",'Riesgos de gestión'!$A$40),"")</f>
        <v/>
      </c>
      <c r="AM32" s="1163"/>
      <c r="AN32" s="83"/>
      <c r="AO32" s="1135"/>
      <c r="AP32" s="1136"/>
      <c r="AQ32" s="1136"/>
      <c r="AR32" s="1136"/>
      <c r="AS32" s="1136"/>
      <c r="AT32" s="1137"/>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row>
    <row r="33" spans="1:80" x14ac:dyDescent="0.25">
      <c r="A33" s="83"/>
      <c r="B33" s="1103"/>
      <c r="C33" s="1103"/>
      <c r="D33" s="1104"/>
      <c r="E33" s="1144"/>
      <c r="F33" s="1145"/>
      <c r="G33" s="1145"/>
      <c r="H33" s="1145"/>
      <c r="I33" s="1145"/>
      <c r="J33" s="1181"/>
      <c r="K33" s="1179"/>
      <c r="L33" s="1179"/>
      <c r="M33" s="1179"/>
      <c r="N33" s="1179"/>
      <c r="O33" s="1180"/>
      <c r="P33" s="1171"/>
      <c r="Q33" s="1171"/>
      <c r="R33" s="1171"/>
      <c r="S33" s="1171"/>
      <c r="T33" s="1171"/>
      <c r="U33" s="1172"/>
      <c r="V33" s="1170"/>
      <c r="W33" s="1171"/>
      <c r="X33" s="1171"/>
      <c r="Y33" s="1171"/>
      <c r="Z33" s="1171"/>
      <c r="AA33" s="1172"/>
      <c r="AB33" s="1154"/>
      <c r="AC33" s="1150"/>
      <c r="AD33" s="1150"/>
      <c r="AE33" s="1150"/>
      <c r="AF33" s="1150"/>
      <c r="AG33" s="1151"/>
      <c r="AH33" s="1161"/>
      <c r="AI33" s="1162"/>
      <c r="AJ33" s="1162"/>
      <c r="AK33" s="1162"/>
      <c r="AL33" s="1162"/>
      <c r="AM33" s="1163"/>
      <c r="AN33" s="83"/>
      <c r="AO33" s="1135"/>
      <c r="AP33" s="1136"/>
      <c r="AQ33" s="1136"/>
      <c r="AR33" s="1136"/>
      <c r="AS33" s="1136"/>
      <c r="AT33" s="1137"/>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row>
    <row r="34" spans="1:80" x14ac:dyDescent="0.25">
      <c r="A34" s="83"/>
      <c r="B34" s="1103"/>
      <c r="C34" s="1103"/>
      <c r="D34" s="1104"/>
      <c r="E34" s="1144"/>
      <c r="F34" s="1145"/>
      <c r="G34" s="1145"/>
      <c r="H34" s="1145"/>
      <c r="I34" s="1145"/>
      <c r="J34" s="1181" t="str">
        <f ca="1">IF(AND('Riesgos de gestión'!$H$46="Baja",'Riesgos de gestión'!$L$46="Leve"),CONCATENATE("R",'Riesgos de gestión'!$A$46),"")</f>
        <v/>
      </c>
      <c r="K34" s="1179"/>
      <c r="L34" s="1179" t="str">
        <f ca="1">IF(AND('Riesgos de gestión'!$H$52="Baja",'Riesgos de gestión'!$L$52="Leve"),CONCATENATE("R",'Riesgos de gestión'!$A$52),"")</f>
        <v/>
      </c>
      <c r="M34" s="1179"/>
      <c r="N34" s="1179" t="str">
        <f ca="1">IF(AND('Riesgos de gestión'!$H$58="Baja",'Riesgos de gestión'!$L$58="Leve"),CONCATENATE("R",'Riesgos de gestión'!$A$58),"")</f>
        <v/>
      </c>
      <c r="O34" s="1180"/>
      <c r="P34" s="1171" t="str">
        <f ca="1">IF(AND('Riesgos de gestión'!$H$46="Baja",'Riesgos de gestión'!$L$46="Menor"),CONCATENATE("R",'Riesgos de gestión'!$A$46),"")</f>
        <v/>
      </c>
      <c r="Q34" s="1171"/>
      <c r="R34" s="1171" t="str">
        <f ca="1">IF(AND('Riesgos de gestión'!$H$52="Baja",'Riesgos de gestión'!$L$52="Menor"),CONCATENATE("R",'Riesgos de gestión'!$A$52),"")</f>
        <v/>
      </c>
      <c r="S34" s="1171"/>
      <c r="T34" s="1171" t="str">
        <f ca="1">IF(AND('Riesgos de gestión'!$H$58="Baja",'Riesgos de gestión'!$L$58="Menor"),CONCATENATE("R",'Riesgos de gestión'!$A$58),"")</f>
        <v/>
      </c>
      <c r="U34" s="1172"/>
      <c r="V34" s="1170" t="str">
        <f ca="1">IF(AND('Riesgos de gestión'!$H$46="Baja",'Riesgos de gestión'!$L$46="Moderado"),CONCATENATE("R",'Riesgos de gestión'!$A$46),"")</f>
        <v/>
      </c>
      <c r="W34" s="1171"/>
      <c r="X34" s="1171" t="str">
        <f ca="1">IF(AND('Riesgos de gestión'!$H$52="Baja",'Riesgos de gestión'!$L$52="Moderado"),CONCATENATE("R",'Riesgos de gestión'!$A$52),"")</f>
        <v/>
      </c>
      <c r="Y34" s="1171"/>
      <c r="Z34" s="1171" t="str">
        <f ca="1">IF(AND('Riesgos de gestión'!$H$58="Baja",'Riesgos de gestión'!$L$58="Moderado"),CONCATENATE("R",'Riesgos de gestión'!$A$58),"")</f>
        <v/>
      </c>
      <c r="AA34" s="1172"/>
      <c r="AB34" s="1154" t="str">
        <f ca="1">IF(AND('Riesgos de gestión'!$H$46="Baja",'Riesgos de gestión'!$L$46="Mayor"),CONCATENATE("R",'Riesgos de gestión'!$A$46),"")</f>
        <v/>
      </c>
      <c r="AC34" s="1150"/>
      <c r="AD34" s="1150" t="str">
        <f ca="1">IF(AND('Riesgos de gestión'!$H$52="Baja",'Riesgos de gestión'!$L$52="Mayor"),CONCATENATE("R",'Riesgos de gestión'!$A$52),"")</f>
        <v/>
      </c>
      <c r="AE34" s="1150"/>
      <c r="AF34" s="1150" t="str">
        <f ca="1">IF(AND('Riesgos de gestión'!$H$58="Baja",'Riesgos de gestión'!$L$58="Mayor"),CONCATENATE("R",'Riesgos de gestión'!$A$58),"")</f>
        <v/>
      </c>
      <c r="AG34" s="1151"/>
      <c r="AH34" s="1161" t="str">
        <f ca="1">IF(AND('Riesgos de gestión'!$H$46="Baja",'Riesgos de gestión'!$L$46="Catastrófico"),CONCATENATE("R",'Riesgos de gestión'!$A$46),"")</f>
        <v/>
      </c>
      <c r="AI34" s="1162"/>
      <c r="AJ34" s="1162" t="str">
        <f ca="1">IF(AND('Riesgos de gestión'!$H$52="Baja",'Riesgos de gestión'!$L$52="Catastrófico"),CONCATENATE("R",'Riesgos de gestión'!$A$52),"")</f>
        <v/>
      </c>
      <c r="AK34" s="1162"/>
      <c r="AL34" s="1162" t="str">
        <f ca="1">IF(AND('Riesgos de gestión'!$H$58="Baja",'Riesgos de gestión'!$L$58="Catastrófico"),CONCATENATE("R",'Riesgos de gestión'!$A$58),"")</f>
        <v/>
      </c>
      <c r="AM34" s="1163"/>
      <c r="AN34" s="83"/>
      <c r="AO34" s="1135"/>
      <c r="AP34" s="1136"/>
      <c r="AQ34" s="1136"/>
      <c r="AR34" s="1136"/>
      <c r="AS34" s="1136"/>
      <c r="AT34" s="1137"/>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row>
    <row r="35" spans="1:80" x14ac:dyDescent="0.25">
      <c r="A35" s="83"/>
      <c r="B35" s="1103"/>
      <c r="C35" s="1103"/>
      <c r="D35" s="1104"/>
      <c r="E35" s="1144"/>
      <c r="F35" s="1145"/>
      <c r="G35" s="1145"/>
      <c r="H35" s="1145"/>
      <c r="I35" s="1145"/>
      <c r="J35" s="1181"/>
      <c r="K35" s="1179"/>
      <c r="L35" s="1179"/>
      <c r="M35" s="1179"/>
      <c r="N35" s="1179"/>
      <c r="O35" s="1180"/>
      <c r="P35" s="1171"/>
      <c r="Q35" s="1171"/>
      <c r="R35" s="1171"/>
      <c r="S35" s="1171"/>
      <c r="T35" s="1171"/>
      <c r="U35" s="1172"/>
      <c r="V35" s="1170"/>
      <c r="W35" s="1171"/>
      <c r="X35" s="1171"/>
      <c r="Y35" s="1171"/>
      <c r="Z35" s="1171"/>
      <c r="AA35" s="1172"/>
      <c r="AB35" s="1154"/>
      <c r="AC35" s="1150"/>
      <c r="AD35" s="1150"/>
      <c r="AE35" s="1150"/>
      <c r="AF35" s="1150"/>
      <c r="AG35" s="1151"/>
      <c r="AH35" s="1161"/>
      <c r="AI35" s="1162"/>
      <c r="AJ35" s="1162"/>
      <c r="AK35" s="1162"/>
      <c r="AL35" s="1162"/>
      <c r="AM35" s="1163"/>
      <c r="AN35" s="83"/>
      <c r="AO35" s="1135"/>
      <c r="AP35" s="1136"/>
      <c r="AQ35" s="1136"/>
      <c r="AR35" s="1136"/>
      <c r="AS35" s="1136"/>
      <c r="AT35" s="1137"/>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row>
    <row r="36" spans="1:80" x14ac:dyDescent="0.25">
      <c r="A36" s="83"/>
      <c r="B36" s="1103"/>
      <c r="C36" s="1103"/>
      <c r="D36" s="1104"/>
      <c r="E36" s="1144"/>
      <c r="F36" s="1145"/>
      <c r="G36" s="1145"/>
      <c r="H36" s="1145"/>
      <c r="I36" s="1145"/>
      <c r="J36" s="1181" t="str">
        <f ca="1">IF(AND('Riesgos de gestión'!$H$64="Baja",'Riesgos de gestión'!$L$64="Leve"),CONCATENATE("R",'Riesgos de gestión'!$A$64),"")</f>
        <v/>
      </c>
      <c r="K36" s="1179"/>
      <c r="L36" s="1179" t="str">
        <f>IF(AND('Riesgos de gestión'!$H$70="Baja",'Riesgos de gestión'!$L$70="Leve"),CONCATENATE("R",'Riesgos de gestión'!$A$70),"")</f>
        <v/>
      </c>
      <c r="M36" s="1179"/>
      <c r="N36" s="1179" t="str">
        <f>IF(AND('Riesgos de gestión'!$H$76="Baja",'Riesgos de gestión'!$L$76="Leve"),CONCATENATE("R",'Riesgos de gestión'!$A$76),"")</f>
        <v/>
      </c>
      <c r="O36" s="1180"/>
      <c r="P36" s="1171" t="str">
        <f ca="1">IF(AND('Riesgos de gestión'!$H$64="Baja",'Riesgos de gestión'!$L$64="Menor"),CONCATENATE("R",'Riesgos de gestión'!$A$64),"")</f>
        <v/>
      </c>
      <c r="Q36" s="1171"/>
      <c r="R36" s="1171" t="str">
        <f>IF(AND('Riesgos de gestión'!$H$70="Baja",'Riesgos de gestión'!$L$70="Menor"),CONCATENATE("R",'Riesgos de gestión'!$A$70),"")</f>
        <v/>
      </c>
      <c r="S36" s="1171"/>
      <c r="T36" s="1171" t="str">
        <f>IF(AND('Riesgos de gestión'!$H$76="Baja",'Riesgos de gestión'!$L$76="Menor"),CONCATENATE("R",'Riesgos de gestión'!$A$76),"")</f>
        <v/>
      </c>
      <c r="U36" s="1172"/>
      <c r="V36" s="1170" t="str">
        <f ca="1">IF(AND('Riesgos de gestión'!$H$64="Baja",'Riesgos de gestión'!$L$64="Moderado"),CONCATENATE("R",'Riesgos de gestión'!$A$64),"")</f>
        <v/>
      </c>
      <c r="W36" s="1171"/>
      <c r="X36" s="1171" t="str">
        <f>IF(AND('Riesgos de gestión'!$H$70="Baja",'Riesgos de gestión'!$L$70="Moderado"),CONCATENATE("R",'Riesgos de gestión'!$A$70),"")</f>
        <v/>
      </c>
      <c r="Y36" s="1171"/>
      <c r="Z36" s="1171" t="str">
        <f>IF(AND('Riesgos de gestión'!$H$76="Baja",'Riesgos de gestión'!$L$76="Moderado"),CONCATENATE("R",'Riesgos de gestión'!$A$76),"")</f>
        <v/>
      </c>
      <c r="AA36" s="1172"/>
      <c r="AB36" s="1154" t="str">
        <f ca="1">IF(AND('Riesgos de gestión'!$H$64="Baja",'Riesgos de gestión'!$L$64="Mayor"),CONCATENATE("R",'Riesgos de gestión'!$A$64),"")</f>
        <v/>
      </c>
      <c r="AC36" s="1150"/>
      <c r="AD36" s="1150" t="str">
        <f>IF(AND('Riesgos de gestión'!$H$70="Baja",'Riesgos de gestión'!$L$70="Mayor"),CONCATENATE("R",'Riesgos de gestión'!$A$70),"")</f>
        <v/>
      </c>
      <c r="AE36" s="1150"/>
      <c r="AF36" s="1150" t="str">
        <f>IF(AND('Riesgos de gestión'!$H$76="Baja",'Riesgos de gestión'!$L$76="Mayor"),CONCATENATE("R",'Riesgos de gestión'!$A$76),"")</f>
        <v/>
      </c>
      <c r="AG36" s="1151"/>
      <c r="AH36" s="1161" t="str">
        <f ca="1">IF(AND('Riesgos de gestión'!$H$64="Baja",'Riesgos de gestión'!$L$64="Catastrófico"),CONCATENATE("R",'Riesgos de gestión'!$A$64),"")</f>
        <v/>
      </c>
      <c r="AI36" s="1162"/>
      <c r="AJ36" s="1162" t="str">
        <f>IF(AND('Riesgos de gestión'!$H$70="Baja",'Riesgos de gestión'!$L$70="Catastrófico"),CONCATENATE("R",'Riesgos de gestión'!$A$70),"")</f>
        <v/>
      </c>
      <c r="AK36" s="1162"/>
      <c r="AL36" s="1162" t="str">
        <f>IF(AND('Riesgos de gestión'!$H$76="Baja",'Riesgos de gestión'!$L$76="Catastrófico"),CONCATENATE("R",'Riesgos de gestión'!$A$76),"")</f>
        <v/>
      </c>
      <c r="AM36" s="1163"/>
      <c r="AN36" s="83"/>
      <c r="AO36" s="1135"/>
      <c r="AP36" s="1136"/>
      <c r="AQ36" s="1136"/>
      <c r="AR36" s="1136"/>
      <c r="AS36" s="1136"/>
      <c r="AT36" s="1137"/>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row>
    <row r="37" spans="1:80" ht="15.75" thickBot="1" x14ac:dyDescent="0.3">
      <c r="A37" s="83"/>
      <c r="B37" s="1103"/>
      <c r="C37" s="1103"/>
      <c r="D37" s="1104"/>
      <c r="E37" s="1147"/>
      <c r="F37" s="1148"/>
      <c r="G37" s="1148"/>
      <c r="H37" s="1148"/>
      <c r="I37" s="1148"/>
      <c r="J37" s="1182"/>
      <c r="K37" s="1183"/>
      <c r="L37" s="1183"/>
      <c r="M37" s="1183"/>
      <c r="N37" s="1183"/>
      <c r="O37" s="1184"/>
      <c r="P37" s="1174"/>
      <c r="Q37" s="1174"/>
      <c r="R37" s="1174"/>
      <c r="S37" s="1174"/>
      <c r="T37" s="1174"/>
      <c r="U37" s="1175"/>
      <c r="V37" s="1173"/>
      <c r="W37" s="1174"/>
      <c r="X37" s="1174"/>
      <c r="Y37" s="1174"/>
      <c r="Z37" s="1174"/>
      <c r="AA37" s="1175"/>
      <c r="AB37" s="1158"/>
      <c r="AC37" s="1159"/>
      <c r="AD37" s="1159"/>
      <c r="AE37" s="1159"/>
      <c r="AF37" s="1159"/>
      <c r="AG37" s="1160"/>
      <c r="AH37" s="1164"/>
      <c r="AI37" s="1165"/>
      <c r="AJ37" s="1165"/>
      <c r="AK37" s="1165"/>
      <c r="AL37" s="1165"/>
      <c r="AM37" s="1166"/>
      <c r="AN37" s="83"/>
      <c r="AO37" s="1138"/>
      <c r="AP37" s="1139"/>
      <c r="AQ37" s="1139"/>
      <c r="AR37" s="1139"/>
      <c r="AS37" s="1139"/>
      <c r="AT37" s="1140"/>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row>
    <row r="38" spans="1:80" x14ac:dyDescent="0.25">
      <c r="A38" s="83"/>
      <c r="B38" s="1103"/>
      <c r="C38" s="1103"/>
      <c r="D38" s="1104"/>
      <c r="E38" s="1141" t="s">
        <v>113</v>
      </c>
      <c r="F38" s="1142"/>
      <c r="G38" s="1142"/>
      <c r="H38" s="1142"/>
      <c r="I38" s="1143"/>
      <c r="J38" s="1185" t="str">
        <f ca="1">IF(AND('Riesgos de gestión'!$H$10="Muy Baja",'Riesgos de gestión'!$L$10="Leve"),CONCATENATE("R",'Riesgos de gestión'!$A$10),"")</f>
        <v/>
      </c>
      <c r="K38" s="1186"/>
      <c r="L38" s="1186" t="str">
        <f ca="1">IF(AND('Riesgos de gestión'!$H$16="Muy Baja",'Riesgos de gestión'!$L$16="Leve"),CONCATENATE("R",'Riesgos de gestión'!$A$16),"")</f>
        <v/>
      </c>
      <c r="M38" s="1186"/>
      <c r="N38" s="1186" t="str">
        <f ca="1">IF(AND('Riesgos de gestión'!$H$22="Muy Baja",'Riesgos de gestión'!$L$22="Leve"),CONCATENATE("R",'Riesgos de gestión'!$A$22),"")</f>
        <v/>
      </c>
      <c r="O38" s="1187"/>
      <c r="P38" s="1185" t="str">
        <f ca="1">IF(AND('Riesgos de gestión'!$H$10="Muy Baja",'Riesgos de gestión'!$L$10="Menor"),CONCATENATE("R",'Riesgos de gestión'!$A$10),"")</f>
        <v/>
      </c>
      <c r="Q38" s="1186"/>
      <c r="R38" s="1186" t="str">
        <f ca="1">IF(AND('Riesgos de gestión'!$H$16="Muy Baja",'Riesgos de gestión'!$L$16="Menor"),CONCATENATE("R",'Riesgos de gestión'!$A$16),"")</f>
        <v/>
      </c>
      <c r="S38" s="1186"/>
      <c r="T38" s="1186" t="str">
        <f ca="1">IF(AND('Riesgos de gestión'!$H$22="Muy Baja",'Riesgos de gestión'!$L$22="Menor"),CONCATENATE("R",'Riesgos de gestión'!$A$22),"")</f>
        <v/>
      </c>
      <c r="U38" s="1187"/>
      <c r="V38" s="1176" t="str">
        <f ca="1">IF(AND('Riesgos de gestión'!$H$10="Muy Baja",'Riesgos de gestión'!$L$10="Moderado"),CONCATENATE("R",'Riesgos de gestión'!$A$10),"")</f>
        <v/>
      </c>
      <c r="W38" s="1177"/>
      <c r="X38" s="1177" t="str">
        <f ca="1">IF(AND('Riesgos de gestión'!$H$16="Muy Baja",'Riesgos de gestión'!$L$16="Moderado"),CONCATENATE("R",'Riesgos de gestión'!$A$16),"")</f>
        <v/>
      </c>
      <c r="Y38" s="1177"/>
      <c r="Z38" s="1177" t="str">
        <f ca="1">IF(AND('Riesgos de gestión'!$H$22="Muy Baja",'Riesgos de gestión'!$L$22="Moderado"),CONCATENATE("R",'Riesgos de gestión'!$A$22),"")</f>
        <v/>
      </c>
      <c r="AA38" s="1178"/>
      <c r="AB38" s="1152" t="str">
        <f ca="1">IF(AND('Riesgos de gestión'!$H$10="Muy Baja",'Riesgos de gestión'!$L$10="Mayor"),CONCATENATE("R",'Riesgos de gestión'!$A$10),"")</f>
        <v/>
      </c>
      <c r="AC38" s="1153"/>
      <c r="AD38" s="1153" t="str">
        <f ca="1">IF(AND('Riesgos de gestión'!$H$16="Muy Baja",'Riesgos de gestión'!$L$16="Mayor"),CONCATENATE("R",'Riesgos de gestión'!$A$16),"")</f>
        <v/>
      </c>
      <c r="AE38" s="1153"/>
      <c r="AF38" s="1153" t="str">
        <f ca="1">IF(AND('Riesgos de gestión'!$H$22="Muy Baja",'Riesgos de gestión'!$L$22="Mayor"),CONCATENATE("R",'Riesgos de gestión'!$A$22),"")</f>
        <v/>
      </c>
      <c r="AG38" s="1155"/>
      <c r="AH38" s="1167" t="str">
        <f ca="1">IF(AND('Riesgos de gestión'!$H$10="Muy Baja",'Riesgos de gestión'!$L$10="Catastrófico"),CONCATENATE("R",'Riesgos de gestión'!$A$10),"")</f>
        <v>R1</v>
      </c>
      <c r="AI38" s="1168"/>
      <c r="AJ38" s="1168" t="str">
        <f ca="1">IF(AND('Riesgos de gestión'!$H$16="Muy Baja",'Riesgos de gestión'!$L$16="Catastrófico"),CONCATENATE("R",'Riesgos de gestión'!$A$16),"")</f>
        <v/>
      </c>
      <c r="AK38" s="1168"/>
      <c r="AL38" s="1168" t="str">
        <f ca="1">IF(AND('Riesgos de gestión'!$H$22="Muy Baja",'Riesgos de gestión'!$L$22="Catastrófico"),CONCATENATE("R",'Riesgos de gestión'!$A$22),"")</f>
        <v/>
      </c>
      <c r="AM38" s="1169"/>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row>
    <row r="39" spans="1:80" x14ac:dyDescent="0.25">
      <c r="A39" s="83"/>
      <c r="B39" s="1103"/>
      <c r="C39" s="1103"/>
      <c r="D39" s="1104"/>
      <c r="E39" s="1144"/>
      <c r="F39" s="1145"/>
      <c r="G39" s="1145"/>
      <c r="H39" s="1145"/>
      <c r="I39" s="1146"/>
      <c r="J39" s="1181"/>
      <c r="K39" s="1179"/>
      <c r="L39" s="1179"/>
      <c r="M39" s="1179"/>
      <c r="N39" s="1179"/>
      <c r="O39" s="1180"/>
      <c r="P39" s="1181"/>
      <c r="Q39" s="1179"/>
      <c r="R39" s="1179"/>
      <c r="S39" s="1179"/>
      <c r="T39" s="1179"/>
      <c r="U39" s="1180"/>
      <c r="V39" s="1170"/>
      <c r="W39" s="1171"/>
      <c r="X39" s="1171"/>
      <c r="Y39" s="1171"/>
      <c r="Z39" s="1171"/>
      <c r="AA39" s="1172"/>
      <c r="AB39" s="1154"/>
      <c r="AC39" s="1150"/>
      <c r="AD39" s="1150"/>
      <c r="AE39" s="1150"/>
      <c r="AF39" s="1150"/>
      <c r="AG39" s="1151"/>
      <c r="AH39" s="1161"/>
      <c r="AI39" s="1162"/>
      <c r="AJ39" s="1162"/>
      <c r="AK39" s="1162"/>
      <c r="AL39" s="1162"/>
      <c r="AM39" s="116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row>
    <row r="40" spans="1:80" x14ac:dyDescent="0.25">
      <c r="A40" s="83"/>
      <c r="B40" s="1103"/>
      <c r="C40" s="1103"/>
      <c r="D40" s="1104"/>
      <c r="E40" s="1144"/>
      <c r="F40" s="1145"/>
      <c r="G40" s="1145"/>
      <c r="H40" s="1145"/>
      <c r="I40" s="1146"/>
      <c r="J40" s="1181" t="str">
        <f ca="1">IF(AND('Riesgos de gestión'!$H$28="Muy Baja",'Riesgos de gestión'!$L$28="Leve"),CONCATENATE("R",'Riesgos de gestión'!$A$28),"")</f>
        <v/>
      </c>
      <c r="K40" s="1179"/>
      <c r="L40" s="1179" t="str">
        <f ca="1">IF(AND('Riesgos de gestión'!$H$34="Muy Baja",'Riesgos de gestión'!$L$34="Leve"),CONCATENATE("R",'Riesgos de gestión'!$A$34),"")</f>
        <v/>
      </c>
      <c r="M40" s="1179"/>
      <c r="N40" s="1179" t="str">
        <f ca="1">IF(AND('Riesgos de gestión'!$H$40="Muy Baja",'Riesgos de gestión'!$L$40="Leve"),CONCATENATE("R",'Riesgos de gestión'!$A$40),"")</f>
        <v/>
      </c>
      <c r="O40" s="1180"/>
      <c r="P40" s="1181" t="str">
        <f ca="1">IF(AND('Riesgos de gestión'!$H$28="Muy Baja",'Riesgos de gestión'!$L$28="Menor"),CONCATENATE("R",'Riesgos de gestión'!$A$28),"")</f>
        <v/>
      </c>
      <c r="Q40" s="1179"/>
      <c r="R40" s="1179" t="str">
        <f ca="1">IF(AND('Riesgos de gestión'!$H$34="Muy Baja",'Riesgos de gestión'!$L$34="Menor"),CONCATENATE("R",'Riesgos de gestión'!$A$34),"")</f>
        <v/>
      </c>
      <c r="S40" s="1179"/>
      <c r="T40" s="1179" t="str">
        <f ca="1">IF(AND('Riesgos de gestión'!$H$40="Muy Baja",'Riesgos de gestión'!$L$40="Menor"),CONCATENATE("R",'Riesgos de gestión'!$A$40),"")</f>
        <v/>
      </c>
      <c r="U40" s="1180"/>
      <c r="V40" s="1170" t="str">
        <f ca="1">IF(AND('Riesgos de gestión'!$H$28="Muy Baja",'Riesgos de gestión'!$L$28="Moderado"),CONCATENATE("R",'Riesgos de gestión'!$A$28),"")</f>
        <v/>
      </c>
      <c r="W40" s="1171"/>
      <c r="X40" s="1171" t="str">
        <f ca="1">IF(AND('Riesgos de gestión'!$H$34="Muy Baja",'Riesgos de gestión'!$L$34="Moderado"),CONCATENATE("R",'Riesgos de gestión'!$A$34),"")</f>
        <v/>
      </c>
      <c r="Y40" s="1171"/>
      <c r="Z40" s="1171" t="str">
        <f ca="1">IF(AND('Riesgos de gestión'!$H$40="Muy Baja",'Riesgos de gestión'!$L$40="Moderado"),CONCATENATE("R",'Riesgos de gestión'!$A$40),"")</f>
        <v/>
      </c>
      <c r="AA40" s="1172"/>
      <c r="AB40" s="1154" t="str">
        <f ca="1">IF(AND('Riesgos de gestión'!$H$28="Muy Baja",'Riesgos de gestión'!$L$28="Mayor"),CONCATENATE("R",'Riesgos de gestión'!$A$28),"")</f>
        <v/>
      </c>
      <c r="AC40" s="1150"/>
      <c r="AD40" s="1150" t="str">
        <f ca="1">IF(AND('Riesgos de gestión'!$H$34="Muy Baja",'Riesgos de gestión'!$L$34="Mayor"),CONCATENATE("R",'Riesgos de gestión'!$A$34),"")</f>
        <v/>
      </c>
      <c r="AE40" s="1150"/>
      <c r="AF40" s="1150" t="str">
        <f ca="1">IF(AND('Riesgos de gestión'!$H$40="Muy Baja",'Riesgos de gestión'!$L$40="Mayor"),CONCATENATE("R",'Riesgos de gestión'!$A$40),"")</f>
        <v/>
      </c>
      <c r="AG40" s="1151"/>
      <c r="AH40" s="1161" t="str">
        <f ca="1">IF(AND('Riesgos de gestión'!$H$28="Muy Baja",'Riesgos de gestión'!$L$28="Catastrófico"),CONCATENATE("R",'Riesgos de gestión'!$A$28),"")</f>
        <v/>
      </c>
      <c r="AI40" s="1162"/>
      <c r="AJ40" s="1162" t="str">
        <f ca="1">IF(AND('Riesgos de gestión'!$H$34="Muy Baja",'Riesgos de gestión'!$L$34="Catastrófico"),CONCATENATE("R",'Riesgos de gestión'!$A$34),"")</f>
        <v/>
      </c>
      <c r="AK40" s="1162"/>
      <c r="AL40" s="1162" t="str">
        <f ca="1">IF(AND('Riesgos de gestión'!$H$40="Muy Baja",'Riesgos de gestión'!$L$40="Catastrófico"),CONCATENATE("R",'Riesgos de gestión'!$A$40),"")</f>
        <v/>
      </c>
      <c r="AM40" s="116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row>
    <row r="41" spans="1:80" x14ac:dyDescent="0.25">
      <c r="A41" s="83"/>
      <c r="B41" s="1103"/>
      <c r="C41" s="1103"/>
      <c r="D41" s="1104"/>
      <c r="E41" s="1144"/>
      <c r="F41" s="1145"/>
      <c r="G41" s="1145"/>
      <c r="H41" s="1145"/>
      <c r="I41" s="1146"/>
      <c r="J41" s="1181"/>
      <c r="K41" s="1179"/>
      <c r="L41" s="1179"/>
      <c r="M41" s="1179"/>
      <c r="N41" s="1179"/>
      <c r="O41" s="1180"/>
      <c r="P41" s="1181"/>
      <c r="Q41" s="1179"/>
      <c r="R41" s="1179"/>
      <c r="S41" s="1179"/>
      <c r="T41" s="1179"/>
      <c r="U41" s="1180"/>
      <c r="V41" s="1170"/>
      <c r="W41" s="1171"/>
      <c r="X41" s="1171"/>
      <c r="Y41" s="1171"/>
      <c r="Z41" s="1171"/>
      <c r="AA41" s="1172"/>
      <c r="AB41" s="1154"/>
      <c r="AC41" s="1150"/>
      <c r="AD41" s="1150"/>
      <c r="AE41" s="1150"/>
      <c r="AF41" s="1150"/>
      <c r="AG41" s="1151"/>
      <c r="AH41" s="1161"/>
      <c r="AI41" s="1162"/>
      <c r="AJ41" s="1162"/>
      <c r="AK41" s="1162"/>
      <c r="AL41" s="1162"/>
      <c r="AM41" s="116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row>
    <row r="42" spans="1:80" x14ac:dyDescent="0.25">
      <c r="A42" s="83"/>
      <c r="B42" s="1103"/>
      <c r="C42" s="1103"/>
      <c r="D42" s="1104"/>
      <c r="E42" s="1144"/>
      <c r="F42" s="1145"/>
      <c r="G42" s="1145"/>
      <c r="H42" s="1145"/>
      <c r="I42" s="1146"/>
      <c r="J42" s="1181" t="str">
        <f ca="1">IF(AND('Riesgos de gestión'!$H$46="Muy Baja",'Riesgos de gestión'!$L$46="Leve"),CONCATENATE("R",'Riesgos de gestión'!$A$46),"")</f>
        <v/>
      </c>
      <c r="K42" s="1179"/>
      <c r="L42" s="1179" t="str">
        <f ca="1">IF(AND('Riesgos de gestión'!$H$52="Muy Baja",'Riesgos de gestión'!$L$52="Leve"),CONCATENATE("R",'Riesgos de gestión'!$A$52),"")</f>
        <v/>
      </c>
      <c r="M42" s="1179"/>
      <c r="N42" s="1179" t="str">
        <f ca="1">IF(AND('Riesgos de gestión'!$H$58="Muy Baja",'Riesgos de gestión'!$L$58="Leve"),CONCATENATE("R",'Riesgos de gestión'!$A$58),"")</f>
        <v/>
      </c>
      <c r="O42" s="1180"/>
      <c r="P42" s="1181" t="str">
        <f ca="1">IF(AND('Riesgos de gestión'!$H$46="Muy Baja",'Riesgos de gestión'!$L$46="Menor"),CONCATENATE("R",'Riesgos de gestión'!$A$46),"")</f>
        <v/>
      </c>
      <c r="Q42" s="1179"/>
      <c r="R42" s="1179" t="str">
        <f ca="1">IF(AND('Riesgos de gestión'!$H$52="Muy Baja",'Riesgos de gestión'!$L$52="Menor"),CONCATENATE("R",'Riesgos de gestión'!$A$52),"")</f>
        <v/>
      </c>
      <c r="S42" s="1179"/>
      <c r="T42" s="1179" t="str">
        <f ca="1">IF(AND('Riesgos de gestión'!$H$58="Muy Baja",'Riesgos de gestión'!$L$58="Menor"),CONCATENATE("R",'Riesgos de gestión'!$A$58),"")</f>
        <v/>
      </c>
      <c r="U42" s="1180"/>
      <c r="V42" s="1170" t="str">
        <f ca="1">IF(AND('Riesgos de gestión'!$H$46="Muy Baja",'Riesgos de gestión'!$L$46="Moderado"),CONCATENATE("R",'Riesgos de gestión'!$A$46),"")</f>
        <v/>
      </c>
      <c r="W42" s="1171"/>
      <c r="X42" s="1171" t="str">
        <f ca="1">IF(AND('Riesgos de gestión'!$H$52="Muy Baja",'Riesgos de gestión'!$L$52="Moderado"),CONCATENATE("R",'Riesgos de gestión'!$A$52),"")</f>
        <v/>
      </c>
      <c r="Y42" s="1171"/>
      <c r="Z42" s="1171" t="str">
        <f ca="1">IF(AND('Riesgos de gestión'!$H$58="Muy Baja",'Riesgos de gestión'!$L$58="Moderado"),CONCATENATE("R",'Riesgos de gestión'!$A$58),"")</f>
        <v/>
      </c>
      <c r="AA42" s="1172"/>
      <c r="AB42" s="1154" t="str">
        <f ca="1">IF(AND('Riesgos de gestión'!$H$46="Muy Baja",'Riesgos de gestión'!$L$46="Mayor"),CONCATENATE("R",'Riesgos de gestión'!$A$46),"")</f>
        <v/>
      </c>
      <c r="AC42" s="1150"/>
      <c r="AD42" s="1150" t="str">
        <f ca="1">IF(AND('Riesgos de gestión'!$H$52="Muy Baja",'Riesgos de gestión'!$L$52="Mayor"),CONCATENATE("R",'Riesgos de gestión'!$A$52),"")</f>
        <v/>
      </c>
      <c r="AE42" s="1150"/>
      <c r="AF42" s="1150" t="str">
        <f ca="1">IF(AND('Riesgos de gestión'!$H$58="Muy Baja",'Riesgos de gestión'!$L$58="Mayor"),CONCATENATE("R",'Riesgos de gestión'!$A$58),"")</f>
        <v/>
      </c>
      <c r="AG42" s="1151"/>
      <c r="AH42" s="1161" t="str">
        <f ca="1">IF(AND('Riesgos de gestión'!$H$46="Muy Baja",'Riesgos de gestión'!$L$46="Catastrófico"),CONCATENATE("R",'Riesgos de gestión'!$A$46),"")</f>
        <v/>
      </c>
      <c r="AI42" s="1162"/>
      <c r="AJ42" s="1162" t="str">
        <f ca="1">IF(AND('Riesgos de gestión'!$H$52="Muy Baja",'Riesgos de gestión'!$L$52="Catastrófico"),CONCATENATE("R",'Riesgos de gestión'!$A$52),"")</f>
        <v/>
      </c>
      <c r="AK42" s="1162"/>
      <c r="AL42" s="1162" t="str">
        <f ca="1">IF(AND('Riesgos de gestión'!$H$58="Muy Baja",'Riesgos de gestión'!$L$58="Catastrófico"),CONCATENATE("R",'Riesgos de gestión'!$A$58),"")</f>
        <v/>
      </c>
      <c r="AM42" s="116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row>
    <row r="43" spans="1:80" x14ac:dyDescent="0.25">
      <c r="A43" s="83"/>
      <c r="B43" s="1103"/>
      <c r="C43" s="1103"/>
      <c r="D43" s="1104"/>
      <c r="E43" s="1144"/>
      <c r="F43" s="1145"/>
      <c r="G43" s="1145"/>
      <c r="H43" s="1145"/>
      <c r="I43" s="1146"/>
      <c r="J43" s="1181"/>
      <c r="K43" s="1179"/>
      <c r="L43" s="1179"/>
      <c r="M43" s="1179"/>
      <c r="N43" s="1179"/>
      <c r="O43" s="1180"/>
      <c r="P43" s="1181"/>
      <c r="Q43" s="1179"/>
      <c r="R43" s="1179"/>
      <c r="S43" s="1179"/>
      <c r="T43" s="1179"/>
      <c r="U43" s="1180"/>
      <c r="V43" s="1170"/>
      <c r="W43" s="1171"/>
      <c r="X43" s="1171"/>
      <c r="Y43" s="1171"/>
      <c r="Z43" s="1171"/>
      <c r="AA43" s="1172"/>
      <c r="AB43" s="1154"/>
      <c r="AC43" s="1150"/>
      <c r="AD43" s="1150"/>
      <c r="AE43" s="1150"/>
      <c r="AF43" s="1150"/>
      <c r="AG43" s="1151"/>
      <c r="AH43" s="1161"/>
      <c r="AI43" s="1162"/>
      <c r="AJ43" s="1162"/>
      <c r="AK43" s="1162"/>
      <c r="AL43" s="1162"/>
      <c r="AM43" s="116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row>
    <row r="44" spans="1:80" x14ac:dyDescent="0.25">
      <c r="A44" s="83"/>
      <c r="B44" s="1103"/>
      <c r="C44" s="1103"/>
      <c r="D44" s="1104"/>
      <c r="E44" s="1144"/>
      <c r="F44" s="1145"/>
      <c r="G44" s="1145"/>
      <c r="H44" s="1145"/>
      <c r="I44" s="1146"/>
      <c r="J44" s="1181" t="str">
        <f ca="1">IF(AND('Riesgos de gestión'!$H$64="Muy Baja",'Riesgos de gestión'!$L$64="Leve"),CONCATENATE("R",'Riesgos de gestión'!$A$64),"")</f>
        <v/>
      </c>
      <c r="K44" s="1179"/>
      <c r="L44" s="1179" t="str">
        <f>IF(AND('Riesgos de gestión'!$H$70="Muy Baja",'Riesgos de gestión'!$L$70="Leve"),CONCATENATE("R",'Riesgos de gestión'!$A$70),"")</f>
        <v/>
      </c>
      <c r="M44" s="1179"/>
      <c r="N44" s="1179" t="str">
        <f>IF(AND('Riesgos de gestión'!$H$76="Muy Baja",'Riesgos de gestión'!$L$76="Leve"),CONCATENATE("R",'Riesgos de gestión'!$A$76),"")</f>
        <v/>
      </c>
      <c r="O44" s="1180"/>
      <c r="P44" s="1181" t="str">
        <f ca="1">IF(AND('Riesgos de gestión'!$H$64="Muy Baja",'Riesgos de gestión'!$L$64="Menor"),CONCATENATE("R",'Riesgos de gestión'!$A$64),"")</f>
        <v/>
      </c>
      <c r="Q44" s="1179"/>
      <c r="R44" s="1179" t="str">
        <f>IF(AND('Riesgos de gestión'!$H$70="Muy Baja",'Riesgos de gestión'!$L$70="Menor"),CONCATENATE("R",'Riesgos de gestión'!$A$70),"")</f>
        <v/>
      </c>
      <c r="S44" s="1179"/>
      <c r="T44" s="1179" t="str">
        <f>IF(AND('Riesgos de gestión'!$H$76="Muy Baja",'Riesgos de gestión'!$L$76="Menor"),CONCATENATE("R",'Riesgos de gestión'!$A$76),"")</f>
        <v/>
      </c>
      <c r="U44" s="1180"/>
      <c r="V44" s="1170" t="str">
        <f ca="1">IF(AND('Riesgos de gestión'!$H$64="Muy Baja",'Riesgos de gestión'!$L$64="Moderado"),CONCATENATE("R",'Riesgos de gestión'!$A$64),"")</f>
        <v/>
      </c>
      <c r="W44" s="1171"/>
      <c r="X44" s="1171" t="str">
        <f>IF(AND('Riesgos de gestión'!$H$70="Muy Baja",'Riesgos de gestión'!$L$70="Moderado"),CONCATENATE("R",'Riesgos de gestión'!$A$70),"")</f>
        <v/>
      </c>
      <c r="Y44" s="1171"/>
      <c r="Z44" s="1171" t="str">
        <f>IF(AND('Riesgos de gestión'!$H$76="Muy Baja",'Riesgos de gestión'!$L$76="Moderado"),CONCATENATE("R",'Riesgos de gestión'!$A$76),"")</f>
        <v/>
      </c>
      <c r="AA44" s="1172"/>
      <c r="AB44" s="1154" t="str">
        <f ca="1">IF(AND('Riesgos de gestión'!$H$64="Muy Baja",'Riesgos de gestión'!$L$64="Mayor"),CONCATENATE("R",'Riesgos de gestión'!$A$64),"")</f>
        <v/>
      </c>
      <c r="AC44" s="1150"/>
      <c r="AD44" s="1150" t="str">
        <f>IF(AND('Riesgos de gestión'!$H$70="Muy Baja",'Riesgos de gestión'!$L$70="Mayor"),CONCATENATE("R",'Riesgos de gestión'!$A$70),"")</f>
        <v/>
      </c>
      <c r="AE44" s="1150"/>
      <c r="AF44" s="1150" t="str">
        <f>IF(AND('Riesgos de gestión'!$H$76="Muy Baja",'Riesgos de gestión'!$L$76="Mayor"),CONCATENATE("R",'Riesgos de gestión'!$A$76),"")</f>
        <v/>
      </c>
      <c r="AG44" s="1151"/>
      <c r="AH44" s="1161" t="str">
        <f ca="1">IF(AND('Riesgos de gestión'!$H$64="Muy Baja",'Riesgos de gestión'!$L$64="Catastrófico"),CONCATENATE("R",'Riesgos de gestión'!$A$64),"")</f>
        <v/>
      </c>
      <c r="AI44" s="1162"/>
      <c r="AJ44" s="1162" t="str">
        <f>IF(AND('Riesgos de gestión'!$H$70="Muy Baja",'Riesgos de gestión'!$L$70="Catastrófico"),CONCATENATE("R",'Riesgos de gestión'!$A$70),"")</f>
        <v/>
      </c>
      <c r="AK44" s="1162"/>
      <c r="AL44" s="1162" t="str">
        <f>IF(AND('Riesgos de gestión'!$H$76="Muy Baja",'Riesgos de gestión'!$L$76="Catastrófico"),CONCATENATE("R",'Riesgos de gestión'!$A$76),"")</f>
        <v/>
      </c>
      <c r="AM44" s="116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row>
    <row r="45" spans="1:80" ht="15.75" thickBot="1" x14ac:dyDescent="0.3">
      <c r="A45" s="83"/>
      <c r="B45" s="1103"/>
      <c r="C45" s="1103"/>
      <c r="D45" s="1104"/>
      <c r="E45" s="1147"/>
      <c r="F45" s="1148"/>
      <c r="G45" s="1148"/>
      <c r="H45" s="1148"/>
      <c r="I45" s="1149"/>
      <c r="J45" s="1182"/>
      <c r="K45" s="1183"/>
      <c r="L45" s="1183"/>
      <c r="M45" s="1183"/>
      <c r="N45" s="1183"/>
      <c r="O45" s="1184"/>
      <c r="P45" s="1182"/>
      <c r="Q45" s="1183"/>
      <c r="R45" s="1183"/>
      <c r="S45" s="1183"/>
      <c r="T45" s="1183"/>
      <c r="U45" s="1184"/>
      <c r="V45" s="1173"/>
      <c r="W45" s="1174"/>
      <c r="X45" s="1174"/>
      <c r="Y45" s="1174"/>
      <c r="Z45" s="1174"/>
      <c r="AA45" s="1175"/>
      <c r="AB45" s="1158"/>
      <c r="AC45" s="1159"/>
      <c r="AD45" s="1159"/>
      <c r="AE45" s="1159"/>
      <c r="AF45" s="1159"/>
      <c r="AG45" s="1160"/>
      <c r="AH45" s="1164"/>
      <c r="AI45" s="1165"/>
      <c r="AJ45" s="1165"/>
      <c r="AK45" s="1165"/>
      <c r="AL45" s="1165"/>
      <c r="AM45" s="1166"/>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row>
    <row r="46" spans="1:80" x14ac:dyDescent="0.25">
      <c r="A46" s="83"/>
      <c r="B46" s="83"/>
      <c r="C46" s="83"/>
      <c r="D46" s="83"/>
      <c r="E46" s="83"/>
      <c r="F46" s="83"/>
      <c r="G46" s="83"/>
      <c r="H46" s="83"/>
      <c r="I46" s="83"/>
      <c r="J46" s="1141" t="s">
        <v>112</v>
      </c>
      <c r="K46" s="1142"/>
      <c r="L46" s="1142"/>
      <c r="M46" s="1142"/>
      <c r="N46" s="1142"/>
      <c r="O46" s="1143"/>
      <c r="P46" s="1141" t="s">
        <v>111</v>
      </c>
      <c r="Q46" s="1142"/>
      <c r="R46" s="1142"/>
      <c r="S46" s="1142"/>
      <c r="T46" s="1142"/>
      <c r="U46" s="1143"/>
      <c r="V46" s="1141" t="s">
        <v>110</v>
      </c>
      <c r="W46" s="1142"/>
      <c r="X46" s="1142"/>
      <c r="Y46" s="1142"/>
      <c r="Z46" s="1142"/>
      <c r="AA46" s="1143"/>
      <c r="AB46" s="1141" t="s">
        <v>109</v>
      </c>
      <c r="AC46" s="1157"/>
      <c r="AD46" s="1142"/>
      <c r="AE46" s="1142"/>
      <c r="AF46" s="1142"/>
      <c r="AG46" s="1143"/>
      <c r="AH46" s="1141" t="s">
        <v>108</v>
      </c>
      <c r="AI46" s="1142"/>
      <c r="AJ46" s="1142"/>
      <c r="AK46" s="1142"/>
      <c r="AL46" s="1142"/>
      <c r="AM46" s="114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row>
    <row r="47" spans="1:80" x14ac:dyDescent="0.25">
      <c r="A47" s="83"/>
      <c r="B47" s="83"/>
      <c r="C47" s="83"/>
      <c r="D47" s="83"/>
      <c r="E47" s="83"/>
      <c r="F47" s="83"/>
      <c r="G47" s="83"/>
      <c r="H47" s="83"/>
      <c r="I47" s="83"/>
      <c r="J47" s="1144"/>
      <c r="K47" s="1145"/>
      <c r="L47" s="1145"/>
      <c r="M47" s="1145"/>
      <c r="N47" s="1145"/>
      <c r="O47" s="1146"/>
      <c r="P47" s="1144"/>
      <c r="Q47" s="1145"/>
      <c r="R47" s="1145"/>
      <c r="S47" s="1145"/>
      <c r="T47" s="1145"/>
      <c r="U47" s="1146"/>
      <c r="V47" s="1144"/>
      <c r="W47" s="1145"/>
      <c r="X47" s="1145"/>
      <c r="Y47" s="1145"/>
      <c r="Z47" s="1145"/>
      <c r="AA47" s="1146"/>
      <c r="AB47" s="1144"/>
      <c r="AC47" s="1145"/>
      <c r="AD47" s="1145"/>
      <c r="AE47" s="1145"/>
      <c r="AF47" s="1145"/>
      <c r="AG47" s="1146"/>
      <c r="AH47" s="1144"/>
      <c r="AI47" s="1145"/>
      <c r="AJ47" s="1145"/>
      <c r="AK47" s="1145"/>
      <c r="AL47" s="1145"/>
      <c r="AM47" s="1146"/>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x14ac:dyDescent="0.25">
      <c r="A48" s="83"/>
      <c r="B48" s="83"/>
      <c r="C48" s="83"/>
      <c r="D48" s="83"/>
      <c r="E48" s="83"/>
      <c r="F48" s="83"/>
      <c r="G48" s="83"/>
      <c r="H48" s="83"/>
      <c r="I48" s="83"/>
      <c r="J48" s="1144"/>
      <c r="K48" s="1145"/>
      <c r="L48" s="1145"/>
      <c r="M48" s="1145"/>
      <c r="N48" s="1145"/>
      <c r="O48" s="1146"/>
      <c r="P48" s="1144"/>
      <c r="Q48" s="1145"/>
      <c r="R48" s="1145"/>
      <c r="S48" s="1145"/>
      <c r="T48" s="1145"/>
      <c r="U48" s="1146"/>
      <c r="V48" s="1144"/>
      <c r="W48" s="1145"/>
      <c r="X48" s="1145"/>
      <c r="Y48" s="1145"/>
      <c r="Z48" s="1145"/>
      <c r="AA48" s="1146"/>
      <c r="AB48" s="1144"/>
      <c r="AC48" s="1145"/>
      <c r="AD48" s="1145"/>
      <c r="AE48" s="1145"/>
      <c r="AF48" s="1145"/>
      <c r="AG48" s="1146"/>
      <c r="AH48" s="1144"/>
      <c r="AI48" s="1145"/>
      <c r="AJ48" s="1145"/>
      <c r="AK48" s="1145"/>
      <c r="AL48" s="1145"/>
      <c r="AM48" s="1146"/>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row>
    <row r="49" spans="1:80" x14ac:dyDescent="0.25">
      <c r="A49" s="83"/>
      <c r="B49" s="83"/>
      <c r="C49" s="83"/>
      <c r="D49" s="83"/>
      <c r="E49" s="83"/>
      <c r="F49" s="83"/>
      <c r="G49" s="83"/>
      <c r="H49" s="83"/>
      <c r="I49" s="83"/>
      <c r="J49" s="1144"/>
      <c r="K49" s="1145"/>
      <c r="L49" s="1145"/>
      <c r="M49" s="1145"/>
      <c r="N49" s="1145"/>
      <c r="O49" s="1146"/>
      <c r="P49" s="1144"/>
      <c r="Q49" s="1145"/>
      <c r="R49" s="1145"/>
      <c r="S49" s="1145"/>
      <c r="T49" s="1145"/>
      <c r="U49" s="1146"/>
      <c r="V49" s="1144"/>
      <c r="W49" s="1145"/>
      <c r="X49" s="1145"/>
      <c r="Y49" s="1145"/>
      <c r="Z49" s="1145"/>
      <c r="AA49" s="1146"/>
      <c r="AB49" s="1144"/>
      <c r="AC49" s="1145"/>
      <c r="AD49" s="1145"/>
      <c r="AE49" s="1145"/>
      <c r="AF49" s="1145"/>
      <c r="AG49" s="1146"/>
      <c r="AH49" s="1144"/>
      <c r="AI49" s="1145"/>
      <c r="AJ49" s="1145"/>
      <c r="AK49" s="1145"/>
      <c r="AL49" s="1145"/>
      <c r="AM49" s="1146"/>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x14ac:dyDescent="0.25">
      <c r="A50" s="83"/>
      <c r="B50" s="83"/>
      <c r="C50" s="83"/>
      <c r="D50" s="83"/>
      <c r="E50" s="83"/>
      <c r="F50" s="83"/>
      <c r="G50" s="83"/>
      <c r="H50" s="83"/>
      <c r="I50" s="83"/>
      <c r="J50" s="1144"/>
      <c r="K50" s="1145"/>
      <c r="L50" s="1145"/>
      <c r="M50" s="1145"/>
      <c r="N50" s="1145"/>
      <c r="O50" s="1146"/>
      <c r="P50" s="1144"/>
      <c r="Q50" s="1145"/>
      <c r="R50" s="1145"/>
      <c r="S50" s="1145"/>
      <c r="T50" s="1145"/>
      <c r="U50" s="1146"/>
      <c r="V50" s="1144"/>
      <c r="W50" s="1145"/>
      <c r="X50" s="1145"/>
      <c r="Y50" s="1145"/>
      <c r="Z50" s="1145"/>
      <c r="AA50" s="1146"/>
      <c r="AB50" s="1144"/>
      <c r="AC50" s="1145"/>
      <c r="AD50" s="1145"/>
      <c r="AE50" s="1145"/>
      <c r="AF50" s="1145"/>
      <c r="AG50" s="1146"/>
      <c r="AH50" s="1144"/>
      <c r="AI50" s="1145"/>
      <c r="AJ50" s="1145"/>
      <c r="AK50" s="1145"/>
      <c r="AL50" s="1145"/>
      <c r="AM50" s="1146"/>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row>
    <row r="51" spans="1:80" ht="15.75" thickBot="1" x14ac:dyDescent="0.3">
      <c r="A51" s="83"/>
      <c r="B51" s="83"/>
      <c r="C51" s="83"/>
      <c r="D51" s="83"/>
      <c r="E51" s="83"/>
      <c r="F51" s="83"/>
      <c r="G51" s="83"/>
      <c r="H51" s="83"/>
      <c r="I51" s="83"/>
      <c r="J51" s="1147"/>
      <c r="K51" s="1148"/>
      <c r="L51" s="1148"/>
      <c r="M51" s="1148"/>
      <c r="N51" s="1148"/>
      <c r="O51" s="1149"/>
      <c r="P51" s="1147"/>
      <c r="Q51" s="1148"/>
      <c r="R51" s="1148"/>
      <c r="S51" s="1148"/>
      <c r="T51" s="1148"/>
      <c r="U51" s="1149"/>
      <c r="V51" s="1147"/>
      <c r="W51" s="1148"/>
      <c r="X51" s="1148"/>
      <c r="Y51" s="1148"/>
      <c r="Z51" s="1148"/>
      <c r="AA51" s="1149"/>
      <c r="AB51" s="1147"/>
      <c r="AC51" s="1148"/>
      <c r="AD51" s="1148"/>
      <c r="AE51" s="1148"/>
      <c r="AF51" s="1148"/>
      <c r="AG51" s="1149"/>
      <c r="AH51" s="1147"/>
      <c r="AI51" s="1148"/>
      <c r="AJ51" s="1148"/>
      <c r="AK51" s="1148"/>
      <c r="AL51" s="1148"/>
      <c r="AM51" s="1149"/>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row>
    <row r="52" spans="1:80" x14ac:dyDescent="0.25">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row>
    <row r="53" spans="1:80" ht="15" customHeight="1" x14ac:dyDescent="0.25">
      <c r="A53" s="83"/>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row>
    <row r="54" spans="1:80" ht="15" customHeight="1" x14ac:dyDescent="0.25">
      <c r="A54" s="83"/>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row>
    <row r="55" spans="1:80"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x14ac:dyDescent="0.25">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row>
    <row r="57" spans="1:80" x14ac:dyDescent="0.25">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x14ac:dyDescent="0.25">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x14ac:dyDescent="0.25">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x14ac:dyDescent="0.25">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row>
    <row r="61" spans="1:80" x14ac:dyDescent="0.25">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row>
    <row r="62" spans="1:80" x14ac:dyDescent="0.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row>
    <row r="63" spans="1:80" x14ac:dyDescent="0.25">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row>
    <row r="64" spans="1:80" x14ac:dyDescent="0.25">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row>
    <row r="65" spans="1:80"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row>
    <row r="66" spans="1:80"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row>
    <row r="67" spans="1:80" x14ac:dyDescent="0.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row>
    <row r="68" spans="1:80" x14ac:dyDescent="0.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row>
    <row r="69" spans="1:80"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row>
    <row r="70" spans="1:80" x14ac:dyDescent="0.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row>
    <row r="71" spans="1:80" x14ac:dyDescent="0.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row>
    <row r="72" spans="1:80"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row>
    <row r="73" spans="1:80" x14ac:dyDescent="0.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row>
    <row r="74" spans="1:80"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row>
    <row r="75" spans="1:80" x14ac:dyDescent="0.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row>
    <row r="76" spans="1:80" x14ac:dyDescent="0.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row>
    <row r="77" spans="1:80"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row>
    <row r="78" spans="1:80"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row>
    <row r="79" spans="1:80" x14ac:dyDescent="0.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row>
    <row r="80" spans="1:80"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row>
    <row r="81" spans="1:63"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row>
    <row r="82" spans="1:63" x14ac:dyDescent="0.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row>
    <row r="83" spans="1:63"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row>
    <row r="84" spans="1:63" x14ac:dyDescent="0.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row>
    <row r="85" spans="1:63" x14ac:dyDescent="0.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row>
    <row r="86" spans="1:63" x14ac:dyDescent="0.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row>
    <row r="87" spans="1:63" x14ac:dyDescent="0.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row>
    <row r="88" spans="1:63" x14ac:dyDescent="0.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row>
    <row r="89" spans="1:63" x14ac:dyDescent="0.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row>
    <row r="90" spans="1:63" x14ac:dyDescent="0.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row>
    <row r="91" spans="1:63"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row>
    <row r="92" spans="1:63" x14ac:dyDescent="0.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row>
    <row r="93" spans="1:63" x14ac:dyDescent="0.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row>
    <row r="94" spans="1:63"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row>
    <row r="95" spans="1:63"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row>
    <row r="96" spans="1:63" x14ac:dyDescent="0.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row>
    <row r="97" spans="1:63" x14ac:dyDescent="0.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row>
    <row r="98" spans="1:63" x14ac:dyDescent="0.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row>
    <row r="99" spans="1:63" x14ac:dyDescent="0.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row>
    <row r="100" spans="1:6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row>
    <row r="101" spans="1:6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row>
    <row r="102" spans="1:6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row>
    <row r="103" spans="1:6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row>
    <row r="104" spans="1:6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row>
    <row r="105" spans="1:6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row>
    <row r="106" spans="1:6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row>
    <row r="107" spans="1:6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row>
    <row r="108" spans="1:6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row>
    <row r="109" spans="1:6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row>
    <row r="110" spans="1:6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row>
    <row r="111" spans="1:6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row>
    <row r="112" spans="1:6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row>
    <row r="113" spans="1:6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row>
    <row r="114" spans="1:6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row>
    <row r="115" spans="1:6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row>
    <row r="116" spans="1:6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row>
    <row r="117" spans="1:6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row>
    <row r="118" spans="1:6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row>
    <row r="119" spans="1:6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row>
    <row r="120" spans="1:6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row>
    <row r="121" spans="1:6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row>
    <row r="122" spans="1:63" x14ac:dyDescent="0.25">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row>
    <row r="123" spans="1:63" x14ac:dyDescent="0.25">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row>
    <row r="124" spans="1:63" x14ac:dyDescent="0.25">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row>
    <row r="125" spans="1:63" x14ac:dyDescent="0.25">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row>
    <row r="126" spans="1:63" x14ac:dyDescent="0.25">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row>
    <row r="127" spans="1:63" x14ac:dyDescent="0.25">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row>
    <row r="128" spans="1:63" x14ac:dyDescent="0.25">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row>
    <row r="129" spans="2:63" x14ac:dyDescent="0.25">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row>
    <row r="130" spans="2:63" x14ac:dyDescent="0.25">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row>
    <row r="131" spans="2:63" x14ac:dyDescent="0.25">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row>
    <row r="132" spans="2:63" x14ac:dyDescent="0.25">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row>
    <row r="133" spans="2:63" x14ac:dyDescent="0.25">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row>
    <row r="134" spans="2:63" x14ac:dyDescent="0.25">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row>
    <row r="135" spans="2:63" x14ac:dyDescent="0.25">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row>
    <row r="136" spans="2:63" x14ac:dyDescent="0.25">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row>
    <row r="137" spans="2:63" x14ac:dyDescent="0.25">
      <c r="B137" s="83"/>
      <c r="C137" s="83"/>
      <c r="D137" s="83"/>
      <c r="E137" s="83"/>
      <c r="F137" s="83"/>
      <c r="G137" s="83"/>
      <c r="H137" s="83"/>
      <c r="I137" s="83"/>
    </row>
    <row r="138" spans="2:63" x14ac:dyDescent="0.25">
      <c r="B138" s="83"/>
      <c r="C138" s="83"/>
      <c r="D138" s="83"/>
      <c r="E138" s="83"/>
      <c r="F138" s="83"/>
      <c r="G138" s="83"/>
      <c r="H138" s="83"/>
      <c r="I138" s="83"/>
    </row>
    <row r="139" spans="2:63" x14ac:dyDescent="0.25">
      <c r="B139" s="83"/>
      <c r="C139" s="83"/>
      <c r="D139" s="83"/>
      <c r="E139" s="83"/>
      <c r="F139" s="83"/>
      <c r="G139" s="83"/>
      <c r="H139" s="83"/>
      <c r="I139" s="83"/>
    </row>
    <row r="140" spans="2:63" x14ac:dyDescent="0.25">
      <c r="B140" s="83"/>
      <c r="C140" s="83"/>
      <c r="D140" s="83"/>
      <c r="E140" s="83"/>
      <c r="F140" s="83"/>
      <c r="G140" s="83"/>
      <c r="H140" s="83"/>
      <c r="I140" s="83"/>
    </row>
  </sheetData>
  <sheetProtection algorithmName="SHA-512" hashValue="kpXlidzmWxbP3brn8k4eIEWxhYHkoNV8mMuhH1lPT/xypiCOesm15jiCfvbsOoPDCD8/umcOeC7isQqNzzQXVQ==" saltValue="e8t6+j8RQ+iPDyNDapgnxw==" spinCount="100000" sheet="1" objects="1" scenarios="1"/>
  <mergeCells count="317">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 ref="N40:O41"/>
    <mergeCell ref="J34:K35"/>
    <mergeCell ref="L34:M35"/>
    <mergeCell ref="N34:O35"/>
    <mergeCell ref="J36:K37"/>
    <mergeCell ref="L36:M37"/>
    <mergeCell ref="N36:O37"/>
    <mergeCell ref="J30:K31"/>
    <mergeCell ref="L30:M31"/>
    <mergeCell ref="N30:O31"/>
    <mergeCell ref="J32:K33"/>
    <mergeCell ref="L32:M33"/>
    <mergeCell ref="N32:O33"/>
    <mergeCell ref="V42:W43"/>
    <mergeCell ref="X42:Y43"/>
    <mergeCell ref="Z42:AA43"/>
    <mergeCell ref="V44:W45"/>
    <mergeCell ref="X44:Y45"/>
    <mergeCell ref="Z44:AA45"/>
    <mergeCell ref="V38:W39"/>
    <mergeCell ref="X38:Y39"/>
    <mergeCell ref="Z38:AA39"/>
    <mergeCell ref="V40:W41"/>
    <mergeCell ref="X40:Y41"/>
    <mergeCell ref="Z40:AA41"/>
    <mergeCell ref="P34:Q35"/>
    <mergeCell ref="R34:S35"/>
    <mergeCell ref="T34:U35"/>
    <mergeCell ref="P36:Q37"/>
    <mergeCell ref="R36:S37"/>
    <mergeCell ref="T36:U37"/>
    <mergeCell ref="P30:Q31"/>
    <mergeCell ref="R30:S31"/>
    <mergeCell ref="T30:U31"/>
    <mergeCell ref="P32:Q33"/>
    <mergeCell ref="R32:S33"/>
    <mergeCell ref="T32:U33"/>
    <mergeCell ref="V34:W35"/>
    <mergeCell ref="X34:Y35"/>
    <mergeCell ref="Z34:AA35"/>
    <mergeCell ref="V36:W37"/>
    <mergeCell ref="X36:Y37"/>
    <mergeCell ref="Z36:AA37"/>
    <mergeCell ref="V30:W31"/>
    <mergeCell ref="X30:Y31"/>
    <mergeCell ref="Z30:AA31"/>
    <mergeCell ref="V32:W33"/>
    <mergeCell ref="X32:Y33"/>
    <mergeCell ref="Z32:AA33"/>
    <mergeCell ref="V26:W27"/>
    <mergeCell ref="X26:Y27"/>
    <mergeCell ref="Z26:AA27"/>
    <mergeCell ref="V28:W29"/>
    <mergeCell ref="X28:Y29"/>
    <mergeCell ref="Z28:AA29"/>
    <mergeCell ref="V22:W23"/>
    <mergeCell ref="X22:Y23"/>
    <mergeCell ref="Z22:AA23"/>
    <mergeCell ref="V24:W25"/>
    <mergeCell ref="X24:Y25"/>
    <mergeCell ref="Z24:AA25"/>
    <mergeCell ref="P26:Q27"/>
    <mergeCell ref="R26:S27"/>
    <mergeCell ref="T26:U27"/>
    <mergeCell ref="P28:Q29"/>
    <mergeCell ref="R28:S29"/>
    <mergeCell ref="T28:U29"/>
    <mergeCell ref="P22:Q23"/>
    <mergeCell ref="R22:S23"/>
    <mergeCell ref="T22:U23"/>
    <mergeCell ref="P24:Q25"/>
    <mergeCell ref="R24:S25"/>
    <mergeCell ref="T24:U25"/>
    <mergeCell ref="J26:K27"/>
    <mergeCell ref="L26:M27"/>
    <mergeCell ref="N26:O27"/>
    <mergeCell ref="J28:K29"/>
    <mergeCell ref="L28:M29"/>
    <mergeCell ref="N28:O29"/>
    <mergeCell ref="J22:K23"/>
    <mergeCell ref="L22:M23"/>
    <mergeCell ref="N22:O23"/>
    <mergeCell ref="J24:K25"/>
    <mergeCell ref="L24:M25"/>
    <mergeCell ref="N24:O25"/>
    <mergeCell ref="P18:Q19"/>
    <mergeCell ref="R18:S19"/>
    <mergeCell ref="T18:U19"/>
    <mergeCell ref="P20:Q21"/>
    <mergeCell ref="R20:S21"/>
    <mergeCell ref="T20:U21"/>
    <mergeCell ref="P14:Q15"/>
    <mergeCell ref="R14:S15"/>
    <mergeCell ref="T14:U15"/>
    <mergeCell ref="P16:Q17"/>
    <mergeCell ref="R16:S17"/>
    <mergeCell ref="T16:U17"/>
    <mergeCell ref="J18:K19"/>
    <mergeCell ref="L18:M19"/>
    <mergeCell ref="N18:O19"/>
    <mergeCell ref="J20:K21"/>
    <mergeCell ref="L20:M21"/>
    <mergeCell ref="N20:O21"/>
    <mergeCell ref="J14:K15"/>
    <mergeCell ref="L14:M15"/>
    <mergeCell ref="N14:O15"/>
    <mergeCell ref="J16:K17"/>
    <mergeCell ref="L16:M17"/>
    <mergeCell ref="N16:O17"/>
    <mergeCell ref="AH42:AI43"/>
    <mergeCell ref="AJ42:AK43"/>
    <mergeCell ref="AL42:AM43"/>
    <mergeCell ref="AH44:AI45"/>
    <mergeCell ref="AJ44:AK45"/>
    <mergeCell ref="AL44:AM45"/>
    <mergeCell ref="AH38:AI39"/>
    <mergeCell ref="AJ38:AK39"/>
    <mergeCell ref="AL38:AM39"/>
    <mergeCell ref="AH40:AI41"/>
    <mergeCell ref="AJ40:AK41"/>
    <mergeCell ref="AL40:AM41"/>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10:AI11"/>
    <mergeCell ref="AJ10:AK11"/>
    <mergeCell ref="AL10:AM11"/>
    <mergeCell ref="AH12:AI13"/>
    <mergeCell ref="AJ12:AK13"/>
    <mergeCell ref="AL12:AM13"/>
    <mergeCell ref="AH6:AI7"/>
    <mergeCell ref="AJ6:AK7"/>
    <mergeCell ref="AL6:AM7"/>
    <mergeCell ref="AH8:AI9"/>
    <mergeCell ref="AJ8:AK9"/>
    <mergeCell ref="AL8:AM9"/>
    <mergeCell ref="AB42:AC43"/>
    <mergeCell ref="AD42:AE43"/>
    <mergeCell ref="AF42:AG43"/>
    <mergeCell ref="AB44:AC45"/>
    <mergeCell ref="AD44:AE45"/>
    <mergeCell ref="AF44:AG45"/>
    <mergeCell ref="AB38:AC39"/>
    <mergeCell ref="AD38:AE39"/>
    <mergeCell ref="AF38:AG39"/>
    <mergeCell ref="AB40:AC41"/>
    <mergeCell ref="AD40:AE41"/>
    <mergeCell ref="AF40:AG41"/>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M248"/>
  <sheetViews>
    <sheetView zoomScale="50" zoomScaleNormal="50" workbookViewId="0">
      <selection activeCell="B2" sqref="B2:AT61"/>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1" max="46" width="5.7109375" customWidth="1"/>
  </cols>
  <sheetData>
    <row r="1" spans="1:9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row>
    <row r="2" spans="1:91" ht="18" customHeight="1" x14ac:dyDescent="0.25">
      <c r="A2" s="83"/>
      <c r="B2" s="1214" t="s">
        <v>160</v>
      </c>
      <c r="C2" s="1215"/>
      <c r="D2" s="1215"/>
      <c r="E2" s="1215"/>
      <c r="F2" s="1215"/>
      <c r="G2" s="1215"/>
      <c r="H2" s="1215"/>
      <c r="I2" s="1215"/>
      <c r="J2" s="1156" t="s">
        <v>2</v>
      </c>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row>
    <row r="3" spans="1:91" ht="18.75" customHeight="1" x14ac:dyDescent="0.25">
      <c r="A3" s="83"/>
      <c r="B3" s="1215"/>
      <c r="C3" s="1215"/>
      <c r="D3" s="1215"/>
      <c r="E3" s="1215"/>
      <c r="F3" s="1215"/>
      <c r="G3" s="1215"/>
      <c r="H3" s="1215"/>
      <c r="I3" s="1215"/>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row>
    <row r="4" spans="1:91" ht="15" customHeight="1" x14ac:dyDescent="0.25">
      <c r="A4" s="83"/>
      <c r="B4" s="1215"/>
      <c r="C4" s="1215"/>
      <c r="D4" s="1215"/>
      <c r="E4" s="1215"/>
      <c r="F4" s="1215"/>
      <c r="G4" s="1215"/>
      <c r="H4" s="1215"/>
      <c r="I4" s="1215"/>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row>
    <row r="5" spans="1:91" ht="15.75" thickBot="1" x14ac:dyDescent="0.3">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row>
    <row r="6" spans="1:91" ht="15" customHeight="1" x14ac:dyDescent="0.25">
      <c r="A6" s="83"/>
      <c r="B6" s="1103" t="s">
        <v>4</v>
      </c>
      <c r="C6" s="1103"/>
      <c r="D6" s="1104"/>
      <c r="E6" s="1198" t="s">
        <v>116</v>
      </c>
      <c r="F6" s="1199"/>
      <c r="G6" s="1199"/>
      <c r="H6" s="1199"/>
      <c r="I6" s="1216"/>
      <c r="J6" s="46" t="str">
        <f ca="1">IF(AND('Riesgos de gestión'!$Y$10="Muy Alta",'Riesgos de gestión'!$AA$10="Leve"),CONCATENATE("R1C",'Riesgos de gestión'!$O$10),"")</f>
        <v/>
      </c>
      <c r="K6" s="47" t="str">
        <f>IF(AND('Riesgos de gestión'!$Y$11="Muy Alta",'Riesgos de gestión'!$AA$11="Leve"),CONCATENATE("R1C",'Riesgos de gestión'!$O$11),"")</f>
        <v/>
      </c>
      <c r="L6" s="47" t="str">
        <f>IF(AND('Riesgos de gestión'!$Y$12="Muy Alta",'Riesgos de gestión'!$AA$12="Leve"),CONCATENATE("R1C",'Riesgos de gestión'!$O$12),"")</f>
        <v/>
      </c>
      <c r="M6" s="47" t="str">
        <f>IF(AND('Riesgos de gestión'!$Y$13="Muy Alta",'Riesgos de gestión'!$AA$13="Leve"),CONCATENATE("R1C",'Riesgos de gestión'!$O$13),"")</f>
        <v/>
      </c>
      <c r="N6" s="47" t="str">
        <f>IF(AND('Riesgos de gestión'!$Y$14="Muy Alta",'Riesgos de gestión'!$AA$14="Leve"),CONCATENATE("R1C",'Riesgos de gestión'!$O$14),"")</f>
        <v/>
      </c>
      <c r="O6" s="48" t="str">
        <f>IF(AND('Riesgos de gestión'!$Y$15="Muy Alta",'Riesgos de gestión'!$AA$15="Leve"),CONCATENATE("R1C",'Riesgos de gestión'!$O$15),"")</f>
        <v/>
      </c>
      <c r="P6" s="46" t="str">
        <f ca="1">IF(AND('Riesgos de gestión'!$Y$10="Muy Alta",'Riesgos de gestión'!$AA$10="Menor"),CONCATENATE("R1C",'Riesgos de gestión'!$O$10),"")</f>
        <v/>
      </c>
      <c r="Q6" s="47" t="str">
        <f>IF(AND('Riesgos de gestión'!$Y$11="Muy Alta",'Riesgos de gestión'!$AA$11="Menor"),CONCATENATE("R1C",'Riesgos de gestión'!$O$11),"")</f>
        <v/>
      </c>
      <c r="R6" s="47" t="str">
        <f>IF(AND('Riesgos de gestión'!$Y$12="Muy Alta",'Riesgos de gestión'!$AA$12="Menor"),CONCATENATE("R1C",'Riesgos de gestión'!$O$12),"")</f>
        <v/>
      </c>
      <c r="S6" s="47" t="str">
        <f>IF(AND('Riesgos de gestión'!$Y$13="Muy Alta",'Riesgos de gestión'!$AA$13="Menor"),CONCATENATE("R1C",'Riesgos de gestión'!$O$13),"")</f>
        <v/>
      </c>
      <c r="T6" s="47" t="str">
        <f>IF(AND('Riesgos de gestión'!$Y$14="Muy Alta",'Riesgos de gestión'!$AA$14="Menor"),CONCATENATE("R1C",'Riesgos de gestión'!$O$14),"")</f>
        <v/>
      </c>
      <c r="U6" s="48" t="str">
        <f>IF(AND('Riesgos de gestión'!$Y$15="Muy Alta",'Riesgos de gestión'!$AA$15="Menor"),CONCATENATE("R1C",'Riesgos de gestión'!$O$15),"")</f>
        <v/>
      </c>
      <c r="V6" s="46" t="str">
        <f ca="1">IF(AND('Riesgos de gestión'!$Y$10="Muy Alta",'Riesgos de gestión'!$AA$10="Moderado"),CONCATENATE("R1C",'Riesgos de gestión'!$O$10),"")</f>
        <v/>
      </c>
      <c r="W6" s="47" t="str">
        <f>IF(AND('Riesgos de gestión'!$Y$11="Muy Alta",'Riesgos de gestión'!$AA$11="Moderado"),CONCATENATE("R1C",'Riesgos de gestión'!$O$11),"")</f>
        <v/>
      </c>
      <c r="X6" s="47" t="str">
        <f>IF(AND('Riesgos de gestión'!$Y$12="Muy Alta",'Riesgos de gestión'!$AA$12="Moderado"),CONCATENATE("R1C",'Riesgos de gestión'!$O$12),"")</f>
        <v/>
      </c>
      <c r="Y6" s="47" t="str">
        <f>IF(AND('Riesgos de gestión'!$Y$13="Muy Alta",'Riesgos de gestión'!$AA$13="Moderado"),CONCATENATE("R1C",'Riesgos de gestión'!$O$13),"")</f>
        <v/>
      </c>
      <c r="Z6" s="47" t="str">
        <f>IF(AND('Riesgos de gestión'!$Y$14="Muy Alta",'Riesgos de gestión'!$AA$14="Moderado"),CONCATENATE("R1C",'Riesgos de gestión'!$O$14),"")</f>
        <v/>
      </c>
      <c r="AA6" s="48" t="str">
        <f>IF(AND('Riesgos de gestión'!$Y$15="Muy Alta",'Riesgos de gestión'!$AA$15="Moderado"),CONCATENATE("R1C",'Riesgos de gestión'!$O$15),"")</f>
        <v/>
      </c>
      <c r="AB6" s="46" t="str">
        <f ca="1">IF(AND('Riesgos de gestión'!$Y$10="Muy Alta",'Riesgos de gestión'!$AA$10="Mayor"),CONCATENATE("R1C",'Riesgos de gestión'!$O$10),"")</f>
        <v/>
      </c>
      <c r="AC6" s="47" t="str">
        <f>IF(AND('Riesgos de gestión'!$Y$11="Muy Alta",'Riesgos de gestión'!$AA$11="Mayor"),CONCATENATE("R1C",'Riesgos de gestión'!$O$11),"")</f>
        <v/>
      </c>
      <c r="AD6" s="47" t="str">
        <f>IF(AND('Riesgos de gestión'!$Y$12="Muy Alta",'Riesgos de gestión'!$AA$12="Mayor"),CONCATENATE("R1C",'Riesgos de gestión'!$O$12),"")</f>
        <v/>
      </c>
      <c r="AE6" s="47" t="str">
        <f>IF(AND('Riesgos de gestión'!$Y$13="Muy Alta",'Riesgos de gestión'!$AA$13="Mayor"),CONCATENATE("R1C",'Riesgos de gestión'!$O$13),"")</f>
        <v/>
      </c>
      <c r="AF6" s="47" t="str">
        <f>IF(AND('Riesgos de gestión'!$Y$14="Muy Alta",'Riesgos de gestión'!$AA$14="Mayor"),CONCATENATE("R1C",'Riesgos de gestión'!$O$14),"")</f>
        <v/>
      </c>
      <c r="AG6" s="48" t="str">
        <f>IF(AND('Riesgos de gestión'!$Y$15="Muy Alta",'Riesgos de gestión'!$AA$15="Mayor"),CONCATENATE("R1C",'Riesgos de gestión'!$O$15),"")</f>
        <v/>
      </c>
      <c r="AH6" s="49" t="str">
        <f ca="1">IF(AND('Riesgos de gestión'!$Y$10="Muy Alta",'Riesgos de gestión'!$AA$10="Catastrófico"),CONCATENATE("R1C",'Riesgos de gestión'!$O$10),"")</f>
        <v/>
      </c>
      <c r="AI6" s="50" t="str">
        <f>IF(AND('Riesgos de gestión'!$Y$11="Muy Alta",'Riesgos de gestión'!$AA$11="Catastrófico"),CONCATENATE("R1C",'Riesgos de gestión'!$O$11),"")</f>
        <v/>
      </c>
      <c r="AJ6" s="50" t="str">
        <f>IF(AND('Riesgos de gestión'!$Y$12="Muy Alta",'Riesgos de gestión'!$AA$12="Catastrófico"),CONCATENATE("R1C",'Riesgos de gestión'!$O$12),"")</f>
        <v/>
      </c>
      <c r="AK6" s="50" t="str">
        <f>IF(AND('Riesgos de gestión'!$Y$13="Muy Alta",'Riesgos de gestión'!$AA$13="Catastrófico"),CONCATENATE("R1C",'Riesgos de gestión'!$O$13),"")</f>
        <v/>
      </c>
      <c r="AL6" s="50" t="str">
        <f>IF(AND('Riesgos de gestión'!$Y$14="Muy Alta",'Riesgos de gestión'!$AA$14="Catastrófico"),CONCATENATE("R1C",'Riesgos de gestión'!$O$14),"")</f>
        <v/>
      </c>
      <c r="AM6" s="51" t="str">
        <f>IF(AND('Riesgos de gestión'!$Y$15="Muy Alta",'Riesgos de gestión'!$AA$15="Catastrófico"),CONCATENATE("R1C",'Riesgos de gestión'!$O$15),"")</f>
        <v/>
      </c>
      <c r="AN6" s="83"/>
      <c r="AO6" s="1205" t="s">
        <v>79</v>
      </c>
      <c r="AP6" s="1206"/>
      <c r="AQ6" s="1206"/>
      <c r="AR6" s="1206"/>
      <c r="AS6" s="1206"/>
      <c r="AT6" s="1207"/>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row>
    <row r="7" spans="1:91" ht="15" customHeight="1" x14ac:dyDescent="0.25">
      <c r="A7" s="83"/>
      <c r="B7" s="1103"/>
      <c r="C7" s="1103"/>
      <c r="D7" s="1104"/>
      <c r="E7" s="1202"/>
      <c r="F7" s="1201"/>
      <c r="G7" s="1201"/>
      <c r="H7" s="1201"/>
      <c r="I7" s="1217"/>
      <c r="J7" s="52" t="str">
        <f>IF(AND('Riesgos de gestión'!$Y$16="Muy Alta",'Riesgos de gestión'!$AA$16="Leve"),CONCATENATE("R2C",'Riesgos de gestión'!$O$16),"")</f>
        <v/>
      </c>
      <c r="K7" s="53" t="str">
        <f>IF(AND('Riesgos de gestión'!$Y$17="Muy Alta",'Riesgos de gestión'!$AA$17="Leve"),CONCATENATE("R2C",'Riesgos de gestión'!$O$17),"")</f>
        <v/>
      </c>
      <c r="L7" s="53" t="str">
        <f>IF(AND('Riesgos de gestión'!$Y$18="Muy Alta",'Riesgos de gestión'!$AA$18="Leve"),CONCATENATE("R2C",'Riesgos de gestión'!$O$18),"")</f>
        <v/>
      </c>
      <c r="M7" s="53" t="str">
        <f>IF(AND('Riesgos de gestión'!$Y$19="Muy Alta",'Riesgos de gestión'!$AA$19="Leve"),CONCATENATE("R2C",'Riesgos de gestión'!$O$19),"")</f>
        <v/>
      </c>
      <c r="N7" s="53" t="str">
        <f>IF(AND('Riesgos de gestión'!$Y$20="Muy Alta",'Riesgos de gestión'!$AA$20="Leve"),CONCATENATE("R2C",'Riesgos de gestión'!$O$20),"")</f>
        <v/>
      </c>
      <c r="O7" s="54" t="str">
        <f>IF(AND('Riesgos de gestión'!$Y$21="Muy Alta",'Riesgos de gestión'!$AA$21="Leve"),CONCATENATE("R2C",'Riesgos de gestión'!$O$21),"")</f>
        <v/>
      </c>
      <c r="P7" s="52" t="str">
        <f>IF(AND('Riesgos de gestión'!$Y$16="Muy Alta",'Riesgos de gestión'!$AA$16="Menor"),CONCATENATE("R2C",'Riesgos de gestión'!$O$16),"")</f>
        <v/>
      </c>
      <c r="Q7" s="53" t="str">
        <f>IF(AND('Riesgos de gestión'!$Y$17="Muy Alta",'Riesgos de gestión'!$AA$17="Menor"),CONCATENATE("R2C",'Riesgos de gestión'!$O$17),"")</f>
        <v/>
      </c>
      <c r="R7" s="53" t="str">
        <f>IF(AND('Riesgos de gestión'!$Y$18="Muy Alta",'Riesgos de gestión'!$AA$18="Menor"),CONCATENATE("R2C",'Riesgos de gestión'!$O$18),"")</f>
        <v/>
      </c>
      <c r="S7" s="53" t="str">
        <f>IF(AND('Riesgos de gestión'!$Y$19="Muy Alta",'Riesgos de gestión'!$AA$19="Menor"),CONCATENATE("R2C",'Riesgos de gestión'!$O$19),"")</f>
        <v/>
      </c>
      <c r="T7" s="53" t="str">
        <f>IF(AND('Riesgos de gestión'!$Y$20="Muy Alta",'Riesgos de gestión'!$AA$20="Menor"),CONCATENATE("R2C",'Riesgos de gestión'!$O$20),"")</f>
        <v/>
      </c>
      <c r="U7" s="54" t="str">
        <f>IF(AND('Riesgos de gestión'!$Y$21="Muy Alta",'Riesgos de gestión'!$AA$21="Menor"),CONCATENATE("R2C",'Riesgos de gestión'!$O$21),"")</f>
        <v/>
      </c>
      <c r="V7" s="52" t="str">
        <f>IF(AND('Riesgos de gestión'!$Y$16="Muy Alta",'Riesgos de gestión'!$AA$16="Moderado"),CONCATENATE("R2C",'Riesgos de gestión'!$O$16),"")</f>
        <v/>
      </c>
      <c r="W7" s="53" t="str">
        <f>IF(AND('Riesgos de gestión'!$Y$17="Muy Alta",'Riesgos de gestión'!$AA$17="Moderado"),CONCATENATE("R2C",'Riesgos de gestión'!$O$17),"")</f>
        <v/>
      </c>
      <c r="X7" s="53" t="str">
        <f>IF(AND('Riesgos de gestión'!$Y$18="Muy Alta",'Riesgos de gestión'!$AA$18="Moderado"),CONCATENATE("R2C",'Riesgos de gestión'!$O$18),"")</f>
        <v/>
      </c>
      <c r="Y7" s="53" t="str">
        <f>IF(AND('Riesgos de gestión'!$Y$19="Muy Alta",'Riesgos de gestión'!$AA$19="Moderado"),CONCATENATE("R2C",'Riesgos de gestión'!$O$19),"")</f>
        <v/>
      </c>
      <c r="Z7" s="53" t="str">
        <f>IF(AND('Riesgos de gestión'!$Y$20="Muy Alta",'Riesgos de gestión'!$AA$20="Moderado"),CONCATENATE("R2C",'Riesgos de gestión'!$O$20),"")</f>
        <v/>
      </c>
      <c r="AA7" s="54" t="str">
        <f>IF(AND('Riesgos de gestión'!$Y$21="Muy Alta",'Riesgos de gestión'!$AA$21="Moderado"),CONCATENATE("R2C",'Riesgos de gestión'!$O$21),"")</f>
        <v/>
      </c>
      <c r="AB7" s="52" t="str">
        <f>IF(AND('Riesgos de gestión'!$Y$16="Muy Alta",'Riesgos de gestión'!$AA$16="Mayor"),CONCATENATE("R2C",'Riesgos de gestión'!$O$16),"")</f>
        <v/>
      </c>
      <c r="AC7" s="53" t="str">
        <f>IF(AND('Riesgos de gestión'!$Y$17="Muy Alta",'Riesgos de gestión'!$AA$17="Mayor"),CONCATENATE("R2C",'Riesgos de gestión'!$O$17),"")</f>
        <v/>
      </c>
      <c r="AD7" s="53" t="str">
        <f>IF(AND('Riesgos de gestión'!$Y$18="Muy Alta",'Riesgos de gestión'!$AA$18="Mayor"),CONCATENATE("R2C",'Riesgos de gestión'!$O$18),"")</f>
        <v/>
      </c>
      <c r="AE7" s="53" t="str">
        <f>IF(AND('Riesgos de gestión'!$Y$19="Muy Alta",'Riesgos de gestión'!$AA$19="Mayor"),CONCATENATE("R2C",'Riesgos de gestión'!$O$19),"")</f>
        <v/>
      </c>
      <c r="AF7" s="53" t="str">
        <f>IF(AND('Riesgos de gestión'!$Y$20="Muy Alta",'Riesgos de gestión'!$AA$20="Mayor"),CONCATENATE("R2C",'Riesgos de gestión'!$O$20),"")</f>
        <v/>
      </c>
      <c r="AG7" s="54" t="str">
        <f>IF(AND('Riesgos de gestión'!$Y$21="Muy Alta",'Riesgos de gestión'!$AA$21="Mayor"),CONCATENATE("R2C",'Riesgos de gestión'!$O$21),"")</f>
        <v/>
      </c>
      <c r="AH7" s="55" t="str">
        <f>IF(AND('Riesgos de gestión'!$Y$16="Muy Alta",'Riesgos de gestión'!$AA$16="Catastrófico"),CONCATENATE("R2C",'Riesgos de gestión'!$O$16),"")</f>
        <v/>
      </c>
      <c r="AI7" s="56" t="str">
        <f>IF(AND('Riesgos de gestión'!$Y$17="Muy Alta",'Riesgos de gestión'!$AA$17="Catastrófico"),CONCATENATE("R2C",'Riesgos de gestión'!$O$17),"")</f>
        <v/>
      </c>
      <c r="AJ7" s="56" t="str">
        <f>IF(AND('Riesgos de gestión'!$Y$18="Muy Alta",'Riesgos de gestión'!$AA$18="Catastrófico"),CONCATENATE("R2C",'Riesgos de gestión'!$O$18),"")</f>
        <v/>
      </c>
      <c r="AK7" s="56" t="str">
        <f>IF(AND('Riesgos de gestión'!$Y$19="Muy Alta",'Riesgos de gestión'!$AA$19="Catastrófico"),CONCATENATE("R2C",'Riesgos de gestión'!$O$19),"")</f>
        <v/>
      </c>
      <c r="AL7" s="56" t="str">
        <f>IF(AND('Riesgos de gestión'!$Y$20="Muy Alta",'Riesgos de gestión'!$AA$20="Catastrófico"),CONCATENATE("R2C",'Riesgos de gestión'!$O$20),"")</f>
        <v/>
      </c>
      <c r="AM7" s="57" t="str">
        <f>IF(AND('Riesgos de gestión'!$Y$21="Muy Alta",'Riesgos de gestión'!$AA$21="Catastrófico"),CONCATENATE("R2C",'Riesgos de gestión'!$O$21),"")</f>
        <v/>
      </c>
      <c r="AN7" s="83"/>
      <c r="AO7" s="1208"/>
      <c r="AP7" s="1209"/>
      <c r="AQ7" s="1209"/>
      <c r="AR7" s="1209"/>
      <c r="AS7" s="1209"/>
      <c r="AT7" s="1210"/>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row>
    <row r="8" spans="1:91" ht="15" customHeight="1" x14ac:dyDescent="0.25">
      <c r="A8" s="83"/>
      <c r="B8" s="1103"/>
      <c r="C8" s="1103"/>
      <c r="D8" s="1104"/>
      <c r="E8" s="1202"/>
      <c r="F8" s="1201"/>
      <c r="G8" s="1201"/>
      <c r="H8" s="1201"/>
      <c r="I8" s="1217"/>
      <c r="J8" s="52" t="str">
        <f>IF(AND('Riesgos de gestión'!$Y$22="Muy Alta",'Riesgos de gestión'!$AA$22="Leve"),CONCATENATE("R3C",'Riesgos de gestión'!$O$22),"")</f>
        <v/>
      </c>
      <c r="K8" s="53" t="str">
        <f>IF(AND('Riesgos de gestión'!$Y$23="Muy Alta",'Riesgos de gestión'!$AA$23="Leve"),CONCATENATE("R3C",'Riesgos de gestión'!$O$23),"")</f>
        <v/>
      </c>
      <c r="L8" s="53" t="str">
        <f>IF(AND('Riesgos de gestión'!$Y$24="Muy Alta",'Riesgos de gestión'!$AA$24="Leve"),CONCATENATE("R3C",'Riesgos de gestión'!$O$24),"")</f>
        <v/>
      </c>
      <c r="M8" s="53" t="str">
        <f>IF(AND('Riesgos de gestión'!$Y$25="Muy Alta",'Riesgos de gestión'!$AA$25="Leve"),CONCATENATE("R3C",'Riesgos de gestión'!$O$25),"")</f>
        <v/>
      </c>
      <c r="N8" s="53" t="str">
        <f>IF(AND('Riesgos de gestión'!$Y$26="Muy Alta",'Riesgos de gestión'!$AA$26="Leve"),CONCATENATE("R3C",'Riesgos de gestión'!$O$26),"")</f>
        <v/>
      </c>
      <c r="O8" s="54" t="str">
        <f>IF(AND('Riesgos de gestión'!$Y$27="Muy Alta",'Riesgos de gestión'!$AA$27="Leve"),CONCATENATE("R3C",'Riesgos de gestión'!$O$27),"")</f>
        <v/>
      </c>
      <c r="P8" s="52" t="str">
        <f>IF(AND('Riesgos de gestión'!$Y$22="Muy Alta",'Riesgos de gestión'!$AA$22="Menor"),CONCATENATE("R3C",'Riesgos de gestión'!$O$22),"")</f>
        <v/>
      </c>
      <c r="Q8" s="53" t="str">
        <f>IF(AND('Riesgos de gestión'!$Y$23="Muy Alta",'Riesgos de gestión'!$AA$23="Menor"),CONCATENATE("R3C",'Riesgos de gestión'!$O$23),"")</f>
        <v/>
      </c>
      <c r="R8" s="53" t="str">
        <f>IF(AND('Riesgos de gestión'!$Y$24="Muy Alta",'Riesgos de gestión'!$AA$24="Menor"),CONCATENATE("R3C",'Riesgos de gestión'!$O$24),"")</f>
        <v/>
      </c>
      <c r="S8" s="53" t="str">
        <f>IF(AND('Riesgos de gestión'!$Y$25="Muy Alta",'Riesgos de gestión'!$AA$25="Menor"),CONCATENATE("R3C",'Riesgos de gestión'!$O$25),"")</f>
        <v/>
      </c>
      <c r="T8" s="53" t="str">
        <f>IF(AND('Riesgos de gestión'!$Y$26="Muy Alta",'Riesgos de gestión'!$AA$26="Menor"),CONCATENATE("R3C",'Riesgos de gestión'!$O$26),"")</f>
        <v/>
      </c>
      <c r="U8" s="54" t="str">
        <f>IF(AND('Riesgos de gestión'!$Y$27="Muy Alta",'Riesgos de gestión'!$AA$27="Menor"),CONCATENATE("R3C",'Riesgos de gestión'!$O$27),"")</f>
        <v/>
      </c>
      <c r="V8" s="52" t="str">
        <f>IF(AND('Riesgos de gestión'!$Y$22="Muy Alta",'Riesgos de gestión'!$AA$22="Moderado"),CONCATENATE("R3C",'Riesgos de gestión'!$O$22),"")</f>
        <v/>
      </c>
      <c r="W8" s="53" t="str">
        <f>IF(AND('Riesgos de gestión'!$Y$23="Muy Alta",'Riesgos de gestión'!$AA$23="Moderado"),CONCATENATE("R3C",'Riesgos de gestión'!$O$23),"")</f>
        <v/>
      </c>
      <c r="X8" s="53" t="str">
        <f>IF(AND('Riesgos de gestión'!$Y$24="Muy Alta",'Riesgos de gestión'!$AA$24="Moderado"),CONCATENATE("R3C",'Riesgos de gestión'!$O$24),"")</f>
        <v/>
      </c>
      <c r="Y8" s="53" t="str">
        <f>IF(AND('Riesgos de gestión'!$Y$25="Muy Alta",'Riesgos de gestión'!$AA$25="Moderado"),CONCATENATE("R3C",'Riesgos de gestión'!$O$25),"")</f>
        <v/>
      </c>
      <c r="Z8" s="53" t="str">
        <f>IF(AND('Riesgos de gestión'!$Y$26="Muy Alta",'Riesgos de gestión'!$AA$26="Moderado"),CONCATENATE("R3C",'Riesgos de gestión'!$O$26),"")</f>
        <v/>
      </c>
      <c r="AA8" s="54" t="str">
        <f>IF(AND('Riesgos de gestión'!$Y$27="Muy Alta",'Riesgos de gestión'!$AA$27="Moderado"),CONCATENATE("R3C",'Riesgos de gestión'!$O$27),"")</f>
        <v/>
      </c>
      <c r="AB8" s="52" t="str">
        <f>IF(AND('Riesgos de gestión'!$Y$22="Muy Alta",'Riesgos de gestión'!$AA$22="Mayor"),CONCATENATE("R3C",'Riesgos de gestión'!$O$22),"")</f>
        <v/>
      </c>
      <c r="AC8" s="53" t="str">
        <f>IF(AND('Riesgos de gestión'!$Y$23="Muy Alta",'Riesgos de gestión'!$AA$23="Mayor"),CONCATENATE("R3C",'Riesgos de gestión'!$O$23),"")</f>
        <v/>
      </c>
      <c r="AD8" s="53" t="str">
        <f>IF(AND('Riesgos de gestión'!$Y$24="Muy Alta",'Riesgos de gestión'!$AA$24="Mayor"),CONCATENATE("R3C",'Riesgos de gestión'!$O$24),"")</f>
        <v/>
      </c>
      <c r="AE8" s="53" t="str">
        <f>IF(AND('Riesgos de gestión'!$Y$25="Muy Alta",'Riesgos de gestión'!$AA$25="Mayor"),CONCATENATE("R3C",'Riesgos de gestión'!$O$25),"")</f>
        <v/>
      </c>
      <c r="AF8" s="53" t="str">
        <f>IF(AND('Riesgos de gestión'!$Y$26="Muy Alta",'Riesgos de gestión'!$AA$26="Mayor"),CONCATENATE("R3C",'Riesgos de gestión'!$O$26),"")</f>
        <v/>
      </c>
      <c r="AG8" s="54" t="str">
        <f>IF(AND('Riesgos de gestión'!$Y$27="Muy Alta",'Riesgos de gestión'!$AA$27="Mayor"),CONCATENATE("R3C",'Riesgos de gestión'!$O$27),"")</f>
        <v/>
      </c>
      <c r="AH8" s="55" t="str">
        <f>IF(AND('Riesgos de gestión'!$Y$22="Muy Alta",'Riesgos de gestión'!$AA$22="Catastrófico"),CONCATENATE("R3C",'Riesgos de gestión'!$O$22),"")</f>
        <v/>
      </c>
      <c r="AI8" s="56" t="str">
        <f>IF(AND('Riesgos de gestión'!$Y$23="Muy Alta",'Riesgos de gestión'!$AA$23="Catastrófico"),CONCATENATE("R3C",'Riesgos de gestión'!$O$23),"")</f>
        <v/>
      </c>
      <c r="AJ8" s="56" t="str">
        <f>IF(AND('Riesgos de gestión'!$Y$24="Muy Alta",'Riesgos de gestión'!$AA$24="Catastrófico"),CONCATENATE("R3C",'Riesgos de gestión'!$O$24),"")</f>
        <v/>
      </c>
      <c r="AK8" s="56" t="str">
        <f>IF(AND('Riesgos de gestión'!$Y$25="Muy Alta",'Riesgos de gestión'!$AA$25="Catastrófico"),CONCATENATE("R3C",'Riesgos de gestión'!$O$25),"")</f>
        <v/>
      </c>
      <c r="AL8" s="56" t="str">
        <f>IF(AND('Riesgos de gestión'!$Y$26="Muy Alta",'Riesgos de gestión'!$AA$26="Catastrófico"),CONCATENATE("R3C",'Riesgos de gestión'!$O$26),"")</f>
        <v/>
      </c>
      <c r="AM8" s="57" t="str">
        <f>IF(AND('Riesgos de gestión'!$Y$27="Muy Alta",'Riesgos de gestión'!$AA$27="Catastrófico"),CONCATENATE("R3C",'Riesgos de gestión'!$O$27),"")</f>
        <v/>
      </c>
      <c r="AN8" s="83"/>
      <c r="AO8" s="1208"/>
      <c r="AP8" s="1209"/>
      <c r="AQ8" s="1209"/>
      <c r="AR8" s="1209"/>
      <c r="AS8" s="1209"/>
      <c r="AT8" s="1210"/>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row>
    <row r="9" spans="1:91" ht="15" customHeight="1" x14ac:dyDescent="0.25">
      <c r="A9" s="83"/>
      <c r="B9" s="1103"/>
      <c r="C9" s="1103"/>
      <c r="D9" s="1104"/>
      <c r="E9" s="1202"/>
      <c r="F9" s="1201"/>
      <c r="G9" s="1201"/>
      <c r="H9" s="1201"/>
      <c r="I9" s="1217"/>
      <c r="J9" s="52" t="str">
        <f>IF(AND('Riesgos de gestión'!$Y$28="Muy Alta",'Riesgos de gestión'!$AA$28="Leve"),CONCATENATE("R4C",'Riesgos de gestión'!$O$28),"")</f>
        <v/>
      </c>
      <c r="K9" s="53" t="str">
        <f>IF(AND('Riesgos de gestión'!$Y$29="Muy Alta",'Riesgos de gestión'!$AA$29="Leve"),CONCATENATE("R4C",'Riesgos de gestión'!$O$29),"")</f>
        <v/>
      </c>
      <c r="L9" s="53" t="str">
        <f>IF(AND('Riesgos de gestión'!$Y$30="Muy Alta",'Riesgos de gestión'!$AA$30="Leve"),CONCATENATE("R4C",'Riesgos de gestión'!$O$30),"")</f>
        <v/>
      </c>
      <c r="M9" s="53" t="str">
        <f>IF(AND('Riesgos de gestión'!$Y$31="Muy Alta",'Riesgos de gestión'!$AA$31="Leve"),CONCATENATE("R4C",'Riesgos de gestión'!$O$31),"")</f>
        <v/>
      </c>
      <c r="N9" s="53" t="str">
        <f>IF(AND('Riesgos de gestión'!$Y$32="Muy Alta",'Riesgos de gestión'!$AA$32="Leve"),CONCATENATE("R4C",'Riesgos de gestión'!$O$32),"")</f>
        <v/>
      </c>
      <c r="O9" s="54" t="str">
        <f>IF(AND('Riesgos de gestión'!$Y$33="Muy Alta",'Riesgos de gestión'!$AA$33="Leve"),CONCATENATE("R4C",'Riesgos de gestión'!$O$33),"")</f>
        <v/>
      </c>
      <c r="P9" s="52" t="str">
        <f>IF(AND('Riesgos de gestión'!$Y$28="Muy Alta",'Riesgos de gestión'!$AA$28="Menor"),CONCATENATE("R4C",'Riesgos de gestión'!$O$28),"")</f>
        <v/>
      </c>
      <c r="Q9" s="53" t="str">
        <f>IF(AND('Riesgos de gestión'!$Y$29="Muy Alta",'Riesgos de gestión'!$AA$29="Menor"),CONCATENATE("R4C",'Riesgos de gestión'!$O$29),"")</f>
        <v/>
      </c>
      <c r="R9" s="53" t="str">
        <f>IF(AND('Riesgos de gestión'!$Y$30="Muy Alta",'Riesgos de gestión'!$AA$30="Menor"),CONCATENATE("R4C",'Riesgos de gestión'!$O$30),"")</f>
        <v/>
      </c>
      <c r="S9" s="53" t="str">
        <f>IF(AND('Riesgos de gestión'!$Y$31="Muy Alta",'Riesgos de gestión'!$AA$31="Menor"),CONCATENATE("R4C",'Riesgos de gestión'!$O$31),"")</f>
        <v/>
      </c>
      <c r="T9" s="53" t="str">
        <f>IF(AND('Riesgos de gestión'!$Y$32="Muy Alta",'Riesgos de gestión'!$AA$32="Menor"),CONCATENATE("R4C",'Riesgos de gestión'!$O$32),"")</f>
        <v/>
      </c>
      <c r="U9" s="54" t="str">
        <f>IF(AND('Riesgos de gestión'!$Y$33="Muy Alta",'Riesgos de gestión'!$AA$33="Menor"),CONCATENATE("R4C",'Riesgos de gestión'!$O$33),"")</f>
        <v/>
      </c>
      <c r="V9" s="52" t="str">
        <f>IF(AND('Riesgos de gestión'!$Y$28="Muy Alta",'Riesgos de gestión'!$AA$28="Moderado"),CONCATENATE("R4C",'Riesgos de gestión'!$O$28),"")</f>
        <v/>
      </c>
      <c r="W9" s="53" t="str">
        <f>IF(AND('Riesgos de gestión'!$Y$29="Muy Alta",'Riesgos de gestión'!$AA$29="Moderado"),CONCATENATE("R4C",'Riesgos de gestión'!$O$29),"")</f>
        <v/>
      </c>
      <c r="X9" s="53" t="str">
        <f>IF(AND('Riesgos de gestión'!$Y$30="Muy Alta",'Riesgos de gestión'!$AA$30="Moderado"),CONCATENATE("R4C",'Riesgos de gestión'!$O$30),"")</f>
        <v/>
      </c>
      <c r="Y9" s="53" t="str">
        <f>IF(AND('Riesgos de gestión'!$Y$31="Muy Alta",'Riesgos de gestión'!$AA$31="Moderado"),CONCATENATE("R4C",'Riesgos de gestión'!$O$31),"")</f>
        <v/>
      </c>
      <c r="Z9" s="53" t="str">
        <f>IF(AND('Riesgos de gestión'!$Y$32="Muy Alta",'Riesgos de gestión'!$AA$32="Moderado"),CONCATENATE("R4C",'Riesgos de gestión'!$O$32),"")</f>
        <v/>
      </c>
      <c r="AA9" s="54" t="str">
        <f>IF(AND('Riesgos de gestión'!$Y$33="Muy Alta",'Riesgos de gestión'!$AA$33="Moderado"),CONCATENATE("R4C",'Riesgos de gestión'!$O$33),"")</f>
        <v/>
      </c>
      <c r="AB9" s="52" t="str">
        <f>IF(AND('Riesgos de gestión'!$Y$28="Muy Alta",'Riesgos de gestión'!$AA$28="Mayor"),CONCATENATE("R4C",'Riesgos de gestión'!$O$28),"")</f>
        <v/>
      </c>
      <c r="AC9" s="53" t="str">
        <f>IF(AND('Riesgos de gestión'!$Y$29="Muy Alta",'Riesgos de gestión'!$AA$29="Mayor"),CONCATENATE("R4C",'Riesgos de gestión'!$O$29),"")</f>
        <v/>
      </c>
      <c r="AD9" s="53" t="str">
        <f>IF(AND('Riesgos de gestión'!$Y$30="Muy Alta",'Riesgos de gestión'!$AA$30="Mayor"),CONCATENATE("R4C",'Riesgos de gestión'!$O$30),"")</f>
        <v/>
      </c>
      <c r="AE9" s="53" t="str">
        <f>IF(AND('Riesgos de gestión'!$Y$31="Muy Alta",'Riesgos de gestión'!$AA$31="Mayor"),CONCATENATE("R4C",'Riesgos de gestión'!$O$31),"")</f>
        <v/>
      </c>
      <c r="AF9" s="53" t="str">
        <f>IF(AND('Riesgos de gestión'!$Y$32="Muy Alta",'Riesgos de gestión'!$AA$32="Mayor"),CONCATENATE("R4C",'Riesgos de gestión'!$O$32),"")</f>
        <v/>
      </c>
      <c r="AG9" s="54" t="str">
        <f>IF(AND('Riesgos de gestión'!$Y$33="Muy Alta",'Riesgos de gestión'!$AA$33="Mayor"),CONCATENATE("R4C",'Riesgos de gestión'!$O$33),"")</f>
        <v/>
      </c>
      <c r="AH9" s="55" t="str">
        <f>IF(AND('Riesgos de gestión'!$Y$28="Muy Alta",'Riesgos de gestión'!$AA$28="Catastrófico"),CONCATENATE("R4C",'Riesgos de gestión'!$O$28),"")</f>
        <v/>
      </c>
      <c r="AI9" s="56" t="str">
        <f>IF(AND('Riesgos de gestión'!$Y$29="Muy Alta",'Riesgos de gestión'!$AA$29="Catastrófico"),CONCATENATE("R4C",'Riesgos de gestión'!$O$29),"")</f>
        <v/>
      </c>
      <c r="AJ9" s="56" t="str">
        <f>IF(AND('Riesgos de gestión'!$Y$30="Muy Alta",'Riesgos de gestión'!$AA$30="Catastrófico"),CONCATENATE("R4C",'Riesgos de gestión'!$O$30),"")</f>
        <v/>
      </c>
      <c r="AK9" s="56" t="str">
        <f>IF(AND('Riesgos de gestión'!$Y$31="Muy Alta",'Riesgos de gestión'!$AA$31="Catastrófico"),CONCATENATE("R4C",'Riesgos de gestión'!$O$31),"")</f>
        <v/>
      </c>
      <c r="AL9" s="56" t="str">
        <f>IF(AND('Riesgos de gestión'!$Y$32="Muy Alta",'Riesgos de gestión'!$AA$32="Catastrófico"),CONCATENATE("R4C",'Riesgos de gestión'!$O$32),"")</f>
        <v/>
      </c>
      <c r="AM9" s="57" t="str">
        <f>IF(AND('Riesgos de gestión'!$Y$33="Muy Alta",'Riesgos de gestión'!$AA$33="Catastrófico"),CONCATENATE("R4C",'Riesgos de gestión'!$O$33),"")</f>
        <v/>
      </c>
      <c r="AN9" s="83"/>
      <c r="AO9" s="1208"/>
      <c r="AP9" s="1209"/>
      <c r="AQ9" s="1209"/>
      <c r="AR9" s="1209"/>
      <c r="AS9" s="1209"/>
      <c r="AT9" s="1210"/>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row>
    <row r="10" spans="1:91" ht="15" customHeight="1" x14ac:dyDescent="0.25">
      <c r="A10" s="83"/>
      <c r="B10" s="1103"/>
      <c r="C10" s="1103"/>
      <c r="D10" s="1104"/>
      <c r="E10" s="1202"/>
      <c r="F10" s="1201"/>
      <c r="G10" s="1201"/>
      <c r="H10" s="1201"/>
      <c r="I10" s="1217"/>
      <c r="J10" s="52" t="str">
        <f>IF(AND('Riesgos de gestión'!$Y$34="Muy Alta",'Riesgos de gestión'!$AA$34="Leve"),CONCATENATE("R5C",'Riesgos de gestión'!$O$34),"")</f>
        <v/>
      </c>
      <c r="K10" s="53" t="str">
        <f>IF(AND('Riesgos de gestión'!$Y$35="Muy Alta",'Riesgos de gestión'!$AA$35="Leve"),CONCATENATE("R5C",'Riesgos de gestión'!$O$35),"")</f>
        <v/>
      </c>
      <c r="L10" s="53" t="str">
        <f>IF(AND('Riesgos de gestión'!$Y$36="Muy Alta",'Riesgos de gestión'!$AA$36="Leve"),CONCATENATE("R5C",'Riesgos de gestión'!$O$36),"")</f>
        <v/>
      </c>
      <c r="M10" s="53" t="str">
        <f>IF(AND('Riesgos de gestión'!$Y$37="Muy Alta",'Riesgos de gestión'!$AA$37="Leve"),CONCATENATE("R5C",'Riesgos de gestión'!$O$37),"")</f>
        <v/>
      </c>
      <c r="N10" s="53" t="str">
        <f>IF(AND('Riesgos de gestión'!$Y$38="Muy Alta",'Riesgos de gestión'!$AA$38="Leve"),CONCATENATE("R5C",'Riesgos de gestión'!$O$38),"")</f>
        <v/>
      </c>
      <c r="O10" s="54" t="str">
        <f>IF(AND('Riesgos de gestión'!$Y$39="Muy Alta",'Riesgos de gestión'!$AA$39="Leve"),CONCATENATE("R5C",'Riesgos de gestión'!$O$39),"")</f>
        <v/>
      </c>
      <c r="P10" s="52" t="str">
        <f>IF(AND('Riesgos de gestión'!$Y$34="Muy Alta",'Riesgos de gestión'!$AA$34="Menor"),CONCATENATE("R5C",'Riesgos de gestión'!$O$34),"")</f>
        <v/>
      </c>
      <c r="Q10" s="53" t="str">
        <f>IF(AND('Riesgos de gestión'!$Y$35="Muy Alta",'Riesgos de gestión'!$AA$35="Menor"),CONCATENATE("R5C",'Riesgos de gestión'!$O$35),"")</f>
        <v/>
      </c>
      <c r="R10" s="53" t="str">
        <f>IF(AND('Riesgos de gestión'!$Y$36="Muy Alta",'Riesgos de gestión'!$AA$36="Menor"),CONCATENATE("R5C",'Riesgos de gestión'!$O$36),"")</f>
        <v/>
      </c>
      <c r="S10" s="53" t="str">
        <f>IF(AND('Riesgos de gestión'!$Y$37="Muy Alta",'Riesgos de gestión'!$AA$37="Menor"),CONCATENATE("R5C",'Riesgos de gestión'!$O$37),"")</f>
        <v/>
      </c>
      <c r="T10" s="53" t="str">
        <f>IF(AND('Riesgos de gestión'!$Y$38="Muy Alta",'Riesgos de gestión'!$AA$38="Menor"),CONCATENATE("R5C",'Riesgos de gestión'!$O$38),"")</f>
        <v/>
      </c>
      <c r="U10" s="54" t="str">
        <f>IF(AND('Riesgos de gestión'!$Y$39="Muy Alta",'Riesgos de gestión'!$AA$39="Menor"),CONCATENATE("R5C",'Riesgos de gestión'!$O$39),"")</f>
        <v/>
      </c>
      <c r="V10" s="52" t="str">
        <f>IF(AND('Riesgos de gestión'!$Y$34="Muy Alta",'Riesgos de gestión'!$AA$34="Moderado"),CONCATENATE("R5C",'Riesgos de gestión'!$O$34),"")</f>
        <v/>
      </c>
      <c r="W10" s="53" t="str">
        <f>IF(AND('Riesgos de gestión'!$Y$35="Muy Alta",'Riesgos de gestión'!$AA$35="Moderado"),CONCATENATE("R5C",'Riesgos de gestión'!$O$35),"")</f>
        <v/>
      </c>
      <c r="X10" s="53" t="str">
        <f>IF(AND('Riesgos de gestión'!$Y$36="Muy Alta",'Riesgos de gestión'!$AA$36="Moderado"),CONCATENATE("R5C",'Riesgos de gestión'!$O$36),"")</f>
        <v/>
      </c>
      <c r="Y10" s="53" t="str">
        <f>IF(AND('Riesgos de gestión'!$Y$37="Muy Alta",'Riesgos de gestión'!$AA$37="Moderado"),CONCATENATE("R5C",'Riesgos de gestión'!$O$37),"")</f>
        <v/>
      </c>
      <c r="Z10" s="53" t="str">
        <f>IF(AND('Riesgos de gestión'!$Y$38="Muy Alta",'Riesgos de gestión'!$AA$38="Moderado"),CONCATENATE("R5C",'Riesgos de gestión'!$O$38),"")</f>
        <v/>
      </c>
      <c r="AA10" s="54" t="str">
        <f>IF(AND('Riesgos de gestión'!$Y$39="Muy Alta",'Riesgos de gestión'!$AA$39="Moderado"),CONCATENATE("R5C",'Riesgos de gestión'!$O$39),"")</f>
        <v/>
      </c>
      <c r="AB10" s="52" t="str">
        <f>IF(AND('Riesgos de gestión'!$Y$34="Muy Alta",'Riesgos de gestión'!$AA$34="Mayor"),CONCATENATE("R5C",'Riesgos de gestión'!$O$34),"")</f>
        <v/>
      </c>
      <c r="AC10" s="53" t="str">
        <f>IF(AND('Riesgos de gestión'!$Y$35="Muy Alta",'Riesgos de gestión'!$AA$35="Mayor"),CONCATENATE("R5C",'Riesgos de gestión'!$O$35),"")</f>
        <v/>
      </c>
      <c r="AD10" s="53" t="str">
        <f>IF(AND('Riesgos de gestión'!$Y$36="Muy Alta",'Riesgos de gestión'!$AA$36="Mayor"),CONCATENATE("R5C",'Riesgos de gestión'!$O$36),"")</f>
        <v/>
      </c>
      <c r="AE10" s="53" t="str">
        <f>IF(AND('Riesgos de gestión'!$Y$37="Muy Alta",'Riesgos de gestión'!$AA$37="Mayor"),CONCATENATE("R5C",'Riesgos de gestión'!$O$37),"")</f>
        <v/>
      </c>
      <c r="AF10" s="53" t="str">
        <f>IF(AND('Riesgos de gestión'!$Y$38="Muy Alta",'Riesgos de gestión'!$AA$38="Mayor"),CONCATENATE("R5C",'Riesgos de gestión'!$O$38),"")</f>
        <v/>
      </c>
      <c r="AG10" s="54" t="str">
        <f>IF(AND('Riesgos de gestión'!$Y$39="Muy Alta",'Riesgos de gestión'!$AA$39="Mayor"),CONCATENATE("R5C",'Riesgos de gestión'!$O$39),"")</f>
        <v/>
      </c>
      <c r="AH10" s="55" t="str">
        <f>IF(AND('Riesgos de gestión'!$Y$34="Muy Alta",'Riesgos de gestión'!$AA$34="Catastrófico"),CONCATENATE("R5C",'Riesgos de gestión'!$O$34),"")</f>
        <v/>
      </c>
      <c r="AI10" s="56" t="str">
        <f>IF(AND('Riesgos de gestión'!$Y$35="Muy Alta",'Riesgos de gestión'!$AA$35="Catastrófico"),CONCATENATE("R5C",'Riesgos de gestión'!$O$35),"")</f>
        <v/>
      </c>
      <c r="AJ10" s="56" t="str">
        <f>IF(AND('Riesgos de gestión'!$Y$36="Muy Alta",'Riesgos de gestión'!$AA$36="Catastrófico"),CONCATENATE("R5C",'Riesgos de gestión'!$O$36),"")</f>
        <v/>
      </c>
      <c r="AK10" s="56" t="str">
        <f>IF(AND('Riesgos de gestión'!$Y$37="Muy Alta",'Riesgos de gestión'!$AA$37="Catastrófico"),CONCATENATE("R5C",'Riesgos de gestión'!$O$37),"")</f>
        <v/>
      </c>
      <c r="AL10" s="56" t="str">
        <f>IF(AND('Riesgos de gestión'!$Y$38="Muy Alta",'Riesgos de gestión'!$AA$38="Catastrófico"),CONCATENATE("R5C",'Riesgos de gestión'!$O$38),"")</f>
        <v/>
      </c>
      <c r="AM10" s="57" t="str">
        <f>IF(AND('Riesgos de gestión'!$Y$39="Muy Alta",'Riesgos de gestión'!$AA$39="Catastrófico"),CONCATENATE("R5C",'Riesgos de gestión'!$O$39),"")</f>
        <v/>
      </c>
      <c r="AN10" s="83"/>
      <c r="AO10" s="1208"/>
      <c r="AP10" s="1209"/>
      <c r="AQ10" s="1209"/>
      <c r="AR10" s="1209"/>
      <c r="AS10" s="1209"/>
      <c r="AT10" s="1210"/>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row>
    <row r="11" spans="1:91" ht="15" customHeight="1" x14ac:dyDescent="0.25">
      <c r="A11" s="83"/>
      <c r="B11" s="1103"/>
      <c r="C11" s="1103"/>
      <c r="D11" s="1104"/>
      <c r="E11" s="1202"/>
      <c r="F11" s="1201"/>
      <c r="G11" s="1201"/>
      <c r="H11" s="1201"/>
      <c r="I11" s="1217"/>
      <c r="J11" s="52" t="str">
        <f>IF(AND('Riesgos de gestión'!$Y$40="Muy Alta",'Riesgos de gestión'!$AA$40="Leve"),CONCATENATE("R6C",'Riesgos de gestión'!$O$40),"")</f>
        <v/>
      </c>
      <c r="K11" s="53" t="str">
        <f>IF(AND('Riesgos de gestión'!$Y$41="Muy Alta",'Riesgos de gestión'!$AA$41="Leve"),CONCATENATE("R6C",'Riesgos de gestión'!$O$41),"")</f>
        <v/>
      </c>
      <c r="L11" s="53" t="str">
        <f>IF(AND('Riesgos de gestión'!$Y$42="Muy Alta",'Riesgos de gestión'!$AA$42="Leve"),CONCATENATE("R6C",'Riesgos de gestión'!$O$42),"")</f>
        <v/>
      </c>
      <c r="M11" s="53" t="str">
        <f>IF(AND('Riesgos de gestión'!$Y$43="Muy Alta",'Riesgos de gestión'!$AA$43="Leve"),CONCATENATE("R6C",'Riesgos de gestión'!$O$43),"")</f>
        <v/>
      </c>
      <c r="N11" s="53" t="str">
        <f>IF(AND('Riesgos de gestión'!$Y$44="Muy Alta",'Riesgos de gestión'!$AA$44="Leve"),CONCATENATE("R6C",'Riesgos de gestión'!$O$44),"")</f>
        <v/>
      </c>
      <c r="O11" s="54" t="str">
        <f>IF(AND('Riesgos de gestión'!$Y$45="Muy Alta",'Riesgos de gestión'!$AA$45="Leve"),CONCATENATE("R6C",'Riesgos de gestión'!$O$45),"")</f>
        <v/>
      </c>
      <c r="P11" s="52" t="str">
        <f>IF(AND('Riesgos de gestión'!$Y$40="Muy Alta",'Riesgos de gestión'!$AA$40="Menor"),CONCATENATE("R6C",'Riesgos de gestión'!$O$40),"")</f>
        <v/>
      </c>
      <c r="Q11" s="53" t="str">
        <f>IF(AND('Riesgos de gestión'!$Y$41="Muy Alta",'Riesgos de gestión'!$AA$41="Menor"),CONCATENATE("R6C",'Riesgos de gestión'!$O$41),"")</f>
        <v/>
      </c>
      <c r="R11" s="53" t="str">
        <f>IF(AND('Riesgos de gestión'!$Y$42="Muy Alta",'Riesgos de gestión'!$AA$42="Menor"),CONCATENATE("R6C",'Riesgos de gestión'!$O$42),"")</f>
        <v/>
      </c>
      <c r="S11" s="53" t="str">
        <f>IF(AND('Riesgos de gestión'!$Y$43="Muy Alta",'Riesgos de gestión'!$AA$43="Menor"),CONCATENATE("R6C",'Riesgos de gestión'!$O$43),"")</f>
        <v/>
      </c>
      <c r="T11" s="53" t="str">
        <f>IF(AND('Riesgos de gestión'!$Y$44="Muy Alta",'Riesgos de gestión'!$AA$44="Menor"),CONCATENATE("R6C",'Riesgos de gestión'!$O$44),"")</f>
        <v/>
      </c>
      <c r="U11" s="54" t="str">
        <f>IF(AND('Riesgos de gestión'!$Y$45="Muy Alta",'Riesgos de gestión'!$AA$45="Menor"),CONCATENATE("R6C",'Riesgos de gestión'!$O$45),"")</f>
        <v/>
      </c>
      <c r="V11" s="52" t="str">
        <f>IF(AND('Riesgos de gestión'!$Y$40="Muy Alta",'Riesgos de gestión'!$AA$40="Moderado"),CONCATENATE("R6C",'Riesgos de gestión'!$O$40),"")</f>
        <v/>
      </c>
      <c r="W11" s="53" t="str">
        <f>IF(AND('Riesgos de gestión'!$Y$41="Muy Alta",'Riesgos de gestión'!$AA$41="Moderado"),CONCATENATE("R6C",'Riesgos de gestión'!$O$41),"")</f>
        <v/>
      </c>
      <c r="X11" s="53" t="str">
        <f>IF(AND('Riesgos de gestión'!$Y$42="Muy Alta",'Riesgos de gestión'!$AA$42="Moderado"),CONCATENATE("R6C",'Riesgos de gestión'!$O$42),"")</f>
        <v/>
      </c>
      <c r="Y11" s="53" t="str">
        <f>IF(AND('Riesgos de gestión'!$Y$43="Muy Alta",'Riesgos de gestión'!$AA$43="Moderado"),CONCATENATE("R6C",'Riesgos de gestión'!$O$43),"")</f>
        <v/>
      </c>
      <c r="Z11" s="53" t="str">
        <f>IF(AND('Riesgos de gestión'!$Y$44="Muy Alta",'Riesgos de gestión'!$AA$44="Moderado"),CONCATENATE("R6C",'Riesgos de gestión'!$O$44),"")</f>
        <v/>
      </c>
      <c r="AA11" s="54" t="str">
        <f>IF(AND('Riesgos de gestión'!$Y$45="Muy Alta",'Riesgos de gestión'!$AA$45="Moderado"),CONCATENATE("R6C",'Riesgos de gestión'!$O$45),"")</f>
        <v/>
      </c>
      <c r="AB11" s="52" t="str">
        <f>IF(AND('Riesgos de gestión'!$Y$40="Muy Alta",'Riesgos de gestión'!$AA$40="Mayor"),CONCATENATE("R6C",'Riesgos de gestión'!$O$40),"")</f>
        <v/>
      </c>
      <c r="AC11" s="53" t="str">
        <f>IF(AND('Riesgos de gestión'!$Y$41="Muy Alta",'Riesgos de gestión'!$AA$41="Mayor"),CONCATENATE("R6C",'Riesgos de gestión'!$O$41),"")</f>
        <v/>
      </c>
      <c r="AD11" s="53" t="str">
        <f>IF(AND('Riesgos de gestión'!$Y$42="Muy Alta",'Riesgos de gestión'!$AA$42="Mayor"),CONCATENATE("R6C",'Riesgos de gestión'!$O$42),"")</f>
        <v/>
      </c>
      <c r="AE11" s="53" t="str">
        <f>IF(AND('Riesgos de gestión'!$Y$43="Muy Alta",'Riesgos de gestión'!$AA$43="Mayor"),CONCATENATE("R6C",'Riesgos de gestión'!$O$43),"")</f>
        <v/>
      </c>
      <c r="AF11" s="53" t="str">
        <f>IF(AND('Riesgos de gestión'!$Y$44="Muy Alta",'Riesgos de gestión'!$AA$44="Mayor"),CONCATENATE("R6C",'Riesgos de gestión'!$O$44),"")</f>
        <v/>
      </c>
      <c r="AG11" s="54" t="str">
        <f>IF(AND('Riesgos de gestión'!$Y$45="Muy Alta",'Riesgos de gestión'!$AA$45="Mayor"),CONCATENATE("R6C",'Riesgos de gestión'!$O$45),"")</f>
        <v/>
      </c>
      <c r="AH11" s="55" t="str">
        <f>IF(AND('Riesgos de gestión'!$Y$40="Muy Alta",'Riesgos de gestión'!$AA$40="Catastrófico"),CONCATENATE("R6C",'Riesgos de gestión'!$O$40),"")</f>
        <v/>
      </c>
      <c r="AI11" s="56" t="str">
        <f>IF(AND('Riesgos de gestión'!$Y$41="Muy Alta",'Riesgos de gestión'!$AA$41="Catastrófico"),CONCATENATE("R6C",'Riesgos de gestión'!$O$41),"")</f>
        <v/>
      </c>
      <c r="AJ11" s="56" t="str">
        <f>IF(AND('Riesgos de gestión'!$Y$42="Muy Alta",'Riesgos de gestión'!$AA$42="Catastrófico"),CONCATENATE("R6C",'Riesgos de gestión'!$O$42),"")</f>
        <v/>
      </c>
      <c r="AK11" s="56" t="str">
        <f>IF(AND('Riesgos de gestión'!$Y$43="Muy Alta",'Riesgos de gestión'!$AA$43="Catastrófico"),CONCATENATE("R6C",'Riesgos de gestión'!$O$43),"")</f>
        <v/>
      </c>
      <c r="AL11" s="56" t="str">
        <f>IF(AND('Riesgos de gestión'!$Y$44="Muy Alta",'Riesgos de gestión'!$AA$44="Catastrófico"),CONCATENATE("R6C",'Riesgos de gestión'!$O$44),"")</f>
        <v/>
      </c>
      <c r="AM11" s="57" t="str">
        <f>IF(AND('Riesgos de gestión'!$Y$45="Muy Alta",'Riesgos de gestión'!$AA$45="Catastrófico"),CONCATENATE("R6C",'Riesgos de gestión'!$O$45),"")</f>
        <v/>
      </c>
      <c r="AN11" s="83"/>
      <c r="AO11" s="1208"/>
      <c r="AP11" s="1209"/>
      <c r="AQ11" s="1209"/>
      <c r="AR11" s="1209"/>
      <c r="AS11" s="1209"/>
      <c r="AT11" s="1210"/>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row>
    <row r="12" spans="1:91" ht="15" customHeight="1" x14ac:dyDescent="0.25">
      <c r="A12" s="83"/>
      <c r="B12" s="1103"/>
      <c r="C12" s="1103"/>
      <c r="D12" s="1104"/>
      <c r="E12" s="1202"/>
      <c r="F12" s="1201"/>
      <c r="G12" s="1201"/>
      <c r="H12" s="1201"/>
      <c r="I12" s="1217"/>
      <c r="J12" s="52" t="str">
        <f>IF(AND('Riesgos de gestión'!$Y$46="Muy Alta",'Riesgos de gestión'!$AA$46="Leve"),CONCATENATE("R7C",'Riesgos de gestión'!$O$46),"")</f>
        <v/>
      </c>
      <c r="K12" s="53" t="str">
        <f>IF(AND('Riesgos de gestión'!$Y$47="Muy Alta",'Riesgos de gestión'!$AA$47="Leve"),CONCATENATE("R7C",'Riesgos de gestión'!$O$47),"")</f>
        <v/>
      </c>
      <c r="L12" s="53" t="str">
        <f>IF(AND('Riesgos de gestión'!$Y$48="Muy Alta",'Riesgos de gestión'!$AA$48="Leve"),CONCATENATE("R7C",'Riesgos de gestión'!$O$48),"")</f>
        <v/>
      </c>
      <c r="M12" s="53" t="str">
        <f>IF(AND('Riesgos de gestión'!$Y$49="Muy Alta",'Riesgos de gestión'!$AA$49="Leve"),CONCATENATE("R7C",'Riesgos de gestión'!$O$49),"")</f>
        <v/>
      </c>
      <c r="N12" s="53" t="str">
        <f>IF(AND('Riesgos de gestión'!$Y$50="Muy Alta",'Riesgos de gestión'!$AA$50="Leve"),CONCATENATE("R7C",'Riesgos de gestión'!$O$50),"")</f>
        <v/>
      </c>
      <c r="O12" s="54" t="str">
        <f>IF(AND('Riesgos de gestión'!$Y$51="Muy Alta",'Riesgos de gestión'!$AA$51="Leve"),CONCATENATE("R7C",'Riesgos de gestión'!$O$51),"")</f>
        <v/>
      </c>
      <c r="P12" s="52" t="str">
        <f>IF(AND('Riesgos de gestión'!$Y$46="Muy Alta",'Riesgos de gestión'!$AA$46="Menor"),CONCATENATE("R7C",'Riesgos de gestión'!$O$46),"")</f>
        <v/>
      </c>
      <c r="Q12" s="53" t="str">
        <f>IF(AND('Riesgos de gestión'!$Y$47="Muy Alta",'Riesgos de gestión'!$AA$47="Menor"),CONCATENATE("R7C",'Riesgos de gestión'!$O$47),"")</f>
        <v/>
      </c>
      <c r="R12" s="53" t="str">
        <f>IF(AND('Riesgos de gestión'!$Y$48="Muy Alta",'Riesgos de gestión'!$AA$48="Menor"),CONCATENATE("R7C",'Riesgos de gestión'!$O$48),"")</f>
        <v/>
      </c>
      <c r="S12" s="53" t="str">
        <f>IF(AND('Riesgos de gestión'!$Y$49="Muy Alta",'Riesgos de gestión'!$AA$49="Menor"),CONCATENATE("R7C",'Riesgos de gestión'!$O$49),"")</f>
        <v/>
      </c>
      <c r="T12" s="53" t="str">
        <f>IF(AND('Riesgos de gestión'!$Y$50="Muy Alta",'Riesgos de gestión'!$AA$50="Menor"),CONCATENATE("R7C",'Riesgos de gestión'!$O$50),"")</f>
        <v/>
      </c>
      <c r="U12" s="54" t="str">
        <f>IF(AND('Riesgos de gestión'!$Y$51="Muy Alta",'Riesgos de gestión'!$AA$51="Menor"),CONCATENATE("R7C",'Riesgos de gestión'!$O$51),"")</f>
        <v/>
      </c>
      <c r="V12" s="52" t="str">
        <f>IF(AND('Riesgos de gestión'!$Y$46="Muy Alta",'Riesgos de gestión'!$AA$46="Moderado"),CONCATENATE("R7C",'Riesgos de gestión'!$O$46),"")</f>
        <v/>
      </c>
      <c r="W12" s="53" t="str">
        <f>IF(AND('Riesgos de gestión'!$Y$47="Muy Alta",'Riesgos de gestión'!$AA$47="Moderado"),CONCATENATE("R7C",'Riesgos de gestión'!$O$47),"")</f>
        <v/>
      </c>
      <c r="X12" s="53" t="str">
        <f>IF(AND('Riesgos de gestión'!$Y$48="Muy Alta",'Riesgos de gestión'!$AA$48="Moderado"),CONCATENATE("R7C",'Riesgos de gestión'!$O$48),"")</f>
        <v/>
      </c>
      <c r="Y12" s="53" t="str">
        <f>IF(AND('Riesgos de gestión'!$Y$49="Muy Alta",'Riesgos de gestión'!$AA$49="Moderado"),CONCATENATE("R7C",'Riesgos de gestión'!$O$49),"")</f>
        <v/>
      </c>
      <c r="Z12" s="53" t="str">
        <f>IF(AND('Riesgos de gestión'!$Y$50="Muy Alta",'Riesgos de gestión'!$AA$50="Moderado"),CONCATENATE("R7C",'Riesgos de gestión'!$O$50),"")</f>
        <v/>
      </c>
      <c r="AA12" s="54" t="str">
        <f>IF(AND('Riesgos de gestión'!$Y$51="Muy Alta",'Riesgos de gestión'!$AA$51="Moderado"),CONCATENATE("R7C",'Riesgos de gestión'!$O$51),"")</f>
        <v/>
      </c>
      <c r="AB12" s="52" t="str">
        <f>IF(AND('Riesgos de gestión'!$Y$46="Muy Alta",'Riesgos de gestión'!$AA$46="Mayor"),CONCATENATE("R7C",'Riesgos de gestión'!$O$46),"")</f>
        <v/>
      </c>
      <c r="AC12" s="53" t="str">
        <f>IF(AND('Riesgos de gestión'!$Y$47="Muy Alta",'Riesgos de gestión'!$AA$47="Mayor"),CONCATENATE("R7C",'Riesgos de gestión'!$O$47),"")</f>
        <v/>
      </c>
      <c r="AD12" s="53" t="str">
        <f>IF(AND('Riesgos de gestión'!$Y$48="Muy Alta",'Riesgos de gestión'!$AA$48="Mayor"),CONCATENATE("R7C",'Riesgos de gestión'!$O$48),"")</f>
        <v/>
      </c>
      <c r="AE12" s="53" t="str">
        <f>IF(AND('Riesgos de gestión'!$Y$49="Muy Alta",'Riesgos de gestión'!$AA$49="Mayor"),CONCATENATE("R7C",'Riesgos de gestión'!$O$49),"")</f>
        <v/>
      </c>
      <c r="AF12" s="53" t="str">
        <f>IF(AND('Riesgos de gestión'!$Y$50="Muy Alta",'Riesgos de gestión'!$AA$50="Mayor"),CONCATENATE("R7C",'Riesgos de gestión'!$O$50),"")</f>
        <v/>
      </c>
      <c r="AG12" s="54" t="str">
        <f>IF(AND('Riesgos de gestión'!$Y$51="Muy Alta",'Riesgos de gestión'!$AA$51="Mayor"),CONCATENATE("R7C",'Riesgos de gestión'!$O$51),"")</f>
        <v/>
      </c>
      <c r="AH12" s="55" t="str">
        <f>IF(AND('Riesgos de gestión'!$Y$46="Muy Alta",'Riesgos de gestión'!$AA$46="Catastrófico"),CONCATENATE("R7C",'Riesgos de gestión'!$O$46),"")</f>
        <v/>
      </c>
      <c r="AI12" s="56" t="str">
        <f>IF(AND('Riesgos de gestión'!$Y$47="Muy Alta",'Riesgos de gestión'!$AA$47="Catastrófico"),CONCATENATE("R7C",'Riesgos de gestión'!$O$47),"")</f>
        <v/>
      </c>
      <c r="AJ12" s="56" t="str">
        <f>IF(AND('Riesgos de gestión'!$Y$48="Muy Alta",'Riesgos de gestión'!$AA$48="Catastrófico"),CONCATENATE("R7C",'Riesgos de gestión'!$O$48),"")</f>
        <v/>
      </c>
      <c r="AK12" s="56" t="str">
        <f>IF(AND('Riesgos de gestión'!$Y$49="Muy Alta",'Riesgos de gestión'!$AA$49="Catastrófico"),CONCATENATE("R7C",'Riesgos de gestión'!$O$49),"")</f>
        <v/>
      </c>
      <c r="AL12" s="56" t="str">
        <f>IF(AND('Riesgos de gestión'!$Y$50="Muy Alta",'Riesgos de gestión'!$AA$50="Catastrófico"),CONCATENATE("R7C",'Riesgos de gestión'!$O$50),"")</f>
        <v/>
      </c>
      <c r="AM12" s="57" t="str">
        <f>IF(AND('Riesgos de gestión'!$Y$51="Muy Alta",'Riesgos de gestión'!$AA$51="Catastrófico"),CONCATENATE("R7C",'Riesgos de gestión'!$O$51),"")</f>
        <v/>
      </c>
      <c r="AN12" s="83"/>
      <c r="AO12" s="1208"/>
      <c r="AP12" s="1209"/>
      <c r="AQ12" s="1209"/>
      <c r="AR12" s="1209"/>
      <c r="AS12" s="1209"/>
      <c r="AT12" s="1210"/>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row>
    <row r="13" spans="1:91" ht="15" customHeight="1" x14ac:dyDescent="0.25">
      <c r="A13" s="83"/>
      <c r="B13" s="1103"/>
      <c r="C13" s="1103"/>
      <c r="D13" s="1104"/>
      <c r="E13" s="1202"/>
      <c r="F13" s="1201"/>
      <c r="G13" s="1201"/>
      <c r="H13" s="1201"/>
      <c r="I13" s="1217"/>
      <c r="J13" s="52" t="str">
        <f>IF(AND('Riesgos de gestión'!$Y$52="Muy Alta",'Riesgos de gestión'!$AA$52="Leve"),CONCATENATE("R8C",'Riesgos de gestión'!$O$52),"")</f>
        <v/>
      </c>
      <c r="K13" s="53" t="str">
        <f>IF(AND('Riesgos de gestión'!$Y$53="Muy Alta",'Riesgos de gestión'!$AA$53="Leve"),CONCATENATE("R8C",'Riesgos de gestión'!$O$53),"")</f>
        <v/>
      </c>
      <c r="L13" s="53" t="str">
        <f>IF(AND('Riesgos de gestión'!$Y$54="Muy Alta",'Riesgos de gestión'!$AA$54="Leve"),CONCATENATE("R8C",'Riesgos de gestión'!$O$54),"")</f>
        <v/>
      </c>
      <c r="M13" s="53" t="str">
        <f>IF(AND('Riesgos de gestión'!$Y$55="Muy Alta",'Riesgos de gestión'!$AA$55="Leve"),CONCATENATE("R8C",'Riesgos de gestión'!$O$55),"")</f>
        <v/>
      </c>
      <c r="N13" s="53" t="str">
        <f>IF(AND('Riesgos de gestión'!$Y$56="Muy Alta",'Riesgos de gestión'!$AA$56="Leve"),CONCATENATE("R8C",'Riesgos de gestión'!$O$56),"")</f>
        <v/>
      </c>
      <c r="O13" s="54" t="str">
        <f>IF(AND('Riesgos de gestión'!$Y$57="Muy Alta",'Riesgos de gestión'!$AA$57="Leve"),CONCATENATE("R8C",'Riesgos de gestión'!$O$57),"")</f>
        <v/>
      </c>
      <c r="P13" s="52" t="str">
        <f>IF(AND('Riesgos de gestión'!$Y$52="Muy Alta",'Riesgos de gestión'!$AA$52="Menor"),CONCATENATE("R8C",'Riesgos de gestión'!$O$52),"")</f>
        <v/>
      </c>
      <c r="Q13" s="53" t="str">
        <f>IF(AND('Riesgos de gestión'!$Y$53="Muy Alta",'Riesgos de gestión'!$AA$53="Menor"),CONCATENATE("R8C",'Riesgos de gestión'!$O$53),"")</f>
        <v/>
      </c>
      <c r="R13" s="53" t="str">
        <f>IF(AND('Riesgos de gestión'!$Y$54="Muy Alta",'Riesgos de gestión'!$AA$54="Menor"),CONCATENATE("R8C",'Riesgos de gestión'!$O$54),"")</f>
        <v/>
      </c>
      <c r="S13" s="53" t="str">
        <f>IF(AND('Riesgos de gestión'!$Y$55="Muy Alta",'Riesgos de gestión'!$AA$55="Menor"),CONCATENATE("R8C",'Riesgos de gestión'!$O$55),"")</f>
        <v/>
      </c>
      <c r="T13" s="53" t="str">
        <f>IF(AND('Riesgos de gestión'!$Y$56="Muy Alta",'Riesgos de gestión'!$AA$56="Menor"),CONCATENATE("R8C",'Riesgos de gestión'!$O$56),"")</f>
        <v/>
      </c>
      <c r="U13" s="54" t="str">
        <f>IF(AND('Riesgos de gestión'!$Y$57="Muy Alta",'Riesgos de gestión'!$AA$57="Menor"),CONCATENATE("R8C",'Riesgos de gestión'!$O$57),"")</f>
        <v/>
      </c>
      <c r="V13" s="52" t="str">
        <f>IF(AND('Riesgos de gestión'!$Y$52="Muy Alta",'Riesgos de gestión'!$AA$52="Moderado"),CONCATENATE("R8C",'Riesgos de gestión'!$O$52),"")</f>
        <v/>
      </c>
      <c r="W13" s="53" t="str">
        <f>IF(AND('Riesgos de gestión'!$Y$53="Muy Alta",'Riesgos de gestión'!$AA$53="Moderado"),CONCATENATE("R8C",'Riesgos de gestión'!$O$53),"")</f>
        <v/>
      </c>
      <c r="X13" s="53" t="str">
        <f>IF(AND('Riesgos de gestión'!$Y$54="Muy Alta",'Riesgos de gestión'!$AA$54="Moderado"),CONCATENATE("R8C",'Riesgos de gestión'!$O$54),"")</f>
        <v/>
      </c>
      <c r="Y13" s="53" t="str">
        <f>IF(AND('Riesgos de gestión'!$Y$55="Muy Alta",'Riesgos de gestión'!$AA$55="Moderado"),CONCATENATE("R8C",'Riesgos de gestión'!$O$55),"")</f>
        <v/>
      </c>
      <c r="Z13" s="53" t="str">
        <f>IF(AND('Riesgos de gestión'!$Y$56="Muy Alta",'Riesgos de gestión'!$AA$56="Moderado"),CONCATENATE("R8C",'Riesgos de gestión'!$O$56),"")</f>
        <v/>
      </c>
      <c r="AA13" s="54" t="str">
        <f>IF(AND('Riesgos de gestión'!$Y$57="Muy Alta",'Riesgos de gestión'!$AA$57="Moderado"),CONCATENATE("R8C",'Riesgos de gestión'!$O$57),"")</f>
        <v/>
      </c>
      <c r="AB13" s="52" t="str">
        <f>IF(AND('Riesgos de gestión'!$Y$52="Muy Alta",'Riesgos de gestión'!$AA$52="Mayor"),CONCATENATE("R8C",'Riesgos de gestión'!$O$52),"")</f>
        <v/>
      </c>
      <c r="AC13" s="53" t="str">
        <f>IF(AND('Riesgos de gestión'!$Y$53="Muy Alta",'Riesgos de gestión'!$AA$53="Mayor"),CONCATENATE("R8C",'Riesgos de gestión'!$O$53),"")</f>
        <v/>
      </c>
      <c r="AD13" s="53" t="str">
        <f>IF(AND('Riesgos de gestión'!$Y$54="Muy Alta",'Riesgos de gestión'!$AA$54="Mayor"),CONCATENATE("R8C",'Riesgos de gestión'!$O$54),"")</f>
        <v/>
      </c>
      <c r="AE13" s="53" t="str">
        <f>IF(AND('Riesgos de gestión'!$Y$55="Muy Alta",'Riesgos de gestión'!$AA$55="Mayor"),CONCATENATE("R8C",'Riesgos de gestión'!$O$55),"")</f>
        <v/>
      </c>
      <c r="AF13" s="53" t="str">
        <f>IF(AND('Riesgos de gestión'!$Y$56="Muy Alta",'Riesgos de gestión'!$AA$56="Mayor"),CONCATENATE("R8C",'Riesgos de gestión'!$O$56),"")</f>
        <v/>
      </c>
      <c r="AG13" s="54" t="str">
        <f>IF(AND('Riesgos de gestión'!$Y$57="Muy Alta",'Riesgos de gestión'!$AA$57="Mayor"),CONCATENATE("R8C",'Riesgos de gestión'!$O$57),"")</f>
        <v/>
      </c>
      <c r="AH13" s="55" t="str">
        <f>IF(AND('Riesgos de gestión'!$Y$52="Muy Alta",'Riesgos de gestión'!$AA$52="Catastrófico"),CONCATENATE("R8C",'Riesgos de gestión'!$O$52),"")</f>
        <v/>
      </c>
      <c r="AI13" s="56" t="str">
        <f>IF(AND('Riesgos de gestión'!$Y$53="Muy Alta",'Riesgos de gestión'!$AA$53="Catastrófico"),CONCATENATE("R8C",'Riesgos de gestión'!$O$53),"")</f>
        <v/>
      </c>
      <c r="AJ13" s="56" t="str">
        <f>IF(AND('Riesgos de gestión'!$Y$54="Muy Alta",'Riesgos de gestión'!$AA$54="Catastrófico"),CONCATENATE("R8C",'Riesgos de gestión'!$O$54),"")</f>
        <v/>
      </c>
      <c r="AK13" s="56" t="str">
        <f>IF(AND('Riesgos de gestión'!$Y$55="Muy Alta",'Riesgos de gestión'!$AA$55="Catastrófico"),CONCATENATE("R8C",'Riesgos de gestión'!$O$55),"")</f>
        <v/>
      </c>
      <c r="AL13" s="56" t="str">
        <f>IF(AND('Riesgos de gestión'!$Y$56="Muy Alta",'Riesgos de gestión'!$AA$56="Catastrófico"),CONCATENATE("R8C",'Riesgos de gestión'!$O$56),"")</f>
        <v/>
      </c>
      <c r="AM13" s="57" t="str">
        <f>IF(AND('Riesgos de gestión'!$Y$57="Muy Alta",'Riesgos de gestión'!$AA$57="Catastrófico"),CONCATENATE("R8C",'Riesgos de gestión'!$O$57),"")</f>
        <v/>
      </c>
      <c r="AN13" s="83"/>
      <c r="AO13" s="1208"/>
      <c r="AP13" s="1209"/>
      <c r="AQ13" s="1209"/>
      <c r="AR13" s="1209"/>
      <c r="AS13" s="1209"/>
      <c r="AT13" s="1210"/>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row>
    <row r="14" spans="1:91" ht="15" customHeight="1" x14ac:dyDescent="0.25">
      <c r="A14" s="83"/>
      <c r="B14" s="1103"/>
      <c r="C14" s="1103"/>
      <c r="D14" s="1104"/>
      <c r="E14" s="1202"/>
      <c r="F14" s="1201"/>
      <c r="G14" s="1201"/>
      <c r="H14" s="1201"/>
      <c r="I14" s="1217"/>
      <c r="J14" s="52" t="str">
        <f>IF(AND('Riesgos de gestión'!$Y$58="Muy Alta",'Riesgos de gestión'!$AA$58="Leve"),CONCATENATE("R9C",'Riesgos de gestión'!$O$58),"")</f>
        <v/>
      </c>
      <c r="K14" s="53" t="str">
        <f>IF(AND('Riesgos de gestión'!$Y$59="Muy Alta",'Riesgos de gestión'!$AA$59="Leve"),CONCATENATE("R9C",'Riesgos de gestión'!$O$59),"")</f>
        <v/>
      </c>
      <c r="L14" s="53" t="str">
        <f>IF(AND('Riesgos de gestión'!$Y$60="Muy Alta",'Riesgos de gestión'!$AA$60="Leve"),CONCATENATE("R9C",'Riesgos de gestión'!$O$60),"")</f>
        <v/>
      </c>
      <c r="M14" s="53" t="str">
        <f>IF(AND('Riesgos de gestión'!$Y$61="Muy Alta",'Riesgos de gestión'!$AA$61="Leve"),CONCATENATE("R9C",'Riesgos de gestión'!$O$61),"")</f>
        <v/>
      </c>
      <c r="N14" s="53" t="str">
        <f>IF(AND('Riesgos de gestión'!$Y$62="Muy Alta",'Riesgos de gestión'!$AA$62="Leve"),CONCATENATE("R9C",'Riesgos de gestión'!$O$62),"")</f>
        <v/>
      </c>
      <c r="O14" s="54" t="str">
        <f>IF(AND('Riesgos de gestión'!$Y$63="Muy Alta",'Riesgos de gestión'!$AA$63="Leve"),CONCATENATE("R9C",'Riesgos de gestión'!$O$63),"")</f>
        <v/>
      </c>
      <c r="P14" s="52" t="str">
        <f>IF(AND('Riesgos de gestión'!$Y$58="Muy Alta",'Riesgos de gestión'!$AA$58="Menor"),CONCATENATE("R9C",'Riesgos de gestión'!$O$58),"")</f>
        <v/>
      </c>
      <c r="Q14" s="53" t="str">
        <f>IF(AND('Riesgos de gestión'!$Y$59="Muy Alta",'Riesgos de gestión'!$AA$59="Menor"),CONCATENATE("R9C",'Riesgos de gestión'!$O$59),"")</f>
        <v/>
      </c>
      <c r="R14" s="53" t="str">
        <f>IF(AND('Riesgos de gestión'!$Y$60="Muy Alta",'Riesgos de gestión'!$AA$60="Menor"),CONCATENATE("R9C",'Riesgos de gestión'!$O$60),"")</f>
        <v/>
      </c>
      <c r="S14" s="53" t="str">
        <f>IF(AND('Riesgos de gestión'!$Y$61="Muy Alta",'Riesgos de gestión'!$AA$61="Menor"),CONCATENATE("R9C",'Riesgos de gestión'!$O$61),"")</f>
        <v/>
      </c>
      <c r="T14" s="53" t="str">
        <f>IF(AND('Riesgos de gestión'!$Y$62="Muy Alta",'Riesgos de gestión'!$AA$62="Menor"),CONCATENATE("R9C",'Riesgos de gestión'!$O$62),"")</f>
        <v/>
      </c>
      <c r="U14" s="54" t="str">
        <f>IF(AND('Riesgos de gestión'!$Y$63="Muy Alta",'Riesgos de gestión'!$AA$63="Menor"),CONCATENATE("R9C",'Riesgos de gestión'!$O$63),"")</f>
        <v/>
      </c>
      <c r="V14" s="52" t="str">
        <f>IF(AND('Riesgos de gestión'!$Y$58="Muy Alta",'Riesgos de gestión'!$AA$58="Moderado"),CONCATENATE("R9C",'Riesgos de gestión'!$O$58),"")</f>
        <v/>
      </c>
      <c r="W14" s="53" t="str">
        <f>IF(AND('Riesgos de gestión'!$Y$59="Muy Alta",'Riesgos de gestión'!$AA$59="Moderado"),CONCATENATE("R9C",'Riesgos de gestión'!$O$59),"")</f>
        <v/>
      </c>
      <c r="X14" s="53" t="str">
        <f>IF(AND('Riesgos de gestión'!$Y$60="Muy Alta",'Riesgos de gestión'!$AA$60="Moderado"),CONCATENATE("R9C",'Riesgos de gestión'!$O$60),"")</f>
        <v/>
      </c>
      <c r="Y14" s="53" t="str">
        <f>IF(AND('Riesgos de gestión'!$Y$61="Muy Alta",'Riesgos de gestión'!$AA$61="Moderado"),CONCATENATE("R9C",'Riesgos de gestión'!$O$61),"")</f>
        <v/>
      </c>
      <c r="Z14" s="53" t="str">
        <f>IF(AND('Riesgos de gestión'!$Y$62="Muy Alta",'Riesgos de gestión'!$AA$62="Moderado"),CONCATENATE("R9C",'Riesgos de gestión'!$O$62),"")</f>
        <v/>
      </c>
      <c r="AA14" s="54" t="str">
        <f>IF(AND('Riesgos de gestión'!$Y$63="Muy Alta",'Riesgos de gestión'!$AA$63="Moderado"),CONCATENATE("R9C",'Riesgos de gestión'!$O$63),"")</f>
        <v/>
      </c>
      <c r="AB14" s="52" t="str">
        <f>IF(AND('Riesgos de gestión'!$Y$58="Muy Alta",'Riesgos de gestión'!$AA$58="Mayor"),CONCATENATE("R9C",'Riesgos de gestión'!$O$58),"")</f>
        <v/>
      </c>
      <c r="AC14" s="53" t="str">
        <f>IF(AND('Riesgos de gestión'!$Y$59="Muy Alta",'Riesgos de gestión'!$AA$59="Mayor"),CONCATENATE("R9C",'Riesgos de gestión'!$O$59),"")</f>
        <v/>
      </c>
      <c r="AD14" s="53" t="str">
        <f>IF(AND('Riesgos de gestión'!$Y$60="Muy Alta",'Riesgos de gestión'!$AA$60="Mayor"),CONCATENATE("R9C",'Riesgos de gestión'!$O$60),"")</f>
        <v/>
      </c>
      <c r="AE14" s="53" t="str">
        <f>IF(AND('Riesgos de gestión'!$Y$61="Muy Alta",'Riesgos de gestión'!$AA$61="Mayor"),CONCATENATE("R9C",'Riesgos de gestión'!$O$61),"")</f>
        <v/>
      </c>
      <c r="AF14" s="53" t="str">
        <f>IF(AND('Riesgos de gestión'!$Y$62="Muy Alta",'Riesgos de gestión'!$AA$62="Mayor"),CONCATENATE("R9C",'Riesgos de gestión'!$O$62),"")</f>
        <v/>
      </c>
      <c r="AG14" s="54" t="str">
        <f>IF(AND('Riesgos de gestión'!$Y$63="Muy Alta",'Riesgos de gestión'!$AA$63="Mayor"),CONCATENATE("R9C",'Riesgos de gestión'!$O$63),"")</f>
        <v/>
      </c>
      <c r="AH14" s="55" t="str">
        <f>IF(AND('Riesgos de gestión'!$Y$58="Muy Alta",'Riesgos de gestión'!$AA$58="Catastrófico"),CONCATENATE("R9C",'Riesgos de gestión'!$O$58),"")</f>
        <v/>
      </c>
      <c r="AI14" s="56" t="str">
        <f>IF(AND('Riesgos de gestión'!$Y$59="Muy Alta",'Riesgos de gestión'!$AA$59="Catastrófico"),CONCATENATE("R9C",'Riesgos de gestión'!$O$59),"")</f>
        <v/>
      </c>
      <c r="AJ14" s="56" t="str">
        <f>IF(AND('Riesgos de gestión'!$Y$60="Muy Alta",'Riesgos de gestión'!$AA$60="Catastrófico"),CONCATENATE("R9C",'Riesgos de gestión'!$O$60),"")</f>
        <v/>
      </c>
      <c r="AK14" s="56" t="str">
        <f>IF(AND('Riesgos de gestión'!$Y$61="Muy Alta",'Riesgos de gestión'!$AA$61="Catastrófico"),CONCATENATE("R9C",'Riesgos de gestión'!$O$61),"")</f>
        <v/>
      </c>
      <c r="AL14" s="56" t="str">
        <f>IF(AND('Riesgos de gestión'!$Y$62="Muy Alta",'Riesgos de gestión'!$AA$62="Catastrófico"),CONCATENATE("R9C",'Riesgos de gestión'!$O$62),"")</f>
        <v/>
      </c>
      <c r="AM14" s="57" t="str">
        <f>IF(AND('Riesgos de gestión'!$Y$63="Muy Alta",'Riesgos de gestión'!$AA$63="Catastrófico"),CONCATENATE("R9C",'Riesgos de gestión'!$O$63),"")</f>
        <v/>
      </c>
      <c r="AN14" s="83"/>
      <c r="AO14" s="1208"/>
      <c r="AP14" s="1209"/>
      <c r="AQ14" s="1209"/>
      <c r="AR14" s="1209"/>
      <c r="AS14" s="1209"/>
      <c r="AT14" s="1210"/>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row>
    <row r="15" spans="1:91" ht="15.75" customHeight="1" thickBot="1" x14ac:dyDescent="0.3">
      <c r="A15" s="83"/>
      <c r="B15" s="1103"/>
      <c r="C15" s="1103"/>
      <c r="D15" s="1104"/>
      <c r="E15" s="1203"/>
      <c r="F15" s="1204"/>
      <c r="G15" s="1204"/>
      <c r="H15" s="1204"/>
      <c r="I15" s="1218"/>
      <c r="J15" s="58" t="str">
        <f>IF(AND('Riesgos de gestión'!$Y$64="Muy Alta",'Riesgos de gestión'!$AA$64="Leve"),CONCATENATE("R10C",'Riesgos de gestión'!$O$64),"")</f>
        <v/>
      </c>
      <c r="K15" s="59" t="str">
        <f>IF(AND('Riesgos de gestión'!$Y$65="Muy Alta",'Riesgos de gestión'!$AA$65="Leve"),CONCATENATE("R10C",'Riesgos de gestión'!$O$65),"")</f>
        <v/>
      </c>
      <c r="L15" s="59" t="str">
        <f>IF(AND('Riesgos de gestión'!$Y$66="Muy Alta",'Riesgos de gestión'!$AA$66="Leve"),CONCATENATE("R10C",'Riesgos de gestión'!$O$66),"")</f>
        <v/>
      </c>
      <c r="M15" s="59" t="str">
        <f>IF(AND('Riesgos de gestión'!$Y$67="Muy Alta",'Riesgos de gestión'!$AA$67="Leve"),CONCATENATE("R10C",'Riesgos de gestión'!$O$67),"")</f>
        <v/>
      </c>
      <c r="N15" s="59" t="str">
        <f>IF(AND('Riesgos de gestión'!$Y$68="Muy Alta",'Riesgos de gestión'!$AA$68="Leve"),CONCATENATE("R10C",'Riesgos de gestión'!$O$68),"")</f>
        <v/>
      </c>
      <c r="O15" s="60" t="str">
        <f>IF(AND('Riesgos de gestión'!$Y$69="Muy Alta",'Riesgos de gestión'!$AA$69="Leve"),CONCATENATE("R10C",'Riesgos de gestión'!$O$69),"")</f>
        <v/>
      </c>
      <c r="P15" s="52" t="str">
        <f>IF(AND('Riesgos de gestión'!$Y$64="Muy Alta",'Riesgos de gestión'!$AA$64="Menor"),CONCATENATE("R10C",'Riesgos de gestión'!$O$64),"")</f>
        <v/>
      </c>
      <c r="Q15" s="53" t="str">
        <f>IF(AND('Riesgos de gestión'!$Y$65="Muy Alta",'Riesgos de gestión'!$AA$65="Menor"),CONCATENATE("R10C",'Riesgos de gestión'!$O$65),"")</f>
        <v/>
      </c>
      <c r="R15" s="53" t="str">
        <f>IF(AND('Riesgos de gestión'!$Y$66="Muy Alta",'Riesgos de gestión'!$AA$66="Menor"),CONCATENATE("R10C",'Riesgos de gestión'!$O$66),"")</f>
        <v/>
      </c>
      <c r="S15" s="53" t="str">
        <f>IF(AND('Riesgos de gestión'!$Y$67="Muy Alta",'Riesgos de gestión'!$AA$67="Menor"),CONCATENATE("R10C",'Riesgos de gestión'!$O$67),"")</f>
        <v/>
      </c>
      <c r="T15" s="53" t="str">
        <f>IF(AND('Riesgos de gestión'!$Y$68="Muy Alta",'Riesgos de gestión'!$AA$68="Menor"),CONCATENATE("R10C",'Riesgos de gestión'!$O$68),"")</f>
        <v/>
      </c>
      <c r="U15" s="54" t="str">
        <f>IF(AND('Riesgos de gestión'!$Y$69="Muy Alta",'Riesgos de gestión'!$AA$69="Menor"),CONCATENATE("R10C",'Riesgos de gestión'!$O$69),"")</f>
        <v/>
      </c>
      <c r="V15" s="58" t="str">
        <f>IF(AND('Riesgos de gestión'!$Y$64="Muy Alta",'Riesgos de gestión'!$AA$64="Moderado"),CONCATENATE("R10C",'Riesgos de gestión'!$O$64),"")</f>
        <v/>
      </c>
      <c r="W15" s="59" t="str">
        <f>IF(AND('Riesgos de gestión'!$Y$65="Muy Alta",'Riesgos de gestión'!$AA$65="Moderado"),CONCATENATE("R10C",'Riesgos de gestión'!$O$65),"")</f>
        <v/>
      </c>
      <c r="X15" s="59" t="str">
        <f>IF(AND('Riesgos de gestión'!$Y$66="Muy Alta",'Riesgos de gestión'!$AA$66="Moderado"),CONCATENATE("R10C",'Riesgos de gestión'!$O$66),"")</f>
        <v/>
      </c>
      <c r="Y15" s="59" t="str">
        <f>IF(AND('Riesgos de gestión'!$Y$67="Muy Alta",'Riesgos de gestión'!$AA$67="Moderado"),CONCATENATE("R10C",'Riesgos de gestión'!$O$67),"")</f>
        <v/>
      </c>
      <c r="Z15" s="59" t="str">
        <f>IF(AND('Riesgos de gestión'!$Y$68="Muy Alta",'Riesgos de gestión'!$AA$68="Moderado"),CONCATENATE("R10C",'Riesgos de gestión'!$O$68),"")</f>
        <v/>
      </c>
      <c r="AA15" s="60" t="str">
        <f>IF(AND('Riesgos de gestión'!$Y$69="Muy Alta",'Riesgos de gestión'!$AA$69="Moderado"),CONCATENATE("R10C",'Riesgos de gestión'!$O$69),"")</f>
        <v/>
      </c>
      <c r="AB15" s="52" t="str">
        <f>IF(AND('Riesgos de gestión'!$Y$64="Muy Alta",'Riesgos de gestión'!$AA$64="Mayor"),CONCATENATE("R10C",'Riesgos de gestión'!$O$64),"")</f>
        <v/>
      </c>
      <c r="AC15" s="53" t="str">
        <f>IF(AND('Riesgos de gestión'!$Y$65="Muy Alta",'Riesgos de gestión'!$AA$65="Mayor"),CONCATENATE("R10C",'Riesgos de gestión'!$O$65),"")</f>
        <v/>
      </c>
      <c r="AD15" s="53" t="str">
        <f>IF(AND('Riesgos de gestión'!$Y$66="Muy Alta",'Riesgos de gestión'!$AA$66="Mayor"),CONCATENATE("R10C",'Riesgos de gestión'!$O$66),"")</f>
        <v/>
      </c>
      <c r="AE15" s="53" t="str">
        <f>IF(AND('Riesgos de gestión'!$Y$67="Muy Alta",'Riesgos de gestión'!$AA$67="Mayor"),CONCATENATE("R10C",'Riesgos de gestión'!$O$67),"")</f>
        <v/>
      </c>
      <c r="AF15" s="53" t="str">
        <f>IF(AND('Riesgos de gestión'!$Y$68="Muy Alta",'Riesgos de gestión'!$AA$68="Mayor"),CONCATENATE("R10C",'Riesgos de gestión'!$O$68),"")</f>
        <v/>
      </c>
      <c r="AG15" s="54" t="str">
        <f>IF(AND('Riesgos de gestión'!$Y$69="Muy Alta",'Riesgos de gestión'!$AA$69="Mayor"),CONCATENATE("R10C",'Riesgos de gestión'!$O$69),"")</f>
        <v/>
      </c>
      <c r="AH15" s="61" t="str">
        <f>IF(AND('Riesgos de gestión'!$Y$64="Muy Alta",'Riesgos de gestión'!$AA$64="Catastrófico"),CONCATENATE("R10C",'Riesgos de gestión'!$O$64),"")</f>
        <v/>
      </c>
      <c r="AI15" s="62" t="str">
        <f>IF(AND('Riesgos de gestión'!$Y$65="Muy Alta",'Riesgos de gestión'!$AA$65="Catastrófico"),CONCATENATE("R10C",'Riesgos de gestión'!$O$65),"")</f>
        <v/>
      </c>
      <c r="AJ15" s="62" t="str">
        <f>IF(AND('Riesgos de gestión'!$Y$66="Muy Alta",'Riesgos de gestión'!$AA$66="Catastrófico"),CONCATENATE("R10C",'Riesgos de gestión'!$O$66),"")</f>
        <v/>
      </c>
      <c r="AK15" s="62" t="str">
        <f>IF(AND('Riesgos de gestión'!$Y$67="Muy Alta",'Riesgos de gestión'!$AA$67="Catastrófico"),CONCATENATE("R10C",'Riesgos de gestión'!$O$67),"")</f>
        <v/>
      </c>
      <c r="AL15" s="62" t="str">
        <f>IF(AND('Riesgos de gestión'!$Y$68="Muy Alta",'Riesgos de gestión'!$AA$68="Catastrófico"),CONCATENATE("R10C",'Riesgos de gestión'!$O$68),"")</f>
        <v/>
      </c>
      <c r="AM15" s="63" t="str">
        <f>IF(AND('Riesgos de gestión'!$Y$69="Muy Alta",'Riesgos de gestión'!$AA$69="Catastrófico"),CONCATENATE("R10C",'Riesgos de gestión'!$O$69),"")</f>
        <v/>
      </c>
      <c r="AN15" s="83"/>
      <c r="AO15" s="1211"/>
      <c r="AP15" s="1212"/>
      <c r="AQ15" s="1212"/>
      <c r="AR15" s="1212"/>
      <c r="AS15" s="1212"/>
      <c r="AT15" s="121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row>
    <row r="16" spans="1:91" ht="15" customHeight="1" x14ac:dyDescent="0.25">
      <c r="A16" s="83"/>
      <c r="B16" s="1103"/>
      <c r="C16" s="1103"/>
      <c r="D16" s="1104"/>
      <c r="E16" s="1198" t="s">
        <v>115</v>
      </c>
      <c r="F16" s="1199"/>
      <c r="G16" s="1199"/>
      <c r="H16" s="1199"/>
      <c r="I16" s="1199"/>
      <c r="J16" s="64" t="str">
        <f ca="1">IF(AND('Riesgos de gestión'!$Y$10="Alta",'Riesgos de gestión'!$AA$10="Leve"),CONCATENATE("R1C",'Riesgos de gestión'!$O$10),"")</f>
        <v/>
      </c>
      <c r="K16" s="65" t="str">
        <f>IF(AND('Riesgos de gestión'!$Y$11="Alta",'Riesgos de gestión'!$AA$11="Leve"),CONCATENATE("R1C",'Riesgos de gestión'!$O$11),"")</f>
        <v/>
      </c>
      <c r="L16" s="65" t="str">
        <f>IF(AND('Riesgos de gestión'!$Y$12="Alta",'Riesgos de gestión'!$AA$12="Leve"),CONCATENATE("R1C",'Riesgos de gestión'!$O$12),"")</f>
        <v/>
      </c>
      <c r="M16" s="65" t="str">
        <f>IF(AND('Riesgos de gestión'!$Y$13="Alta",'Riesgos de gestión'!$AA$13="Leve"),CONCATENATE("R1C",'Riesgos de gestión'!$O$13),"")</f>
        <v/>
      </c>
      <c r="N16" s="65" t="str">
        <f>IF(AND('Riesgos de gestión'!$Y$14="Alta",'Riesgos de gestión'!$AA$14="Leve"),CONCATENATE("R1C",'Riesgos de gestión'!$O$14),"")</f>
        <v/>
      </c>
      <c r="O16" s="66" t="str">
        <f>IF(AND('Riesgos de gestión'!$Y$15="Alta",'Riesgos de gestión'!$AA$15="Leve"),CONCATENATE("R1C",'Riesgos de gestión'!$O$15),"")</f>
        <v/>
      </c>
      <c r="P16" s="64" t="str">
        <f ca="1">IF(AND('Riesgos de gestión'!$Y$10="Alta",'Riesgos de gestión'!$AA$10="Menor"),CONCATENATE("R1C",'Riesgos de gestión'!$O$10),"")</f>
        <v/>
      </c>
      <c r="Q16" s="65" t="str">
        <f>IF(AND('Riesgos de gestión'!$Y$11="Alta",'Riesgos de gestión'!$AA$11="Menor"),CONCATENATE("R1C",'Riesgos de gestión'!$O$11),"")</f>
        <v/>
      </c>
      <c r="R16" s="65" t="str">
        <f>IF(AND('Riesgos de gestión'!$Y$12="Alta",'Riesgos de gestión'!$AA$12="Menor"),CONCATENATE("R1C",'Riesgos de gestión'!$O$12),"")</f>
        <v/>
      </c>
      <c r="S16" s="65" t="str">
        <f>IF(AND('Riesgos de gestión'!$Y$13="Alta",'Riesgos de gestión'!$AA$13="Menor"),CONCATENATE("R1C",'Riesgos de gestión'!$O$13),"")</f>
        <v/>
      </c>
      <c r="T16" s="65" t="str">
        <f>IF(AND('Riesgos de gestión'!$Y$14="Alta",'Riesgos de gestión'!$AA$14="Menor"),CONCATENATE("R1C",'Riesgos de gestión'!$O$14),"")</f>
        <v/>
      </c>
      <c r="U16" s="66" t="str">
        <f>IF(AND('Riesgos de gestión'!$Y$15="Alta",'Riesgos de gestión'!$AA$15="Menor"),CONCATENATE("R1C",'Riesgos de gestión'!$O$15),"")</f>
        <v/>
      </c>
      <c r="V16" s="46" t="str">
        <f ca="1">IF(AND('Riesgos de gestión'!$Y$10="Alta",'Riesgos de gestión'!$AA$10="Moderado"),CONCATENATE("R1C",'Riesgos de gestión'!$O$10),"")</f>
        <v/>
      </c>
      <c r="W16" s="47" t="str">
        <f>IF(AND('Riesgos de gestión'!$Y$11="Alta",'Riesgos de gestión'!$AA$11="Moderado"),CONCATENATE("R1C",'Riesgos de gestión'!$O$11),"")</f>
        <v/>
      </c>
      <c r="X16" s="47" t="str">
        <f>IF(AND('Riesgos de gestión'!$Y$12="Alta",'Riesgos de gestión'!$AA$12="Moderado"),CONCATENATE("R1C",'Riesgos de gestión'!$O$12),"")</f>
        <v/>
      </c>
      <c r="Y16" s="47" t="str">
        <f>IF(AND('Riesgos de gestión'!$Y$13="Alta",'Riesgos de gestión'!$AA$13="Moderado"),CONCATENATE("R1C",'Riesgos de gestión'!$O$13),"")</f>
        <v/>
      </c>
      <c r="Z16" s="47" t="str">
        <f>IF(AND('Riesgos de gestión'!$Y$14="Alta",'Riesgos de gestión'!$AA$14="Moderado"),CONCATENATE("R1C",'Riesgos de gestión'!$O$14),"")</f>
        <v/>
      </c>
      <c r="AA16" s="48" t="str">
        <f>IF(AND('Riesgos de gestión'!$Y$15="Alta",'Riesgos de gestión'!$AA$15="Moderado"),CONCATENATE("R1C",'Riesgos de gestión'!$O$15),"")</f>
        <v/>
      </c>
      <c r="AB16" s="46" t="str">
        <f ca="1">IF(AND('Riesgos de gestión'!$Y$10="Alta",'Riesgos de gestión'!$AA$10="Mayor"),CONCATENATE("R1C",'Riesgos de gestión'!$O$10),"")</f>
        <v/>
      </c>
      <c r="AC16" s="47" t="str">
        <f>IF(AND('Riesgos de gestión'!$Y$11="Alta",'Riesgos de gestión'!$AA$11="Mayor"),CONCATENATE("R1C",'Riesgos de gestión'!$O$11),"")</f>
        <v/>
      </c>
      <c r="AD16" s="47" t="str">
        <f>IF(AND('Riesgos de gestión'!$Y$12="Alta",'Riesgos de gestión'!$AA$12="Mayor"),CONCATENATE("R1C",'Riesgos de gestión'!$O$12),"")</f>
        <v/>
      </c>
      <c r="AE16" s="47" t="str">
        <f>IF(AND('Riesgos de gestión'!$Y$13="Alta",'Riesgos de gestión'!$AA$13="Mayor"),CONCATENATE("R1C",'Riesgos de gestión'!$O$13),"")</f>
        <v/>
      </c>
      <c r="AF16" s="47" t="str">
        <f>IF(AND('Riesgos de gestión'!$Y$14="Alta",'Riesgos de gestión'!$AA$14="Mayor"),CONCATENATE("R1C",'Riesgos de gestión'!$O$14),"")</f>
        <v/>
      </c>
      <c r="AG16" s="48" t="str">
        <f>IF(AND('Riesgos de gestión'!$Y$15="Alta",'Riesgos de gestión'!$AA$15="Mayor"),CONCATENATE("R1C",'Riesgos de gestión'!$O$15),"")</f>
        <v/>
      </c>
      <c r="AH16" s="49" t="str">
        <f ca="1">IF(AND('Riesgos de gestión'!$Y$10="Alta",'Riesgos de gestión'!$AA$10="Catastrófico"),CONCATENATE("R1C",'Riesgos de gestión'!$O$10),"")</f>
        <v/>
      </c>
      <c r="AI16" s="50" t="str">
        <f>IF(AND('Riesgos de gestión'!$Y$11="Alta",'Riesgos de gestión'!$AA$11="Catastrófico"),CONCATENATE("R1C",'Riesgos de gestión'!$O$11),"")</f>
        <v/>
      </c>
      <c r="AJ16" s="50" t="str">
        <f>IF(AND('Riesgos de gestión'!$Y$12="Alta",'Riesgos de gestión'!$AA$12="Catastrófico"),CONCATENATE("R1C",'Riesgos de gestión'!$O$12),"")</f>
        <v/>
      </c>
      <c r="AK16" s="50" t="str">
        <f>IF(AND('Riesgos de gestión'!$Y$13="Alta",'Riesgos de gestión'!$AA$13="Catastrófico"),CONCATENATE("R1C",'Riesgos de gestión'!$O$13),"")</f>
        <v/>
      </c>
      <c r="AL16" s="50" t="str">
        <f>IF(AND('Riesgos de gestión'!$Y$14="Alta",'Riesgos de gestión'!$AA$14="Catastrófico"),CONCATENATE("R1C",'Riesgos de gestión'!$O$14),"")</f>
        <v/>
      </c>
      <c r="AM16" s="51" t="str">
        <f>IF(AND('Riesgos de gestión'!$Y$15="Alta",'Riesgos de gestión'!$AA$15="Catastrófico"),CONCATENATE("R1C",'Riesgos de gestión'!$O$15),"")</f>
        <v/>
      </c>
      <c r="AN16" s="83"/>
      <c r="AO16" s="1189" t="s">
        <v>80</v>
      </c>
      <c r="AP16" s="1190"/>
      <c r="AQ16" s="1190"/>
      <c r="AR16" s="1190"/>
      <c r="AS16" s="1190"/>
      <c r="AT16" s="1191"/>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row>
    <row r="17" spans="1:76" ht="15" customHeight="1" x14ac:dyDescent="0.25">
      <c r="A17" s="83"/>
      <c r="B17" s="1103"/>
      <c r="C17" s="1103"/>
      <c r="D17" s="1104"/>
      <c r="E17" s="1200"/>
      <c r="F17" s="1201"/>
      <c r="G17" s="1201"/>
      <c r="H17" s="1201"/>
      <c r="I17" s="1201"/>
      <c r="J17" s="67" t="str">
        <f>IF(AND('Riesgos de gestión'!$Y$16="Alta",'Riesgos de gestión'!$AA$16="Leve"),CONCATENATE("R2C",'Riesgos de gestión'!$O$16),"")</f>
        <v/>
      </c>
      <c r="K17" s="68" t="str">
        <f>IF(AND('Riesgos de gestión'!$Y$17="Alta",'Riesgos de gestión'!$AA$17="Leve"),CONCATENATE("R2C",'Riesgos de gestión'!$O$17),"")</f>
        <v/>
      </c>
      <c r="L17" s="68" t="str">
        <f>IF(AND('Riesgos de gestión'!$Y$18="Alta",'Riesgos de gestión'!$AA$18="Leve"),CONCATENATE("R2C",'Riesgos de gestión'!$O$18),"")</f>
        <v/>
      </c>
      <c r="M17" s="68" t="str">
        <f>IF(AND('Riesgos de gestión'!$Y$19="Alta",'Riesgos de gestión'!$AA$19="Leve"),CONCATENATE("R2C",'Riesgos de gestión'!$O$19),"")</f>
        <v/>
      </c>
      <c r="N17" s="68" t="str">
        <f>IF(AND('Riesgos de gestión'!$Y$20="Alta",'Riesgos de gestión'!$AA$20="Leve"),CONCATENATE("R2C",'Riesgos de gestión'!$O$20),"")</f>
        <v/>
      </c>
      <c r="O17" s="69" t="str">
        <f>IF(AND('Riesgos de gestión'!$Y$21="Alta",'Riesgos de gestión'!$AA$21="Leve"),CONCATENATE("R2C",'Riesgos de gestión'!$O$21),"")</f>
        <v/>
      </c>
      <c r="P17" s="67" t="str">
        <f>IF(AND('Riesgos de gestión'!$Y$16="Alta",'Riesgos de gestión'!$AA$16="Menor"),CONCATENATE("R2C",'Riesgos de gestión'!$O$16),"")</f>
        <v/>
      </c>
      <c r="Q17" s="68" t="str">
        <f>IF(AND('Riesgos de gestión'!$Y$17="Alta",'Riesgos de gestión'!$AA$17="Menor"),CONCATENATE("R2C",'Riesgos de gestión'!$O$17),"")</f>
        <v/>
      </c>
      <c r="R17" s="68" t="str">
        <f>IF(AND('Riesgos de gestión'!$Y$18="Alta",'Riesgos de gestión'!$AA$18="Menor"),CONCATENATE("R2C",'Riesgos de gestión'!$O$18),"")</f>
        <v/>
      </c>
      <c r="S17" s="68" t="str">
        <f>IF(AND('Riesgos de gestión'!$Y$19="Alta",'Riesgos de gestión'!$AA$19="Menor"),CONCATENATE("R2C",'Riesgos de gestión'!$O$19),"")</f>
        <v/>
      </c>
      <c r="T17" s="68" t="str">
        <f>IF(AND('Riesgos de gestión'!$Y$20="Alta",'Riesgos de gestión'!$AA$20="Menor"),CONCATENATE("R2C",'Riesgos de gestión'!$O$20),"")</f>
        <v/>
      </c>
      <c r="U17" s="69" t="str">
        <f>IF(AND('Riesgos de gestión'!$Y$21="Alta",'Riesgos de gestión'!$AA$21="Menor"),CONCATENATE("R2C",'Riesgos de gestión'!$O$21),"")</f>
        <v/>
      </c>
      <c r="V17" s="52" t="str">
        <f>IF(AND('Riesgos de gestión'!$Y$16="Alta",'Riesgos de gestión'!$AA$16="Moderado"),CONCATENATE("R2C",'Riesgos de gestión'!$O$16),"")</f>
        <v/>
      </c>
      <c r="W17" s="53" t="str">
        <f>IF(AND('Riesgos de gestión'!$Y$17="Alta",'Riesgos de gestión'!$AA$17="Moderado"),CONCATENATE("R2C",'Riesgos de gestión'!$O$17),"")</f>
        <v/>
      </c>
      <c r="X17" s="53" t="str">
        <f>IF(AND('Riesgos de gestión'!$Y$18="Alta",'Riesgos de gestión'!$AA$18="Moderado"),CONCATENATE("R2C",'Riesgos de gestión'!$O$18),"")</f>
        <v/>
      </c>
      <c r="Y17" s="53" t="str">
        <f>IF(AND('Riesgos de gestión'!$Y$19="Alta",'Riesgos de gestión'!$AA$19="Moderado"),CONCATENATE("R2C",'Riesgos de gestión'!$O$19),"")</f>
        <v/>
      </c>
      <c r="Z17" s="53" t="str">
        <f>IF(AND('Riesgos de gestión'!$Y$20="Alta",'Riesgos de gestión'!$AA$20="Moderado"),CONCATENATE("R2C",'Riesgos de gestión'!$O$20),"")</f>
        <v/>
      </c>
      <c r="AA17" s="54" t="str">
        <f>IF(AND('Riesgos de gestión'!$Y$21="Alta",'Riesgos de gestión'!$AA$21="Moderado"),CONCATENATE("R2C",'Riesgos de gestión'!$O$21),"")</f>
        <v/>
      </c>
      <c r="AB17" s="52" t="str">
        <f>IF(AND('Riesgos de gestión'!$Y$16="Alta",'Riesgos de gestión'!$AA$16="Mayor"),CONCATENATE("R2C",'Riesgos de gestión'!$O$16),"")</f>
        <v/>
      </c>
      <c r="AC17" s="53" t="str">
        <f>IF(AND('Riesgos de gestión'!$Y$17="Alta",'Riesgos de gestión'!$AA$17="Mayor"),CONCATENATE("R2C",'Riesgos de gestión'!$O$17),"")</f>
        <v/>
      </c>
      <c r="AD17" s="53" t="str">
        <f>IF(AND('Riesgos de gestión'!$Y$18="Alta",'Riesgos de gestión'!$AA$18="Mayor"),CONCATENATE("R2C",'Riesgos de gestión'!$O$18),"")</f>
        <v/>
      </c>
      <c r="AE17" s="53" t="str">
        <f>IF(AND('Riesgos de gestión'!$Y$19="Alta",'Riesgos de gestión'!$AA$19="Mayor"),CONCATENATE("R2C",'Riesgos de gestión'!$O$19),"")</f>
        <v/>
      </c>
      <c r="AF17" s="53" t="str">
        <f>IF(AND('Riesgos de gestión'!$Y$20="Alta",'Riesgos de gestión'!$AA$20="Mayor"),CONCATENATE("R2C",'Riesgos de gestión'!$O$20),"")</f>
        <v/>
      </c>
      <c r="AG17" s="54" t="str">
        <f>IF(AND('Riesgos de gestión'!$Y$21="Alta",'Riesgos de gestión'!$AA$21="Mayor"),CONCATENATE("R2C",'Riesgos de gestión'!$O$21),"")</f>
        <v/>
      </c>
      <c r="AH17" s="55" t="str">
        <f>IF(AND('Riesgos de gestión'!$Y$16="Alta",'Riesgos de gestión'!$AA$16="Catastrófico"),CONCATENATE("R2C",'Riesgos de gestión'!$O$16),"")</f>
        <v/>
      </c>
      <c r="AI17" s="56" t="str">
        <f>IF(AND('Riesgos de gestión'!$Y$17="Alta",'Riesgos de gestión'!$AA$17="Catastrófico"),CONCATENATE("R2C",'Riesgos de gestión'!$O$17),"")</f>
        <v/>
      </c>
      <c r="AJ17" s="56" t="str">
        <f>IF(AND('Riesgos de gestión'!$Y$18="Alta",'Riesgos de gestión'!$AA$18="Catastrófico"),CONCATENATE("R2C",'Riesgos de gestión'!$O$18),"")</f>
        <v/>
      </c>
      <c r="AK17" s="56" t="str">
        <f>IF(AND('Riesgos de gestión'!$Y$19="Alta",'Riesgos de gestión'!$AA$19="Catastrófico"),CONCATENATE("R2C",'Riesgos de gestión'!$O$19),"")</f>
        <v/>
      </c>
      <c r="AL17" s="56" t="str">
        <f>IF(AND('Riesgos de gestión'!$Y$20="Alta",'Riesgos de gestión'!$AA$20="Catastrófico"),CONCATENATE("R2C",'Riesgos de gestión'!$O$20),"")</f>
        <v/>
      </c>
      <c r="AM17" s="57" t="str">
        <f>IF(AND('Riesgos de gestión'!$Y$21="Alta",'Riesgos de gestión'!$AA$21="Catastrófico"),CONCATENATE("R2C",'Riesgos de gestión'!$O$21),"")</f>
        <v/>
      </c>
      <c r="AN17" s="83"/>
      <c r="AO17" s="1192"/>
      <c r="AP17" s="1193"/>
      <c r="AQ17" s="1193"/>
      <c r="AR17" s="1193"/>
      <c r="AS17" s="1193"/>
      <c r="AT17" s="1194"/>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row>
    <row r="18" spans="1:76" ht="15" customHeight="1" x14ac:dyDescent="0.25">
      <c r="A18" s="83"/>
      <c r="B18" s="1103"/>
      <c r="C18" s="1103"/>
      <c r="D18" s="1104"/>
      <c r="E18" s="1202"/>
      <c r="F18" s="1201"/>
      <c r="G18" s="1201"/>
      <c r="H18" s="1201"/>
      <c r="I18" s="1201"/>
      <c r="J18" s="67" t="str">
        <f>IF(AND('Riesgos de gestión'!$Y$22="Alta",'Riesgos de gestión'!$AA$22="Leve"),CONCATENATE("R3C",'Riesgos de gestión'!$O$22),"")</f>
        <v/>
      </c>
      <c r="K18" s="68" t="str">
        <f>IF(AND('Riesgos de gestión'!$Y$23="Alta",'Riesgos de gestión'!$AA$23="Leve"),CONCATENATE("R3C",'Riesgos de gestión'!$O$23),"")</f>
        <v/>
      </c>
      <c r="L18" s="68" t="str">
        <f>IF(AND('Riesgos de gestión'!$Y$24="Alta",'Riesgos de gestión'!$AA$24="Leve"),CONCATENATE("R3C",'Riesgos de gestión'!$O$24),"")</f>
        <v/>
      </c>
      <c r="M18" s="68" t="str">
        <f>IF(AND('Riesgos de gestión'!$Y$25="Alta",'Riesgos de gestión'!$AA$25="Leve"),CONCATENATE("R3C",'Riesgos de gestión'!$O$25),"")</f>
        <v/>
      </c>
      <c r="N18" s="68" t="str">
        <f>IF(AND('Riesgos de gestión'!$Y$26="Alta",'Riesgos de gestión'!$AA$26="Leve"),CONCATENATE("R3C",'Riesgos de gestión'!$O$26),"")</f>
        <v/>
      </c>
      <c r="O18" s="69" t="str">
        <f>IF(AND('Riesgos de gestión'!$Y$27="Alta",'Riesgos de gestión'!$AA$27="Leve"),CONCATENATE("R3C",'Riesgos de gestión'!$O$27),"")</f>
        <v/>
      </c>
      <c r="P18" s="67" t="str">
        <f>IF(AND('Riesgos de gestión'!$Y$22="Alta",'Riesgos de gestión'!$AA$22="Menor"),CONCATENATE("R3C",'Riesgos de gestión'!$O$22),"")</f>
        <v/>
      </c>
      <c r="Q18" s="68" t="str">
        <f>IF(AND('Riesgos de gestión'!$Y$23="Alta",'Riesgos de gestión'!$AA$23="Menor"),CONCATENATE("R3C",'Riesgos de gestión'!$O$23),"")</f>
        <v/>
      </c>
      <c r="R18" s="68" t="str">
        <f>IF(AND('Riesgos de gestión'!$Y$24="Alta",'Riesgos de gestión'!$AA$24="Menor"),CONCATENATE("R3C",'Riesgos de gestión'!$O$24),"")</f>
        <v/>
      </c>
      <c r="S18" s="68" t="str">
        <f>IF(AND('Riesgos de gestión'!$Y$25="Alta",'Riesgos de gestión'!$AA$25="Menor"),CONCATENATE("R3C",'Riesgos de gestión'!$O$25),"")</f>
        <v/>
      </c>
      <c r="T18" s="68" t="str">
        <f>IF(AND('Riesgos de gestión'!$Y$26="Alta",'Riesgos de gestión'!$AA$26="Menor"),CONCATENATE("R3C",'Riesgos de gestión'!$O$26),"")</f>
        <v/>
      </c>
      <c r="U18" s="69" t="str">
        <f>IF(AND('Riesgos de gestión'!$Y$27="Alta",'Riesgos de gestión'!$AA$27="Menor"),CONCATENATE("R3C",'Riesgos de gestión'!$O$27),"")</f>
        <v/>
      </c>
      <c r="V18" s="52" t="str">
        <f>IF(AND('Riesgos de gestión'!$Y$22="Alta",'Riesgos de gestión'!$AA$22="Moderado"),CONCATENATE("R3C",'Riesgos de gestión'!$O$22),"")</f>
        <v/>
      </c>
      <c r="W18" s="53" t="str">
        <f>IF(AND('Riesgos de gestión'!$Y$23="Alta",'Riesgos de gestión'!$AA$23="Moderado"),CONCATENATE("R3C",'Riesgos de gestión'!$O$23),"")</f>
        <v/>
      </c>
      <c r="X18" s="53" t="str">
        <f>IF(AND('Riesgos de gestión'!$Y$24="Alta",'Riesgos de gestión'!$AA$24="Moderado"),CONCATENATE("R3C",'Riesgos de gestión'!$O$24),"")</f>
        <v/>
      </c>
      <c r="Y18" s="53" t="str">
        <f>IF(AND('Riesgos de gestión'!$Y$25="Alta",'Riesgos de gestión'!$AA$25="Moderado"),CONCATENATE("R3C",'Riesgos de gestión'!$O$25),"")</f>
        <v/>
      </c>
      <c r="Z18" s="53" t="str">
        <f>IF(AND('Riesgos de gestión'!$Y$26="Alta",'Riesgos de gestión'!$AA$26="Moderado"),CONCATENATE("R3C",'Riesgos de gestión'!$O$26),"")</f>
        <v/>
      </c>
      <c r="AA18" s="54" t="str">
        <f>IF(AND('Riesgos de gestión'!$Y$27="Alta",'Riesgos de gestión'!$AA$27="Moderado"),CONCATENATE("R3C",'Riesgos de gestión'!$O$27),"")</f>
        <v/>
      </c>
      <c r="AB18" s="52" t="str">
        <f>IF(AND('Riesgos de gestión'!$Y$22="Alta",'Riesgos de gestión'!$AA$22="Mayor"),CONCATENATE("R3C",'Riesgos de gestión'!$O$22),"")</f>
        <v/>
      </c>
      <c r="AC18" s="53" t="str">
        <f>IF(AND('Riesgos de gestión'!$Y$23="Alta",'Riesgos de gestión'!$AA$23="Mayor"),CONCATENATE("R3C",'Riesgos de gestión'!$O$23),"")</f>
        <v/>
      </c>
      <c r="AD18" s="53" t="str">
        <f>IF(AND('Riesgos de gestión'!$Y$24="Alta",'Riesgos de gestión'!$AA$24="Mayor"),CONCATENATE("R3C",'Riesgos de gestión'!$O$24),"")</f>
        <v/>
      </c>
      <c r="AE18" s="53" t="str">
        <f>IF(AND('Riesgos de gestión'!$Y$25="Alta",'Riesgos de gestión'!$AA$25="Mayor"),CONCATENATE("R3C",'Riesgos de gestión'!$O$25),"")</f>
        <v/>
      </c>
      <c r="AF18" s="53" t="str">
        <f>IF(AND('Riesgos de gestión'!$Y$26="Alta",'Riesgos de gestión'!$AA$26="Mayor"),CONCATENATE("R3C",'Riesgos de gestión'!$O$26),"")</f>
        <v/>
      </c>
      <c r="AG18" s="54" t="str">
        <f>IF(AND('Riesgos de gestión'!$Y$27="Alta",'Riesgos de gestión'!$AA$27="Mayor"),CONCATENATE("R3C",'Riesgos de gestión'!$O$27),"")</f>
        <v/>
      </c>
      <c r="AH18" s="55" t="str">
        <f>IF(AND('Riesgos de gestión'!$Y$22="Alta",'Riesgos de gestión'!$AA$22="Catastrófico"),CONCATENATE("R3C",'Riesgos de gestión'!$O$22),"")</f>
        <v/>
      </c>
      <c r="AI18" s="56" t="str">
        <f>IF(AND('Riesgos de gestión'!$Y$23="Alta",'Riesgos de gestión'!$AA$23="Catastrófico"),CONCATENATE("R3C",'Riesgos de gestión'!$O$23),"")</f>
        <v/>
      </c>
      <c r="AJ18" s="56" t="str">
        <f>IF(AND('Riesgos de gestión'!$Y$24="Alta",'Riesgos de gestión'!$AA$24="Catastrófico"),CONCATENATE("R3C",'Riesgos de gestión'!$O$24),"")</f>
        <v/>
      </c>
      <c r="AK18" s="56" t="str">
        <f>IF(AND('Riesgos de gestión'!$Y$25="Alta",'Riesgos de gestión'!$AA$25="Catastrófico"),CONCATENATE("R3C",'Riesgos de gestión'!$O$25),"")</f>
        <v/>
      </c>
      <c r="AL18" s="56" t="str">
        <f>IF(AND('Riesgos de gestión'!$Y$26="Alta",'Riesgos de gestión'!$AA$26="Catastrófico"),CONCATENATE("R3C",'Riesgos de gestión'!$O$26),"")</f>
        <v/>
      </c>
      <c r="AM18" s="57" t="str">
        <f>IF(AND('Riesgos de gestión'!$Y$27="Alta",'Riesgos de gestión'!$AA$27="Catastrófico"),CONCATENATE("R3C",'Riesgos de gestión'!$O$27),"")</f>
        <v/>
      </c>
      <c r="AN18" s="83"/>
      <c r="AO18" s="1192"/>
      <c r="AP18" s="1193"/>
      <c r="AQ18" s="1193"/>
      <c r="AR18" s="1193"/>
      <c r="AS18" s="1193"/>
      <c r="AT18" s="1194"/>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row>
    <row r="19" spans="1:76" ht="15" customHeight="1" x14ac:dyDescent="0.25">
      <c r="A19" s="83"/>
      <c r="B19" s="1103"/>
      <c r="C19" s="1103"/>
      <c r="D19" s="1104"/>
      <c r="E19" s="1202"/>
      <c r="F19" s="1201"/>
      <c r="G19" s="1201"/>
      <c r="H19" s="1201"/>
      <c r="I19" s="1201"/>
      <c r="J19" s="67" t="str">
        <f>IF(AND('Riesgos de gestión'!$Y$28="Alta",'Riesgos de gestión'!$AA$28="Leve"),CONCATENATE("R4C",'Riesgos de gestión'!$O$28),"")</f>
        <v/>
      </c>
      <c r="K19" s="68" t="str">
        <f>IF(AND('Riesgos de gestión'!$Y$29="Alta",'Riesgos de gestión'!$AA$29="Leve"),CONCATENATE("R4C",'Riesgos de gestión'!$O$29),"")</f>
        <v/>
      </c>
      <c r="L19" s="68" t="str">
        <f>IF(AND('Riesgos de gestión'!$Y$30="Alta",'Riesgos de gestión'!$AA$30="Leve"),CONCATENATE("R4C",'Riesgos de gestión'!$O$30),"")</f>
        <v/>
      </c>
      <c r="M19" s="68" t="str">
        <f>IF(AND('Riesgos de gestión'!$Y$31="Alta",'Riesgos de gestión'!$AA$31="Leve"),CONCATENATE("R4C",'Riesgos de gestión'!$O$31),"")</f>
        <v/>
      </c>
      <c r="N19" s="68" t="str">
        <f>IF(AND('Riesgos de gestión'!$Y$32="Alta",'Riesgos de gestión'!$AA$32="Leve"),CONCATENATE("R4C",'Riesgos de gestión'!$O$32),"")</f>
        <v/>
      </c>
      <c r="O19" s="69" t="str">
        <f>IF(AND('Riesgos de gestión'!$Y$33="Alta",'Riesgos de gestión'!$AA$33="Leve"),CONCATENATE("R4C",'Riesgos de gestión'!$O$33),"")</f>
        <v/>
      </c>
      <c r="P19" s="67" t="str">
        <f>IF(AND('Riesgos de gestión'!$Y$28="Alta",'Riesgos de gestión'!$AA$28="Menor"),CONCATENATE("R4C",'Riesgos de gestión'!$O$28),"")</f>
        <v/>
      </c>
      <c r="Q19" s="68" t="str">
        <f>IF(AND('Riesgos de gestión'!$Y$29="Alta",'Riesgos de gestión'!$AA$29="Menor"),CONCATENATE("R4C",'Riesgos de gestión'!$O$29),"")</f>
        <v/>
      </c>
      <c r="R19" s="68" t="str">
        <f>IF(AND('Riesgos de gestión'!$Y$30="Alta",'Riesgos de gestión'!$AA$30="Menor"),CONCATENATE("R4C",'Riesgos de gestión'!$O$30),"")</f>
        <v/>
      </c>
      <c r="S19" s="68" t="str">
        <f>IF(AND('Riesgos de gestión'!$Y$31="Alta",'Riesgos de gestión'!$AA$31="Menor"),CONCATENATE("R4C",'Riesgos de gestión'!$O$31),"")</f>
        <v/>
      </c>
      <c r="T19" s="68" t="str">
        <f>IF(AND('Riesgos de gestión'!$Y$32="Alta",'Riesgos de gestión'!$AA$32="Menor"),CONCATENATE("R4C",'Riesgos de gestión'!$O$32),"")</f>
        <v/>
      </c>
      <c r="U19" s="69" t="str">
        <f>IF(AND('Riesgos de gestión'!$Y$33="Alta",'Riesgos de gestión'!$AA$33="Menor"),CONCATENATE("R4C",'Riesgos de gestión'!$O$33),"")</f>
        <v/>
      </c>
      <c r="V19" s="52" t="str">
        <f>IF(AND('Riesgos de gestión'!$Y$28="Alta",'Riesgos de gestión'!$AA$28="Moderado"),CONCATENATE("R4C",'Riesgos de gestión'!$O$28),"")</f>
        <v/>
      </c>
      <c r="W19" s="53" t="str">
        <f>IF(AND('Riesgos de gestión'!$Y$29="Alta",'Riesgos de gestión'!$AA$29="Moderado"),CONCATENATE("R4C",'Riesgos de gestión'!$O$29),"")</f>
        <v/>
      </c>
      <c r="X19" s="53" t="str">
        <f>IF(AND('Riesgos de gestión'!$Y$30="Alta",'Riesgos de gestión'!$AA$30="Moderado"),CONCATENATE("R4C",'Riesgos de gestión'!$O$30),"")</f>
        <v/>
      </c>
      <c r="Y19" s="53" t="str">
        <f>IF(AND('Riesgos de gestión'!$Y$31="Alta",'Riesgos de gestión'!$AA$31="Moderado"),CONCATENATE("R4C",'Riesgos de gestión'!$O$31),"")</f>
        <v/>
      </c>
      <c r="Z19" s="53" t="str">
        <f>IF(AND('Riesgos de gestión'!$Y$32="Alta",'Riesgos de gestión'!$AA$32="Moderado"),CONCATENATE("R4C",'Riesgos de gestión'!$O$32),"")</f>
        <v/>
      </c>
      <c r="AA19" s="54" t="str">
        <f>IF(AND('Riesgos de gestión'!$Y$33="Alta",'Riesgos de gestión'!$AA$33="Moderado"),CONCATENATE("R4C",'Riesgos de gestión'!$O$33),"")</f>
        <v/>
      </c>
      <c r="AB19" s="52" t="str">
        <f>IF(AND('Riesgos de gestión'!$Y$28="Alta",'Riesgos de gestión'!$AA$28="Mayor"),CONCATENATE("R4C",'Riesgos de gestión'!$O$28),"")</f>
        <v/>
      </c>
      <c r="AC19" s="53" t="str">
        <f>IF(AND('Riesgos de gestión'!$Y$29="Alta",'Riesgos de gestión'!$AA$29="Mayor"),CONCATENATE("R4C",'Riesgos de gestión'!$O$29),"")</f>
        <v/>
      </c>
      <c r="AD19" s="53" t="str">
        <f>IF(AND('Riesgos de gestión'!$Y$30="Alta",'Riesgos de gestión'!$AA$30="Mayor"),CONCATENATE("R4C",'Riesgos de gestión'!$O$30),"")</f>
        <v/>
      </c>
      <c r="AE19" s="53" t="str">
        <f>IF(AND('Riesgos de gestión'!$Y$31="Alta",'Riesgos de gestión'!$AA$31="Mayor"),CONCATENATE("R4C",'Riesgos de gestión'!$O$31),"")</f>
        <v/>
      </c>
      <c r="AF19" s="53" t="str">
        <f>IF(AND('Riesgos de gestión'!$Y$32="Alta",'Riesgos de gestión'!$AA$32="Mayor"),CONCATENATE("R4C",'Riesgos de gestión'!$O$32),"")</f>
        <v/>
      </c>
      <c r="AG19" s="54" t="str">
        <f>IF(AND('Riesgos de gestión'!$Y$33="Alta",'Riesgos de gestión'!$AA$33="Mayor"),CONCATENATE("R4C",'Riesgos de gestión'!$O$33),"")</f>
        <v/>
      </c>
      <c r="AH19" s="55" t="str">
        <f>IF(AND('Riesgos de gestión'!$Y$28="Alta",'Riesgos de gestión'!$AA$28="Catastrófico"),CONCATENATE("R4C",'Riesgos de gestión'!$O$28),"")</f>
        <v/>
      </c>
      <c r="AI19" s="56" t="str">
        <f>IF(AND('Riesgos de gestión'!$Y$29="Alta",'Riesgos de gestión'!$AA$29="Catastrófico"),CONCATENATE("R4C",'Riesgos de gestión'!$O$29),"")</f>
        <v/>
      </c>
      <c r="AJ19" s="56" t="str">
        <f>IF(AND('Riesgos de gestión'!$Y$30="Alta",'Riesgos de gestión'!$AA$30="Catastrófico"),CONCATENATE("R4C",'Riesgos de gestión'!$O$30),"")</f>
        <v/>
      </c>
      <c r="AK19" s="56" t="str">
        <f>IF(AND('Riesgos de gestión'!$Y$31="Alta",'Riesgos de gestión'!$AA$31="Catastrófico"),CONCATENATE("R4C",'Riesgos de gestión'!$O$31),"")</f>
        <v/>
      </c>
      <c r="AL19" s="56" t="str">
        <f>IF(AND('Riesgos de gestión'!$Y$32="Alta",'Riesgos de gestión'!$AA$32="Catastrófico"),CONCATENATE("R4C",'Riesgos de gestión'!$O$32),"")</f>
        <v/>
      </c>
      <c r="AM19" s="57" t="str">
        <f>IF(AND('Riesgos de gestión'!$Y$33="Alta",'Riesgos de gestión'!$AA$33="Catastrófico"),CONCATENATE("R4C",'Riesgos de gestión'!$O$33),"")</f>
        <v/>
      </c>
      <c r="AN19" s="83"/>
      <c r="AO19" s="1192"/>
      <c r="AP19" s="1193"/>
      <c r="AQ19" s="1193"/>
      <c r="AR19" s="1193"/>
      <c r="AS19" s="1193"/>
      <c r="AT19" s="1194"/>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row>
    <row r="20" spans="1:76" ht="15" customHeight="1" x14ac:dyDescent="0.25">
      <c r="A20" s="83"/>
      <c r="B20" s="1103"/>
      <c r="C20" s="1103"/>
      <c r="D20" s="1104"/>
      <c r="E20" s="1202"/>
      <c r="F20" s="1201"/>
      <c r="G20" s="1201"/>
      <c r="H20" s="1201"/>
      <c r="I20" s="1201"/>
      <c r="J20" s="67" t="str">
        <f>IF(AND('Riesgos de gestión'!$Y$34="Alta",'Riesgos de gestión'!$AA$34="Leve"),CONCATENATE("R5C",'Riesgos de gestión'!$O$34),"")</f>
        <v/>
      </c>
      <c r="K20" s="68" t="str">
        <f>IF(AND('Riesgos de gestión'!$Y$35="Alta",'Riesgos de gestión'!$AA$35="Leve"),CONCATENATE("R5C",'Riesgos de gestión'!$O$35),"")</f>
        <v/>
      </c>
      <c r="L20" s="68" t="str">
        <f>IF(AND('Riesgos de gestión'!$Y$36="Alta",'Riesgos de gestión'!$AA$36="Leve"),CONCATENATE("R5C",'Riesgos de gestión'!$O$36),"")</f>
        <v/>
      </c>
      <c r="M20" s="68" t="str">
        <f>IF(AND('Riesgos de gestión'!$Y$37="Alta",'Riesgos de gestión'!$AA$37="Leve"),CONCATENATE("R5C",'Riesgos de gestión'!$O$37),"")</f>
        <v/>
      </c>
      <c r="N20" s="68" t="str">
        <f>IF(AND('Riesgos de gestión'!$Y$38="Alta",'Riesgos de gestión'!$AA$38="Leve"),CONCATENATE("R5C",'Riesgos de gestión'!$O$38),"")</f>
        <v/>
      </c>
      <c r="O20" s="69" t="str">
        <f>IF(AND('Riesgos de gestión'!$Y$39="Alta",'Riesgos de gestión'!$AA$39="Leve"),CONCATENATE("R5C",'Riesgos de gestión'!$O$39),"")</f>
        <v/>
      </c>
      <c r="P20" s="67" t="str">
        <f>IF(AND('Riesgos de gestión'!$Y$34="Alta",'Riesgos de gestión'!$AA$34="Menor"),CONCATENATE("R5C",'Riesgos de gestión'!$O$34),"")</f>
        <v/>
      </c>
      <c r="Q20" s="68" t="str">
        <f>IF(AND('Riesgos de gestión'!$Y$35="Alta",'Riesgos de gestión'!$AA$35="Menor"),CONCATENATE("R5C",'Riesgos de gestión'!$O$35),"")</f>
        <v/>
      </c>
      <c r="R20" s="68" t="str">
        <f>IF(AND('Riesgos de gestión'!$Y$36="Alta",'Riesgos de gestión'!$AA$36="Menor"),CONCATENATE("R5C",'Riesgos de gestión'!$O$36),"")</f>
        <v/>
      </c>
      <c r="S20" s="68" t="str">
        <f>IF(AND('Riesgos de gestión'!$Y$37="Alta",'Riesgos de gestión'!$AA$37="Menor"),CONCATENATE("R5C",'Riesgos de gestión'!$O$37),"")</f>
        <v/>
      </c>
      <c r="T20" s="68" t="str">
        <f>IF(AND('Riesgos de gestión'!$Y$38="Alta",'Riesgos de gestión'!$AA$38="Menor"),CONCATENATE("R5C",'Riesgos de gestión'!$O$38),"")</f>
        <v/>
      </c>
      <c r="U20" s="69" t="str">
        <f>IF(AND('Riesgos de gestión'!$Y$39="Alta",'Riesgos de gestión'!$AA$39="Menor"),CONCATENATE("R5C",'Riesgos de gestión'!$O$39),"")</f>
        <v/>
      </c>
      <c r="V20" s="52" t="str">
        <f>IF(AND('Riesgos de gestión'!$Y$34="Alta",'Riesgos de gestión'!$AA$34="Moderado"),CONCATENATE("R5C",'Riesgos de gestión'!$O$34),"")</f>
        <v/>
      </c>
      <c r="W20" s="53" t="str">
        <f>IF(AND('Riesgos de gestión'!$Y$35="Alta",'Riesgos de gestión'!$AA$35="Moderado"),CONCATENATE("R5C",'Riesgos de gestión'!$O$35),"")</f>
        <v/>
      </c>
      <c r="X20" s="53" t="str">
        <f>IF(AND('Riesgos de gestión'!$Y$36="Alta",'Riesgos de gestión'!$AA$36="Moderado"),CONCATENATE("R5C",'Riesgos de gestión'!$O$36),"")</f>
        <v/>
      </c>
      <c r="Y20" s="53" t="str">
        <f>IF(AND('Riesgos de gestión'!$Y$37="Alta",'Riesgos de gestión'!$AA$37="Moderado"),CONCATENATE("R5C",'Riesgos de gestión'!$O$37),"")</f>
        <v/>
      </c>
      <c r="Z20" s="53" t="str">
        <f>IF(AND('Riesgos de gestión'!$Y$38="Alta",'Riesgos de gestión'!$AA$38="Moderado"),CONCATENATE("R5C",'Riesgos de gestión'!$O$38),"")</f>
        <v/>
      </c>
      <c r="AA20" s="54" t="str">
        <f>IF(AND('Riesgos de gestión'!$Y$39="Alta",'Riesgos de gestión'!$AA$39="Moderado"),CONCATENATE("R5C",'Riesgos de gestión'!$O$39),"")</f>
        <v/>
      </c>
      <c r="AB20" s="52" t="str">
        <f>IF(AND('Riesgos de gestión'!$Y$34="Alta",'Riesgos de gestión'!$AA$34="Mayor"),CONCATENATE("R5C",'Riesgos de gestión'!$O$34),"")</f>
        <v/>
      </c>
      <c r="AC20" s="53" t="str">
        <f>IF(AND('Riesgos de gestión'!$Y$35="Alta",'Riesgos de gestión'!$AA$35="Mayor"),CONCATENATE("R5C",'Riesgos de gestión'!$O$35),"")</f>
        <v/>
      </c>
      <c r="AD20" s="53" t="str">
        <f>IF(AND('Riesgos de gestión'!$Y$36="Alta",'Riesgos de gestión'!$AA$36="Mayor"),CONCATENATE("R5C",'Riesgos de gestión'!$O$36),"")</f>
        <v/>
      </c>
      <c r="AE20" s="53" t="str">
        <f>IF(AND('Riesgos de gestión'!$Y$37="Alta",'Riesgos de gestión'!$AA$37="Mayor"),CONCATENATE("R5C",'Riesgos de gestión'!$O$37),"")</f>
        <v/>
      </c>
      <c r="AF20" s="53" t="str">
        <f>IF(AND('Riesgos de gestión'!$Y$38="Alta",'Riesgos de gestión'!$AA$38="Mayor"),CONCATENATE("R5C",'Riesgos de gestión'!$O$38),"")</f>
        <v/>
      </c>
      <c r="AG20" s="54" t="str">
        <f>IF(AND('Riesgos de gestión'!$Y$39="Alta",'Riesgos de gestión'!$AA$39="Mayor"),CONCATENATE("R5C",'Riesgos de gestión'!$O$39),"")</f>
        <v/>
      </c>
      <c r="AH20" s="55" t="str">
        <f>IF(AND('Riesgos de gestión'!$Y$34="Alta",'Riesgos de gestión'!$AA$34="Catastrófico"),CONCATENATE("R5C",'Riesgos de gestión'!$O$34),"")</f>
        <v/>
      </c>
      <c r="AI20" s="56" t="str">
        <f>IF(AND('Riesgos de gestión'!$Y$35="Alta",'Riesgos de gestión'!$AA$35="Catastrófico"),CONCATENATE("R5C",'Riesgos de gestión'!$O$35),"")</f>
        <v/>
      </c>
      <c r="AJ20" s="56" t="str">
        <f>IF(AND('Riesgos de gestión'!$Y$36="Alta",'Riesgos de gestión'!$AA$36="Catastrófico"),CONCATENATE("R5C",'Riesgos de gestión'!$O$36),"")</f>
        <v/>
      </c>
      <c r="AK20" s="56" t="str">
        <f>IF(AND('Riesgos de gestión'!$Y$37="Alta",'Riesgos de gestión'!$AA$37="Catastrófico"),CONCATENATE("R5C",'Riesgos de gestión'!$O$37),"")</f>
        <v/>
      </c>
      <c r="AL20" s="56" t="str">
        <f>IF(AND('Riesgos de gestión'!$Y$38="Alta",'Riesgos de gestión'!$AA$38="Catastrófico"),CONCATENATE("R5C",'Riesgos de gestión'!$O$38),"")</f>
        <v/>
      </c>
      <c r="AM20" s="57" t="str">
        <f>IF(AND('Riesgos de gestión'!$Y$39="Alta",'Riesgos de gestión'!$AA$39="Catastrófico"),CONCATENATE("R5C",'Riesgos de gestión'!$O$39),"")</f>
        <v/>
      </c>
      <c r="AN20" s="83"/>
      <c r="AO20" s="1192"/>
      <c r="AP20" s="1193"/>
      <c r="AQ20" s="1193"/>
      <c r="AR20" s="1193"/>
      <c r="AS20" s="1193"/>
      <c r="AT20" s="1194"/>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row>
    <row r="21" spans="1:76" ht="15" customHeight="1" x14ac:dyDescent="0.25">
      <c r="A21" s="83"/>
      <c r="B21" s="1103"/>
      <c r="C21" s="1103"/>
      <c r="D21" s="1104"/>
      <c r="E21" s="1202"/>
      <c r="F21" s="1201"/>
      <c r="G21" s="1201"/>
      <c r="H21" s="1201"/>
      <c r="I21" s="1201"/>
      <c r="J21" s="67" t="str">
        <f>IF(AND('Riesgos de gestión'!$Y$40="Alta",'Riesgos de gestión'!$AA$40="Leve"),CONCATENATE("R6C",'Riesgos de gestión'!$O$40),"")</f>
        <v/>
      </c>
      <c r="K21" s="68" t="str">
        <f>IF(AND('Riesgos de gestión'!$Y$41="Alta",'Riesgos de gestión'!$AA$41="Leve"),CONCATENATE("R6C",'Riesgos de gestión'!$O$41),"")</f>
        <v/>
      </c>
      <c r="L21" s="68" t="str">
        <f>IF(AND('Riesgos de gestión'!$Y$42="Alta",'Riesgos de gestión'!$AA$42="Leve"),CONCATENATE("R6C",'Riesgos de gestión'!$O$42),"")</f>
        <v/>
      </c>
      <c r="M21" s="68" t="str">
        <f>IF(AND('Riesgos de gestión'!$Y$43="Alta",'Riesgos de gestión'!$AA$43="Leve"),CONCATENATE("R6C",'Riesgos de gestión'!$O$43),"")</f>
        <v/>
      </c>
      <c r="N21" s="68" t="str">
        <f>IF(AND('Riesgos de gestión'!$Y$44="Alta",'Riesgos de gestión'!$AA$44="Leve"),CONCATENATE("R6C",'Riesgos de gestión'!$O$44),"")</f>
        <v/>
      </c>
      <c r="O21" s="69" t="str">
        <f>IF(AND('Riesgos de gestión'!$Y$45="Alta",'Riesgos de gestión'!$AA$45="Leve"),CONCATENATE("R6C",'Riesgos de gestión'!$O$45),"")</f>
        <v/>
      </c>
      <c r="P21" s="67" t="str">
        <f>IF(AND('Riesgos de gestión'!$Y$40="Alta",'Riesgos de gestión'!$AA$40="Menor"),CONCATENATE("R6C",'Riesgos de gestión'!$O$40),"")</f>
        <v/>
      </c>
      <c r="Q21" s="68" t="str">
        <f>IF(AND('Riesgos de gestión'!$Y$41="Alta",'Riesgos de gestión'!$AA$41="Menor"),CONCATENATE("R6C",'Riesgos de gestión'!$O$41),"")</f>
        <v/>
      </c>
      <c r="R21" s="68" t="str">
        <f>IF(AND('Riesgos de gestión'!$Y$42="Alta",'Riesgos de gestión'!$AA$42="Menor"),CONCATENATE("R6C",'Riesgos de gestión'!$O$42),"")</f>
        <v/>
      </c>
      <c r="S21" s="68" t="str">
        <f>IF(AND('Riesgos de gestión'!$Y$43="Alta",'Riesgos de gestión'!$AA$43="Menor"),CONCATENATE("R6C",'Riesgos de gestión'!$O$43),"")</f>
        <v/>
      </c>
      <c r="T21" s="68" t="str">
        <f>IF(AND('Riesgos de gestión'!$Y$44="Alta",'Riesgos de gestión'!$AA$44="Menor"),CONCATENATE("R6C",'Riesgos de gestión'!$O$44),"")</f>
        <v/>
      </c>
      <c r="U21" s="69" t="str">
        <f>IF(AND('Riesgos de gestión'!$Y$45="Alta",'Riesgos de gestión'!$AA$45="Menor"),CONCATENATE("R6C",'Riesgos de gestión'!$O$45),"")</f>
        <v/>
      </c>
      <c r="V21" s="52" t="str">
        <f>IF(AND('Riesgos de gestión'!$Y$40="Alta",'Riesgos de gestión'!$AA$40="Moderado"),CONCATENATE("R6C",'Riesgos de gestión'!$O$40),"")</f>
        <v/>
      </c>
      <c r="W21" s="53" t="str">
        <f>IF(AND('Riesgos de gestión'!$Y$41="Alta",'Riesgos de gestión'!$AA$41="Moderado"),CONCATENATE("R6C",'Riesgos de gestión'!$O$41),"")</f>
        <v/>
      </c>
      <c r="X21" s="53" t="str">
        <f>IF(AND('Riesgos de gestión'!$Y$42="Alta",'Riesgos de gestión'!$AA$42="Moderado"),CONCATENATE("R6C",'Riesgos de gestión'!$O$42),"")</f>
        <v/>
      </c>
      <c r="Y21" s="53" t="str">
        <f>IF(AND('Riesgos de gestión'!$Y$43="Alta",'Riesgos de gestión'!$AA$43="Moderado"),CONCATENATE("R6C",'Riesgos de gestión'!$O$43),"")</f>
        <v/>
      </c>
      <c r="Z21" s="53" t="str">
        <f>IF(AND('Riesgos de gestión'!$Y$44="Alta",'Riesgos de gestión'!$AA$44="Moderado"),CONCATENATE("R6C",'Riesgos de gestión'!$O$44),"")</f>
        <v/>
      </c>
      <c r="AA21" s="54" t="str">
        <f>IF(AND('Riesgos de gestión'!$Y$45="Alta",'Riesgos de gestión'!$AA$45="Moderado"),CONCATENATE("R6C",'Riesgos de gestión'!$O$45),"")</f>
        <v/>
      </c>
      <c r="AB21" s="52" t="str">
        <f>IF(AND('Riesgos de gestión'!$Y$40="Alta",'Riesgos de gestión'!$AA$40="Mayor"),CONCATENATE("R6C",'Riesgos de gestión'!$O$40),"")</f>
        <v/>
      </c>
      <c r="AC21" s="53" t="str">
        <f>IF(AND('Riesgos de gestión'!$Y$41="Alta",'Riesgos de gestión'!$AA$41="Mayor"),CONCATENATE("R6C",'Riesgos de gestión'!$O$41),"")</f>
        <v/>
      </c>
      <c r="AD21" s="53" t="str">
        <f>IF(AND('Riesgos de gestión'!$Y$42="Alta",'Riesgos de gestión'!$AA$42="Mayor"),CONCATENATE("R6C",'Riesgos de gestión'!$O$42),"")</f>
        <v/>
      </c>
      <c r="AE21" s="53" t="str">
        <f>IF(AND('Riesgos de gestión'!$Y$43="Alta",'Riesgos de gestión'!$AA$43="Mayor"),CONCATENATE("R6C",'Riesgos de gestión'!$O$43),"")</f>
        <v/>
      </c>
      <c r="AF21" s="53" t="str">
        <f>IF(AND('Riesgos de gestión'!$Y$44="Alta",'Riesgos de gestión'!$AA$44="Mayor"),CONCATENATE("R6C",'Riesgos de gestión'!$O$44),"")</f>
        <v/>
      </c>
      <c r="AG21" s="54" t="str">
        <f>IF(AND('Riesgos de gestión'!$Y$45="Alta",'Riesgos de gestión'!$AA$45="Mayor"),CONCATENATE("R6C",'Riesgos de gestión'!$O$45),"")</f>
        <v/>
      </c>
      <c r="AH21" s="55" t="str">
        <f>IF(AND('Riesgos de gestión'!$Y$40="Alta",'Riesgos de gestión'!$AA$40="Catastrófico"),CONCATENATE("R6C",'Riesgos de gestión'!$O$40),"")</f>
        <v/>
      </c>
      <c r="AI21" s="56" t="str">
        <f>IF(AND('Riesgos de gestión'!$Y$41="Alta",'Riesgos de gestión'!$AA$41="Catastrófico"),CONCATENATE("R6C",'Riesgos de gestión'!$O$41),"")</f>
        <v/>
      </c>
      <c r="AJ21" s="56" t="str">
        <f>IF(AND('Riesgos de gestión'!$Y$42="Alta",'Riesgos de gestión'!$AA$42="Catastrófico"),CONCATENATE("R6C",'Riesgos de gestión'!$O$42),"")</f>
        <v/>
      </c>
      <c r="AK21" s="56" t="str">
        <f>IF(AND('Riesgos de gestión'!$Y$43="Alta",'Riesgos de gestión'!$AA$43="Catastrófico"),CONCATENATE("R6C",'Riesgos de gestión'!$O$43),"")</f>
        <v/>
      </c>
      <c r="AL21" s="56" t="str">
        <f>IF(AND('Riesgos de gestión'!$Y$44="Alta",'Riesgos de gestión'!$AA$44="Catastrófico"),CONCATENATE("R6C",'Riesgos de gestión'!$O$44),"")</f>
        <v/>
      </c>
      <c r="AM21" s="57" t="str">
        <f>IF(AND('Riesgos de gestión'!$Y$45="Alta",'Riesgos de gestión'!$AA$45="Catastrófico"),CONCATENATE("R6C",'Riesgos de gestión'!$O$45),"")</f>
        <v/>
      </c>
      <c r="AN21" s="83"/>
      <c r="AO21" s="1192"/>
      <c r="AP21" s="1193"/>
      <c r="AQ21" s="1193"/>
      <c r="AR21" s="1193"/>
      <c r="AS21" s="1193"/>
      <c r="AT21" s="1194"/>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row>
    <row r="22" spans="1:76" ht="15" customHeight="1" x14ac:dyDescent="0.25">
      <c r="A22" s="83"/>
      <c r="B22" s="1103"/>
      <c r="C22" s="1103"/>
      <c r="D22" s="1104"/>
      <c r="E22" s="1202"/>
      <c r="F22" s="1201"/>
      <c r="G22" s="1201"/>
      <c r="H22" s="1201"/>
      <c r="I22" s="1201"/>
      <c r="J22" s="67" t="str">
        <f>IF(AND('Riesgos de gestión'!$Y$46="Alta",'Riesgos de gestión'!$AA$46="Leve"),CONCATENATE("R7C",'Riesgos de gestión'!$O$46),"")</f>
        <v/>
      </c>
      <c r="K22" s="68" t="str">
        <f>IF(AND('Riesgos de gestión'!$Y$47="Alta",'Riesgos de gestión'!$AA$47="Leve"),CONCATENATE("R7C",'Riesgos de gestión'!$O$47),"")</f>
        <v/>
      </c>
      <c r="L22" s="68" t="str">
        <f>IF(AND('Riesgos de gestión'!$Y$48="Alta",'Riesgos de gestión'!$AA$48="Leve"),CONCATENATE("R7C",'Riesgos de gestión'!$O$48),"")</f>
        <v/>
      </c>
      <c r="M22" s="68" t="str">
        <f>IF(AND('Riesgos de gestión'!$Y$49="Alta",'Riesgos de gestión'!$AA$49="Leve"),CONCATENATE("R7C",'Riesgos de gestión'!$O$49),"")</f>
        <v/>
      </c>
      <c r="N22" s="68" t="str">
        <f>IF(AND('Riesgos de gestión'!$Y$50="Alta",'Riesgos de gestión'!$AA$50="Leve"),CONCATENATE("R7C",'Riesgos de gestión'!$O$50),"")</f>
        <v/>
      </c>
      <c r="O22" s="69" t="str">
        <f>IF(AND('Riesgos de gestión'!$Y$51="Alta",'Riesgos de gestión'!$AA$51="Leve"),CONCATENATE("R7C",'Riesgos de gestión'!$O$51),"")</f>
        <v/>
      </c>
      <c r="P22" s="67" t="str">
        <f>IF(AND('Riesgos de gestión'!$Y$46="Alta",'Riesgos de gestión'!$AA$46="Menor"),CONCATENATE("R7C",'Riesgos de gestión'!$O$46),"")</f>
        <v/>
      </c>
      <c r="Q22" s="68" t="str">
        <f>IF(AND('Riesgos de gestión'!$Y$47="Alta",'Riesgos de gestión'!$AA$47="Menor"),CONCATENATE("R7C",'Riesgos de gestión'!$O$47),"")</f>
        <v/>
      </c>
      <c r="R22" s="68" t="str">
        <f>IF(AND('Riesgos de gestión'!$Y$48="Alta",'Riesgos de gestión'!$AA$48="Menor"),CONCATENATE("R7C",'Riesgos de gestión'!$O$48),"")</f>
        <v/>
      </c>
      <c r="S22" s="68" t="str">
        <f>IF(AND('Riesgos de gestión'!$Y$49="Alta",'Riesgos de gestión'!$AA$49="Menor"),CONCATENATE("R7C",'Riesgos de gestión'!$O$49),"")</f>
        <v/>
      </c>
      <c r="T22" s="68" t="str">
        <f>IF(AND('Riesgos de gestión'!$Y$50="Alta",'Riesgos de gestión'!$AA$50="Menor"),CONCATENATE("R7C",'Riesgos de gestión'!$O$50),"")</f>
        <v/>
      </c>
      <c r="U22" s="69" t="str">
        <f>IF(AND('Riesgos de gestión'!$Y$51="Alta",'Riesgos de gestión'!$AA$51="Menor"),CONCATENATE("R7C",'Riesgos de gestión'!$O$51),"")</f>
        <v/>
      </c>
      <c r="V22" s="52" t="str">
        <f>IF(AND('Riesgos de gestión'!$Y$46="Alta",'Riesgos de gestión'!$AA$46="Moderado"),CONCATENATE("R7C",'Riesgos de gestión'!$O$46),"")</f>
        <v/>
      </c>
      <c r="W22" s="53" t="str">
        <f>IF(AND('Riesgos de gestión'!$Y$47="Alta",'Riesgos de gestión'!$AA$47="Moderado"),CONCATENATE("R7C",'Riesgos de gestión'!$O$47),"")</f>
        <v/>
      </c>
      <c r="X22" s="53" t="str">
        <f>IF(AND('Riesgos de gestión'!$Y$48="Alta",'Riesgos de gestión'!$AA$48="Moderado"),CONCATENATE("R7C",'Riesgos de gestión'!$O$48),"")</f>
        <v/>
      </c>
      <c r="Y22" s="53" t="str">
        <f>IF(AND('Riesgos de gestión'!$Y$49="Alta",'Riesgos de gestión'!$AA$49="Moderado"),CONCATENATE("R7C",'Riesgos de gestión'!$O$49),"")</f>
        <v/>
      </c>
      <c r="Z22" s="53" t="str">
        <f>IF(AND('Riesgos de gestión'!$Y$50="Alta",'Riesgos de gestión'!$AA$50="Moderado"),CONCATENATE("R7C",'Riesgos de gestión'!$O$50),"")</f>
        <v/>
      </c>
      <c r="AA22" s="54" t="str">
        <f>IF(AND('Riesgos de gestión'!$Y$51="Alta",'Riesgos de gestión'!$AA$51="Moderado"),CONCATENATE("R7C",'Riesgos de gestión'!$O$51),"")</f>
        <v/>
      </c>
      <c r="AB22" s="52" t="str">
        <f>IF(AND('Riesgos de gestión'!$Y$46="Alta",'Riesgos de gestión'!$AA$46="Mayor"),CONCATENATE("R7C",'Riesgos de gestión'!$O$46),"")</f>
        <v/>
      </c>
      <c r="AC22" s="53" t="str">
        <f>IF(AND('Riesgos de gestión'!$Y$47="Alta",'Riesgos de gestión'!$AA$47="Mayor"),CONCATENATE("R7C",'Riesgos de gestión'!$O$47),"")</f>
        <v/>
      </c>
      <c r="AD22" s="53" t="str">
        <f>IF(AND('Riesgos de gestión'!$Y$48="Alta",'Riesgos de gestión'!$AA$48="Mayor"),CONCATENATE("R7C",'Riesgos de gestión'!$O$48),"")</f>
        <v/>
      </c>
      <c r="AE22" s="53" t="str">
        <f>IF(AND('Riesgos de gestión'!$Y$49="Alta",'Riesgos de gestión'!$AA$49="Mayor"),CONCATENATE("R7C",'Riesgos de gestión'!$O$49),"")</f>
        <v/>
      </c>
      <c r="AF22" s="53" t="str">
        <f>IF(AND('Riesgos de gestión'!$Y$50="Alta",'Riesgos de gestión'!$AA$50="Mayor"),CONCATENATE("R7C",'Riesgos de gestión'!$O$50),"")</f>
        <v/>
      </c>
      <c r="AG22" s="54" t="str">
        <f>IF(AND('Riesgos de gestión'!$Y$51="Alta",'Riesgos de gestión'!$AA$51="Mayor"),CONCATENATE("R7C",'Riesgos de gestión'!$O$51),"")</f>
        <v/>
      </c>
      <c r="AH22" s="55" t="str">
        <f>IF(AND('Riesgos de gestión'!$Y$46="Alta",'Riesgos de gestión'!$AA$46="Catastrófico"),CONCATENATE("R7C",'Riesgos de gestión'!$O$46),"")</f>
        <v/>
      </c>
      <c r="AI22" s="56" t="str">
        <f>IF(AND('Riesgos de gestión'!$Y$47="Alta",'Riesgos de gestión'!$AA$47="Catastrófico"),CONCATENATE("R7C",'Riesgos de gestión'!$O$47),"")</f>
        <v/>
      </c>
      <c r="AJ22" s="56" t="str">
        <f>IF(AND('Riesgos de gestión'!$Y$48="Alta",'Riesgos de gestión'!$AA$48="Catastrófico"),CONCATENATE("R7C",'Riesgos de gestión'!$O$48),"")</f>
        <v/>
      </c>
      <c r="AK22" s="56" t="str">
        <f>IF(AND('Riesgos de gestión'!$Y$49="Alta",'Riesgos de gestión'!$AA$49="Catastrófico"),CONCATENATE("R7C",'Riesgos de gestión'!$O$49),"")</f>
        <v/>
      </c>
      <c r="AL22" s="56" t="str">
        <f>IF(AND('Riesgos de gestión'!$Y$50="Alta",'Riesgos de gestión'!$AA$50="Catastrófico"),CONCATENATE("R7C",'Riesgos de gestión'!$O$50),"")</f>
        <v/>
      </c>
      <c r="AM22" s="57" t="str">
        <f>IF(AND('Riesgos de gestión'!$Y$51="Alta",'Riesgos de gestión'!$AA$51="Catastrófico"),CONCATENATE("R7C",'Riesgos de gestión'!$O$51),"")</f>
        <v/>
      </c>
      <c r="AN22" s="83"/>
      <c r="AO22" s="1192"/>
      <c r="AP22" s="1193"/>
      <c r="AQ22" s="1193"/>
      <c r="AR22" s="1193"/>
      <c r="AS22" s="1193"/>
      <c r="AT22" s="1194"/>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row>
    <row r="23" spans="1:76" ht="15" customHeight="1" x14ac:dyDescent="0.25">
      <c r="A23" s="83"/>
      <c r="B23" s="1103"/>
      <c r="C23" s="1103"/>
      <c r="D23" s="1104"/>
      <c r="E23" s="1202"/>
      <c r="F23" s="1201"/>
      <c r="G23" s="1201"/>
      <c r="H23" s="1201"/>
      <c r="I23" s="1201"/>
      <c r="J23" s="67" t="str">
        <f>IF(AND('Riesgos de gestión'!$Y$52="Alta",'Riesgos de gestión'!$AA$52="Leve"),CONCATENATE("R8C",'Riesgos de gestión'!$O$52),"")</f>
        <v/>
      </c>
      <c r="K23" s="68" t="str">
        <f>IF(AND('Riesgos de gestión'!$Y$53="Alta",'Riesgos de gestión'!$AA$53="Leve"),CONCATENATE("R8C",'Riesgos de gestión'!$O$53),"")</f>
        <v/>
      </c>
      <c r="L23" s="68" t="str">
        <f>IF(AND('Riesgos de gestión'!$Y$54="Alta",'Riesgos de gestión'!$AA$54="Leve"),CONCATENATE("R8C",'Riesgos de gestión'!$O$54),"")</f>
        <v/>
      </c>
      <c r="M23" s="68" t="str">
        <f>IF(AND('Riesgos de gestión'!$Y$55="Alta",'Riesgos de gestión'!$AA$55="Leve"),CONCATENATE("R8C",'Riesgos de gestión'!$O$55),"")</f>
        <v/>
      </c>
      <c r="N23" s="68" t="str">
        <f>IF(AND('Riesgos de gestión'!$Y$56="Alta",'Riesgos de gestión'!$AA$56="Leve"),CONCATENATE("R8C",'Riesgos de gestión'!$O$56),"")</f>
        <v/>
      </c>
      <c r="O23" s="69" t="str">
        <f>IF(AND('Riesgos de gestión'!$Y$57="Alta",'Riesgos de gestión'!$AA$57="Leve"),CONCATENATE("R8C",'Riesgos de gestión'!$O$57),"")</f>
        <v/>
      </c>
      <c r="P23" s="67" t="str">
        <f>IF(AND('Riesgos de gestión'!$Y$52="Alta",'Riesgos de gestión'!$AA$52="Menor"),CONCATENATE("R8C",'Riesgos de gestión'!$O$52),"")</f>
        <v/>
      </c>
      <c r="Q23" s="68" t="str">
        <f>IF(AND('Riesgos de gestión'!$Y$53="Alta",'Riesgos de gestión'!$AA$53="Menor"),CONCATENATE("R8C",'Riesgos de gestión'!$O$53),"")</f>
        <v/>
      </c>
      <c r="R23" s="68" t="str">
        <f>IF(AND('Riesgos de gestión'!$Y$54="Alta",'Riesgos de gestión'!$AA$54="Menor"),CONCATENATE("R8C",'Riesgos de gestión'!$O$54),"")</f>
        <v/>
      </c>
      <c r="S23" s="68" t="str">
        <f>IF(AND('Riesgos de gestión'!$Y$55="Alta",'Riesgos de gestión'!$AA$55="Menor"),CONCATENATE("R8C",'Riesgos de gestión'!$O$55),"")</f>
        <v/>
      </c>
      <c r="T23" s="68" t="str">
        <f>IF(AND('Riesgos de gestión'!$Y$56="Alta",'Riesgos de gestión'!$AA$56="Menor"),CONCATENATE("R8C",'Riesgos de gestión'!$O$56),"")</f>
        <v/>
      </c>
      <c r="U23" s="69" t="str">
        <f>IF(AND('Riesgos de gestión'!$Y$57="Alta",'Riesgos de gestión'!$AA$57="Menor"),CONCATENATE("R8C",'Riesgos de gestión'!$O$57),"")</f>
        <v/>
      </c>
      <c r="V23" s="52" t="str">
        <f>IF(AND('Riesgos de gestión'!$Y$52="Alta",'Riesgos de gestión'!$AA$52="Moderado"),CONCATENATE("R8C",'Riesgos de gestión'!$O$52),"")</f>
        <v/>
      </c>
      <c r="W23" s="53" t="str">
        <f>IF(AND('Riesgos de gestión'!$Y$53="Alta",'Riesgos de gestión'!$AA$53="Moderado"),CONCATENATE("R8C",'Riesgos de gestión'!$O$53),"")</f>
        <v/>
      </c>
      <c r="X23" s="53" t="str">
        <f>IF(AND('Riesgos de gestión'!$Y$54="Alta",'Riesgos de gestión'!$AA$54="Moderado"),CONCATENATE("R8C",'Riesgos de gestión'!$O$54),"")</f>
        <v/>
      </c>
      <c r="Y23" s="53" t="str">
        <f>IF(AND('Riesgos de gestión'!$Y$55="Alta",'Riesgos de gestión'!$AA$55="Moderado"),CONCATENATE("R8C",'Riesgos de gestión'!$O$55),"")</f>
        <v/>
      </c>
      <c r="Z23" s="53" t="str">
        <f>IF(AND('Riesgos de gestión'!$Y$56="Alta",'Riesgos de gestión'!$AA$56="Moderado"),CONCATENATE("R8C",'Riesgos de gestión'!$O$56),"")</f>
        <v/>
      </c>
      <c r="AA23" s="54" t="str">
        <f>IF(AND('Riesgos de gestión'!$Y$57="Alta",'Riesgos de gestión'!$AA$57="Moderado"),CONCATENATE("R8C",'Riesgos de gestión'!$O$57),"")</f>
        <v/>
      </c>
      <c r="AB23" s="52" t="str">
        <f>IF(AND('Riesgos de gestión'!$Y$52="Alta",'Riesgos de gestión'!$AA$52="Mayor"),CONCATENATE("R8C",'Riesgos de gestión'!$O$52),"")</f>
        <v/>
      </c>
      <c r="AC23" s="53" t="str">
        <f>IF(AND('Riesgos de gestión'!$Y$53="Alta",'Riesgos de gestión'!$AA$53="Mayor"),CONCATENATE("R8C",'Riesgos de gestión'!$O$53),"")</f>
        <v/>
      </c>
      <c r="AD23" s="53" t="str">
        <f>IF(AND('Riesgos de gestión'!$Y$54="Alta",'Riesgos de gestión'!$AA$54="Mayor"),CONCATENATE("R8C",'Riesgos de gestión'!$O$54),"")</f>
        <v/>
      </c>
      <c r="AE23" s="53" t="str">
        <f>IF(AND('Riesgos de gestión'!$Y$55="Alta",'Riesgos de gestión'!$AA$55="Mayor"),CONCATENATE("R8C",'Riesgos de gestión'!$O$55),"")</f>
        <v/>
      </c>
      <c r="AF23" s="53" t="str">
        <f>IF(AND('Riesgos de gestión'!$Y$56="Alta",'Riesgos de gestión'!$AA$56="Mayor"),CONCATENATE("R8C",'Riesgos de gestión'!$O$56),"")</f>
        <v/>
      </c>
      <c r="AG23" s="54" t="str">
        <f>IF(AND('Riesgos de gestión'!$Y$57="Alta",'Riesgos de gestión'!$AA$57="Mayor"),CONCATENATE("R8C",'Riesgos de gestión'!$O$57),"")</f>
        <v/>
      </c>
      <c r="AH23" s="55" t="str">
        <f>IF(AND('Riesgos de gestión'!$Y$52="Alta",'Riesgos de gestión'!$AA$52="Catastrófico"),CONCATENATE("R8C",'Riesgos de gestión'!$O$52),"")</f>
        <v/>
      </c>
      <c r="AI23" s="56" t="str">
        <f>IF(AND('Riesgos de gestión'!$Y$53="Alta",'Riesgos de gestión'!$AA$53="Catastrófico"),CONCATENATE("R8C",'Riesgos de gestión'!$O$53),"")</f>
        <v/>
      </c>
      <c r="AJ23" s="56" t="str">
        <f>IF(AND('Riesgos de gestión'!$Y$54="Alta",'Riesgos de gestión'!$AA$54="Catastrófico"),CONCATENATE("R8C",'Riesgos de gestión'!$O$54),"")</f>
        <v/>
      </c>
      <c r="AK23" s="56" t="str">
        <f>IF(AND('Riesgos de gestión'!$Y$55="Alta",'Riesgos de gestión'!$AA$55="Catastrófico"),CONCATENATE("R8C",'Riesgos de gestión'!$O$55),"")</f>
        <v/>
      </c>
      <c r="AL23" s="56" t="str">
        <f>IF(AND('Riesgos de gestión'!$Y$56="Alta",'Riesgos de gestión'!$AA$56="Catastrófico"),CONCATENATE("R8C",'Riesgos de gestión'!$O$56),"")</f>
        <v/>
      </c>
      <c r="AM23" s="57" t="str">
        <f>IF(AND('Riesgos de gestión'!$Y$57="Alta",'Riesgos de gestión'!$AA$57="Catastrófico"),CONCATENATE("R8C",'Riesgos de gestión'!$O$57),"")</f>
        <v/>
      </c>
      <c r="AN23" s="83"/>
      <c r="AO23" s="1192"/>
      <c r="AP23" s="1193"/>
      <c r="AQ23" s="1193"/>
      <c r="AR23" s="1193"/>
      <c r="AS23" s="1193"/>
      <c r="AT23" s="1194"/>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row>
    <row r="24" spans="1:76" ht="15" customHeight="1" x14ac:dyDescent="0.25">
      <c r="A24" s="83"/>
      <c r="B24" s="1103"/>
      <c r="C24" s="1103"/>
      <c r="D24" s="1104"/>
      <c r="E24" s="1202"/>
      <c r="F24" s="1201"/>
      <c r="G24" s="1201"/>
      <c r="H24" s="1201"/>
      <c r="I24" s="1201"/>
      <c r="J24" s="67" t="str">
        <f>IF(AND('Riesgos de gestión'!$Y$58="Alta",'Riesgos de gestión'!$AA$58="Leve"),CONCATENATE("R9C",'Riesgos de gestión'!$O$58),"")</f>
        <v/>
      </c>
      <c r="K24" s="68" t="str">
        <f>IF(AND('Riesgos de gestión'!$Y$59="Alta",'Riesgos de gestión'!$AA$59="Leve"),CONCATENATE("R9C",'Riesgos de gestión'!$O$59),"")</f>
        <v/>
      </c>
      <c r="L24" s="68" t="str">
        <f>IF(AND('Riesgos de gestión'!$Y$60="Alta",'Riesgos de gestión'!$AA$60="Leve"),CONCATENATE("R9C",'Riesgos de gestión'!$O$60),"")</f>
        <v/>
      </c>
      <c r="M24" s="68" t="str">
        <f>IF(AND('Riesgos de gestión'!$Y$61="Alta",'Riesgos de gestión'!$AA$61="Leve"),CONCATENATE("R9C",'Riesgos de gestión'!$O$61),"")</f>
        <v/>
      </c>
      <c r="N24" s="68" t="str">
        <f>IF(AND('Riesgos de gestión'!$Y$62="Alta",'Riesgos de gestión'!$AA$62="Leve"),CONCATENATE("R9C",'Riesgos de gestión'!$O$62),"")</f>
        <v/>
      </c>
      <c r="O24" s="69" t="str">
        <f>IF(AND('Riesgos de gestión'!$Y$63="Alta",'Riesgos de gestión'!$AA$63="Leve"),CONCATENATE("R9C",'Riesgos de gestión'!$O$63),"")</f>
        <v/>
      </c>
      <c r="P24" s="67" t="str">
        <f>IF(AND('Riesgos de gestión'!$Y$58="Alta",'Riesgos de gestión'!$AA$58="Menor"),CONCATENATE("R9C",'Riesgos de gestión'!$O$58),"")</f>
        <v/>
      </c>
      <c r="Q24" s="68" t="str">
        <f>IF(AND('Riesgos de gestión'!$Y$59="Alta",'Riesgos de gestión'!$AA$59="Menor"),CONCATENATE("R9C",'Riesgos de gestión'!$O$59),"")</f>
        <v/>
      </c>
      <c r="R24" s="68" t="str">
        <f>IF(AND('Riesgos de gestión'!$Y$60="Alta",'Riesgos de gestión'!$AA$60="Menor"),CONCATENATE("R9C",'Riesgos de gestión'!$O$60),"")</f>
        <v/>
      </c>
      <c r="S24" s="68" t="str">
        <f>IF(AND('Riesgos de gestión'!$Y$61="Alta",'Riesgos de gestión'!$AA$61="Menor"),CONCATENATE("R9C",'Riesgos de gestión'!$O$61),"")</f>
        <v/>
      </c>
      <c r="T24" s="68" t="str">
        <f>IF(AND('Riesgos de gestión'!$Y$62="Alta",'Riesgos de gestión'!$AA$62="Menor"),CONCATENATE("R9C",'Riesgos de gestión'!$O$62),"")</f>
        <v/>
      </c>
      <c r="U24" s="69" t="str">
        <f>IF(AND('Riesgos de gestión'!$Y$63="Alta",'Riesgos de gestión'!$AA$63="Menor"),CONCATENATE("R9C",'Riesgos de gestión'!$O$63),"")</f>
        <v/>
      </c>
      <c r="V24" s="52" t="str">
        <f>IF(AND('Riesgos de gestión'!$Y$58="Alta",'Riesgos de gestión'!$AA$58="Moderado"),CONCATENATE("R9C",'Riesgos de gestión'!$O$58),"")</f>
        <v/>
      </c>
      <c r="W24" s="53" t="str">
        <f>IF(AND('Riesgos de gestión'!$Y$59="Alta",'Riesgos de gestión'!$AA$59="Moderado"),CONCATENATE("R9C",'Riesgos de gestión'!$O$59),"")</f>
        <v/>
      </c>
      <c r="X24" s="53" t="str">
        <f>IF(AND('Riesgos de gestión'!$Y$60="Alta",'Riesgos de gestión'!$AA$60="Moderado"),CONCATENATE("R9C",'Riesgos de gestión'!$O$60),"")</f>
        <v/>
      </c>
      <c r="Y24" s="53" t="str">
        <f>IF(AND('Riesgos de gestión'!$Y$61="Alta",'Riesgos de gestión'!$AA$61="Moderado"),CONCATENATE("R9C",'Riesgos de gestión'!$O$61),"")</f>
        <v/>
      </c>
      <c r="Z24" s="53" t="str">
        <f>IF(AND('Riesgos de gestión'!$Y$62="Alta",'Riesgos de gestión'!$AA$62="Moderado"),CONCATENATE("R9C",'Riesgos de gestión'!$O$62),"")</f>
        <v/>
      </c>
      <c r="AA24" s="54" t="str">
        <f>IF(AND('Riesgos de gestión'!$Y$63="Alta",'Riesgos de gestión'!$AA$63="Moderado"),CONCATENATE("R9C",'Riesgos de gestión'!$O$63),"")</f>
        <v/>
      </c>
      <c r="AB24" s="52" t="str">
        <f>IF(AND('Riesgos de gestión'!$Y$58="Alta",'Riesgos de gestión'!$AA$58="Mayor"),CONCATENATE("R9C",'Riesgos de gestión'!$O$58),"")</f>
        <v/>
      </c>
      <c r="AC24" s="53" t="str">
        <f>IF(AND('Riesgos de gestión'!$Y$59="Alta",'Riesgos de gestión'!$AA$59="Mayor"),CONCATENATE("R9C",'Riesgos de gestión'!$O$59),"")</f>
        <v/>
      </c>
      <c r="AD24" s="53" t="str">
        <f>IF(AND('Riesgos de gestión'!$Y$60="Alta",'Riesgos de gestión'!$AA$60="Mayor"),CONCATENATE("R9C",'Riesgos de gestión'!$O$60),"")</f>
        <v/>
      </c>
      <c r="AE24" s="53" t="str">
        <f>IF(AND('Riesgos de gestión'!$Y$61="Alta",'Riesgos de gestión'!$AA$61="Mayor"),CONCATENATE("R9C",'Riesgos de gestión'!$O$61),"")</f>
        <v/>
      </c>
      <c r="AF24" s="53" t="str">
        <f>IF(AND('Riesgos de gestión'!$Y$62="Alta",'Riesgos de gestión'!$AA$62="Mayor"),CONCATENATE("R9C",'Riesgos de gestión'!$O$62),"")</f>
        <v/>
      </c>
      <c r="AG24" s="54" t="str">
        <f>IF(AND('Riesgos de gestión'!$Y$63="Alta",'Riesgos de gestión'!$AA$63="Mayor"),CONCATENATE("R9C",'Riesgos de gestión'!$O$63),"")</f>
        <v/>
      </c>
      <c r="AH24" s="55" t="str">
        <f>IF(AND('Riesgos de gestión'!$Y$58="Alta",'Riesgos de gestión'!$AA$58="Catastrófico"),CONCATENATE("R9C",'Riesgos de gestión'!$O$58),"")</f>
        <v/>
      </c>
      <c r="AI24" s="56" t="str">
        <f>IF(AND('Riesgos de gestión'!$Y$59="Alta",'Riesgos de gestión'!$AA$59="Catastrófico"),CONCATENATE("R9C",'Riesgos de gestión'!$O$59),"")</f>
        <v/>
      </c>
      <c r="AJ24" s="56" t="str">
        <f>IF(AND('Riesgos de gestión'!$Y$60="Alta",'Riesgos de gestión'!$AA$60="Catastrófico"),CONCATENATE("R9C",'Riesgos de gestión'!$O$60),"")</f>
        <v/>
      </c>
      <c r="AK24" s="56" t="str">
        <f>IF(AND('Riesgos de gestión'!$Y$61="Alta",'Riesgos de gestión'!$AA$61="Catastrófico"),CONCATENATE("R9C",'Riesgos de gestión'!$O$61),"")</f>
        <v/>
      </c>
      <c r="AL24" s="56" t="str">
        <f>IF(AND('Riesgos de gestión'!$Y$62="Alta",'Riesgos de gestión'!$AA$62="Catastrófico"),CONCATENATE("R9C",'Riesgos de gestión'!$O$62),"")</f>
        <v/>
      </c>
      <c r="AM24" s="57" t="str">
        <f>IF(AND('Riesgos de gestión'!$Y$63="Alta",'Riesgos de gestión'!$AA$63="Catastrófico"),CONCATENATE("R9C",'Riesgos de gestión'!$O$63),"")</f>
        <v/>
      </c>
      <c r="AN24" s="83"/>
      <c r="AO24" s="1192"/>
      <c r="AP24" s="1193"/>
      <c r="AQ24" s="1193"/>
      <c r="AR24" s="1193"/>
      <c r="AS24" s="1193"/>
      <c r="AT24" s="1194"/>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row>
    <row r="25" spans="1:76" ht="15.75" customHeight="1" thickBot="1" x14ac:dyDescent="0.3">
      <c r="A25" s="83"/>
      <c r="B25" s="1103"/>
      <c r="C25" s="1103"/>
      <c r="D25" s="1104"/>
      <c r="E25" s="1203"/>
      <c r="F25" s="1204"/>
      <c r="G25" s="1204"/>
      <c r="H25" s="1204"/>
      <c r="I25" s="1204"/>
      <c r="J25" s="70" t="str">
        <f>IF(AND('Riesgos de gestión'!$Y$64="Alta",'Riesgos de gestión'!$AA$64="Leve"),CONCATENATE("R10C",'Riesgos de gestión'!$O$64),"")</f>
        <v/>
      </c>
      <c r="K25" s="71" t="str">
        <f>IF(AND('Riesgos de gestión'!$Y$65="Alta",'Riesgos de gestión'!$AA$65="Leve"),CONCATENATE("R10C",'Riesgos de gestión'!$O$65),"")</f>
        <v/>
      </c>
      <c r="L25" s="71" t="str">
        <f>IF(AND('Riesgos de gestión'!$Y$66="Alta",'Riesgos de gestión'!$AA$66="Leve"),CONCATENATE("R10C",'Riesgos de gestión'!$O$66),"")</f>
        <v/>
      </c>
      <c r="M25" s="71" t="str">
        <f>IF(AND('Riesgos de gestión'!$Y$67="Alta",'Riesgos de gestión'!$AA$67="Leve"),CONCATENATE("R10C",'Riesgos de gestión'!$O$67),"")</f>
        <v/>
      </c>
      <c r="N25" s="71" t="str">
        <f>IF(AND('Riesgos de gestión'!$Y$68="Alta",'Riesgos de gestión'!$AA$68="Leve"),CONCATENATE("R10C",'Riesgos de gestión'!$O$68),"")</f>
        <v/>
      </c>
      <c r="O25" s="72" t="str">
        <f>IF(AND('Riesgos de gestión'!$Y$69="Alta",'Riesgos de gestión'!$AA$69="Leve"),CONCATENATE("R10C",'Riesgos de gestión'!$O$69),"")</f>
        <v/>
      </c>
      <c r="P25" s="70" t="str">
        <f>IF(AND('Riesgos de gestión'!$Y$64="Alta",'Riesgos de gestión'!$AA$64="Menor"),CONCATENATE("R10C",'Riesgos de gestión'!$O$64),"")</f>
        <v/>
      </c>
      <c r="Q25" s="71" t="str">
        <f>IF(AND('Riesgos de gestión'!$Y$65="Alta",'Riesgos de gestión'!$AA$65="Menor"),CONCATENATE("R10C",'Riesgos de gestión'!$O$65),"")</f>
        <v/>
      </c>
      <c r="R25" s="71" t="str">
        <f>IF(AND('Riesgos de gestión'!$Y$66="Alta",'Riesgos de gestión'!$AA$66="Menor"),CONCATENATE("R10C",'Riesgos de gestión'!$O$66),"")</f>
        <v/>
      </c>
      <c r="S25" s="71" t="str">
        <f>IF(AND('Riesgos de gestión'!$Y$67="Alta",'Riesgos de gestión'!$AA$67="Menor"),CONCATENATE("R10C",'Riesgos de gestión'!$O$67),"")</f>
        <v/>
      </c>
      <c r="T25" s="71" t="str">
        <f>IF(AND('Riesgos de gestión'!$Y$68="Alta",'Riesgos de gestión'!$AA$68="Menor"),CONCATENATE("R10C",'Riesgos de gestión'!$O$68),"")</f>
        <v/>
      </c>
      <c r="U25" s="72" t="str">
        <f>IF(AND('Riesgos de gestión'!$Y$69="Alta",'Riesgos de gestión'!$AA$69="Menor"),CONCATENATE("R10C",'Riesgos de gestión'!$O$69),"")</f>
        <v/>
      </c>
      <c r="V25" s="58" t="str">
        <f>IF(AND('Riesgos de gestión'!$Y$64="Alta",'Riesgos de gestión'!$AA$64="Moderado"),CONCATENATE("R10C",'Riesgos de gestión'!$O$64),"")</f>
        <v/>
      </c>
      <c r="W25" s="59" t="str">
        <f>IF(AND('Riesgos de gestión'!$Y$65="Alta",'Riesgos de gestión'!$AA$65="Moderado"),CONCATENATE("R10C",'Riesgos de gestión'!$O$65),"")</f>
        <v/>
      </c>
      <c r="X25" s="59" t="str">
        <f>IF(AND('Riesgos de gestión'!$Y$66="Alta",'Riesgos de gestión'!$AA$66="Moderado"),CONCATENATE("R10C",'Riesgos de gestión'!$O$66),"")</f>
        <v/>
      </c>
      <c r="Y25" s="59" t="str">
        <f>IF(AND('Riesgos de gestión'!$Y$67="Alta",'Riesgos de gestión'!$AA$67="Moderado"),CONCATENATE("R10C",'Riesgos de gestión'!$O$67),"")</f>
        <v/>
      </c>
      <c r="Z25" s="59" t="str">
        <f>IF(AND('Riesgos de gestión'!$Y$68="Alta",'Riesgos de gestión'!$AA$68="Moderado"),CONCATENATE("R10C",'Riesgos de gestión'!$O$68),"")</f>
        <v/>
      </c>
      <c r="AA25" s="60" t="str">
        <f>IF(AND('Riesgos de gestión'!$Y$69="Alta",'Riesgos de gestión'!$AA$69="Moderado"),CONCATENATE("R10C",'Riesgos de gestión'!$O$69),"")</f>
        <v/>
      </c>
      <c r="AB25" s="58" t="str">
        <f>IF(AND('Riesgos de gestión'!$Y$64="Alta",'Riesgos de gestión'!$AA$64="Mayor"),CONCATENATE("R10C",'Riesgos de gestión'!$O$64),"")</f>
        <v/>
      </c>
      <c r="AC25" s="59" t="str">
        <f>IF(AND('Riesgos de gestión'!$Y$65="Alta",'Riesgos de gestión'!$AA$65="Mayor"),CONCATENATE("R10C",'Riesgos de gestión'!$O$65),"")</f>
        <v/>
      </c>
      <c r="AD25" s="59" t="str">
        <f>IF(AND('Riesgos de gestión'!$Y$66="Alta",'Riesgos de gestión'!$AA$66="Mayor"),CONCATENATE("R10C",'Riesgos de gestión'!$O$66),"")</f>
        <v/>
      </c>
      <c r="AE25" s="59" t="str">
        <f>IF(AND('Riesgos de gestión'!$Y$67="Alta",'Riesgos de gestión'!$AA$67="Mayor"),CONCATENATE("R10C",'Riesgos de gestión'!$O$67),"")</f>
        <v/>
      </c>
      <c r="AF25" s="59" t="str">
        <f>IF(AND('Riesgos de gestión'!$Y$68="Alta",'Riesgos de gestión'!$AA$68="Mayor"),CONCATENATE("R10C",'Riesgos de gestión'!$O$68),"")</f>
        <v/>
      </c>
      <c r="AG25" s="60" t="str">
        <f>IF(AND('Riesgos de gestión'!$Y$69="Alta",'Riesgos de gestión'!$AA$69="Mayor"),CONCATENATE("R10C",'Riesgos de gestión'!$O$69),"")</f>
        <v/>
      </c>
      <c r="AH25" s="61" t="str">
        <f>IF(AND('Riesgos de gestión'!$Y$64="Alta",'Riesgos de gestión'!$AA$64="Catastrófico"),CONCATENATE("R10C",'Riesgos de gestión'!$O$64),"")</f>
        <v/>
      </c>
      <c r="AI25" s="62" t="str">
        <f>IF(AND('Riesgos de gestión'!$Y$65="Alta",'Riesgos de gestión'!$AA$65="Catastrófico"),CONCATENATE("R10C",'Riesgos de gestión'!$O$65),"")</f>
        <v/>
      </c>
      <c r="AJ25" s="62" t="str">
        <f>IF(AND('Riesgos de gestión'!$Y$66="Alta",'Riesgos de gestión'!$AA$66="Catastrófico"),CONCATENATE("R10C",'Riesgos de gestión'!$O$66),"")</f>
        <v/>
      </c>
      <c r="AK25" s="62" t="str">
        <f>IF(AND('Riesgos de gestión'!$Y$67="Alta",'Riesgos de gestión'!$AA$67="Catastrófico"),CONCATENATE("R10C",'Riesgos de gestión'!$O$67),"")</f>
        <v/>
      </c>
      <c r="AL25" s="62" t="str">
        <f>IF(AND('Riesgos de gestión'!$Y$68="Alta",'Riesgos de gestión'!$AA$68="Catastrófico"),CONCATENATE("R10C",'Riesgos de gestión'!$O$68),"")</f>
        <v/>
      </c>
      <c r="AM25" s="63" t="str">
        <f>IF(AND('Riesgos de gestión'!$Y$69="Alta",'Riesgos de gestión'!$AA$69="Catastrófico"),CONCATENATE("R10C",'Riesgos de gestión'!$O$69),"")</f>
        <v/>
      </c>
      <c r="AN25" s="83"/>
      <c r="AO25" s="1195"/>
      <c r="AP25" s="1196"/>
      <c r="AQ25" s="1196"/>
      <c r="AR25" s="1196"/>
      <c r="AS25" s="1196"/>
      <c r="AT25" s="1197"/>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row>
    <row r="26" spans="1:76" ht="15" customHeight="1" x14ac:dyDescent="0.25">
      <c r="A26" s="83"/>
      <c r="B26" s="1103"/>
      <c r="C26" s="1103"/>
      <c r="D26" s="1104"/>
      <c r="E26" s="1198" t="s">
        <v>117</v>
      </c>
      <c r="F26" s="1199"/>
      <c r="G26" s="1199"/>
      <c r="H26" s="1199"/>
      <c r="I26" s="1216"/>
      <c r="J26" s="64" t="str">
        <f ca="1">IF(AND('Riesgos de gestión'!$Y$10="Media",'Riesgos de gestión'!$AA$10="Leve"),CONCATENATE("R1C",'Riesgos de gestión'!$O$10),"")</f>
        <v/>
      </c>
      <c r="K26" s="65" t="str">
        <f>IF(AND('Riesgos de gestión'!$Y$11="Media",'Riesgos de gestión'!$AA$11="Leve"),CONCATENATE("R1C",'Riesgos de gestión'!$O$11),"")</f>
        <v/>
      </c>
      <c r="L26" s="65" t="str">
        <f>IF(AND('Riesgos de gestión'!$Y$12="Media",'Riesgos de gestión'!$AA$12="Leve"),CONCATENATE("R1C",'Riesgos de gestión'!$O$12),"")</f>
        <v/>
      </c>
      <c r="M26" s="65" t="str">
        <f>IF(AND('Riesgos de gestión'!$Y$13="Media",'Riesgos de gestión'!$AA$13="Leve"),CONCATENATE("R1C",'Riesgos de gestión'!$O$13),"")</f>
        <v/>
      </c>
      <c r="N26" s="65" t="str">
        <f>IF(AND('Riesgos de gestión'!$Y$14="Media",'Riesgos de gestión'!$AA$14="Leve"),CONCATENATE("R1C",'Riesgos de gestión'!$O$14),"")</f>
        <v/>
      </c>
      <c r="O26" s="66" t="str">
        <f>IF(AND('Riesgos de gestión'!$Y$15="Media",'Riesgos de gestión'!$AA$15="Leve"),CONCATENATE("R1C",'Riesgos de gestión'!$O$15),"")</f>
        <v/>
      </c>
      <c r="P26" s="64" t="str">
        <f ca="1">IF(AND('Riesgos de gestión'!$Y$10="Media",'Riesgos de gestión'!$AA$10="Menor"),CONCATENATE("R1C",'Riesgos de gestión'!$O$10),"")</f>
        <v/>
      </c>
      <c r="Q26" s="65" t="str">
        <f>IF(AND('Riesgos de gestión'!$Y$11="Media",'Riesgos de gestión'!$AA$11="Menor"),CONCATENATE("R1C",'Riesgos de gestión'!$O$11),"")</f>
        <v/>
      </c>
      <c r="R26" s="65" t="str">
        <f>IF(AND('Riesgos de gestión'!$Y$12="Media",'Riesgos de gestión'!$AA$12="Menor"),CONCATENATE("R1C",'Riesgos de gestión'!$O$12),"")</f>
        <v/>
      </c>
      <c r="S26" s="65" t="str">
        <f>IF(AND('Riesgos de gestión'!$Y$13="Media",'Riesgos de gestión'!$AA$13="Menor"),CONCATENATE("R1C",'Riesgos de gestión'!$O$13),"")</f>
        <v/>
      </c>
      <c r="T26" s="65" t="str">
        <f>IF(AND('Riesgos de gestión'!$Y$14="Media",'Riesgos de gestión'!$AA$14="Menor"),CONCATENATE("R1C",'Riesgos de gestión'!$O$14),"")</f>
        <v/>
      </c>
      <c r="U26" s="66" t="str">
        <f>IF(AND('Riesgos de gestión'!$Y$15="Media",'Riesgos de gestión'!$AA$15="Menor"),CONCATENATE("R1C",'Riesgos de gestión'!$O$15),"")</f>
        <v/>
      </c>
      <c r="V26" s="64" t="str">
        <f ca="1">IF(AND('Riesgos de gestión'!$Y$10="Media",'Riesgos de gestión'!$AA$10="Moderado"),CONCATENATE("R1C",'Riesgos de gestión'!$O$10),"")</f>
        <v/>
      </c>
      <c r="W26" s="65" t="str">
        <f>IF(AND('Riesgos de gestión'!$Y$11="Media",'Riesgos de gestión'!$AA$11="Moderado"),CONCATENATE("R1C",'Riesgos de gestión'!$O$11),"")</f>
        <v/>
      </c>
      <c r="X26" s="65" t="str">
        <f>IF(AND('Riesgos de gestión'!$Y$12="Media",'Riesgos de gestión'!$AA$12="Moderado"),CONCATENATE("R1C",'Riesgos de gestión'!$O$12),"")</f>
        <v/>
      </c>
      <c r="Y26" s="65" t="str">
        <f>IF(AND('Riesgos de gestión'!$Y$13="Media",'Riesgos de gestión'!$AA$13="Moderado"),CONCATENATE("R1C",'Riesgos de gestión'!$O$13),"")</f>
        <v/>
      </c>
      <c r="Z26" s="65" t="str">
        <f>IF(AND('Riesgos de gestión'!$Y$14="Media",'Riesgos de gestión'!$AA$14="Moderado"),CONCATENATE("R1C",'Riesgos de gestión'!$O$14),"")</f>
        <v/>
      </c>
      <c r="AA26" s="66" t="str">
        <f>IF(AND('Riesgos de gestión'!$Y$15="Media",'Riesgos de gestión'!$AA$15="Moderado"),CONCATENATE("R1C",'Riesgos de gestión'!$O$15),"")</f>
        <v/>
      </c>
      <c r="AB26" s="46" t="str">
        <f ca="1">IF(AND('Riesgos de gestión'!$Y$10="Media",'Riesgos de gestión'!$AA$10="Mayor"),CONCATENATE("R1C",'Riesgos de gestión'!$O$10),"")</f>
        <v/>
      </c>
      <c r="AC26" s="47" t="str">
        <f>IF(AND('Riesgos de gestión'!$Y$11="Media",'Riesgos de gestión'!$AA$11="Mayor"),CONCATENATE("R1C",'Riesgos de gestión'!$O$11),"")</f>
        <v/>
      </c>
      <c r="AD26" s="47" t="str">
        <f>IF(AND('Riesgos de gestión'!$Y$12="Media",'Riesgos de gestión'!$AA$12="Mayor"),CONCATENATE("R1C",'Riesgos de gestión'!$O$12),"")</f>
        <v/>
      </c>
      <c r="AE26" s="47" t="str">
        <f>IF(AND('Riesgos de gestión'!$Y$13="Media",'Riesgos de gestión'!$AA$13="Mayor"),CONCATENATE("R1C",'Riesgos de gestión'!$O$13),"")</f>
        <v/>
      </c>
      <c r="AF26" s="47" t="str">
        <f>IF(AND('Riesgos de gestión'!$Y$14="Media",'Riesgos de gestión'!$AA$14="Mayor"),CONCATENATE("R1C",'Riesgos de gestión'!$O$14),"")</f>
        <v/>
      </c>
      <c r="AG26" s="48" t="str">
        <f>IF(AND('Riesgos de gestión'!$Y$15="Media",'Riesgos de gestión'!$AA$15="Mayor"),CONCATENATE("R1C",'Riesgos de gestión'!$O$15),"")</f>
        <v/>
      </c>
      <c r="AH26" s="49" t="str">
        <f ca="1">IF(AND('Riesgos de gestión'!$Y$10="Media",'Riesgos de gestión'!$AA$10="Catastrófico"),CONCATENATE("R1C",'Riesgos de gestión'!$O$10),"")</f>
        <v/>
      </c>
      <c r="AI26" s="50" t="str">
        <f>IF(AND('Riesgos de gestión'!$Y$11="Media",'Riesgos de gestión'!$AA$11="Catastrófico"),CONCATENATE("R1C",'Riesgos de gestión'!$O$11),"")</f>
        <v/>
      </c>
      <c r="AJ26" s="50" t="str">
        <f>IF(AND('Riesgos de gestión'!$Y$12="Media",'Riesgos de gestión'!$AA$12="Catastrófico"),CONCATENATE("R1C",'Riesgos de gestión'!$O$12),"")</f>
        <v/>
      </c>
      <c r="AK26" s="50" t="str">
        <f>IF(AND('Riesgos de gestión'!$Y$13="Media",'Riesgos de gestión'!$AA$13="Catastrófico"),CONCATENATE("R1C",'Riesgos de gestión'!$O$13),"")</f>
        <v/>
      </c>
      <c r="AL26" s="50" t="str">
        <f>IF(AND('Riesgos de gestión'!$Y$14="Media",'Riesgos de gestión'!$AA$14="Catastrófico"),CONCATENATE("R1C",'Riesgos de gestión'!$O$14),"")</f>
        <v/>
      </c>
      <c r="AM26" s="51" t="str">
        <f>IF(AND('Riesgos de gestión'!$Y$15="Media",'Riesgos de gestión'!$AA$15="Catastrófico"),CONCATENATE("R1C",'Riesgos de gestión'!$O$15),"")</f>
        <v/>
      </c>
      <c r="AN26" s="83"/>
      <c r="AO26" s="1228" t="s">
        <v>81</v>
      </c>
      <c r="AP26" s="1229"/>
      <c r="AQ26" s="1229"/>
      <c r="AR26" s="1229"/>
      <c r="AS26" s="1229"/>
      <c r="AT26" s="1230"/>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row>
    <row r="27" spans="1:76" ht="15" customHeight="1" x14ac:dyDescent="0.25">
      <c r="A27" s="83"/>
      <c r="B27" s="1103"/>
      <c r="C27" s="1103"/>
      <c r="D27" s="1104"/>
      <c r="E27" s="1200"/>
      <c r="F27" s="1201"/>
      <c r="G27" s="1201"/>
      <c r="H27" s="1201"/>
      <c r="I27" s="1217"/>
      <c r="J27" s="67" t="str">
        <f>IF(AND('Riesgos de gestión'!$Y$16="Media",'Riesgos de gestión'!$AA$16="Leve"),CONCATENATE("R2C",'Riesgos de gestión'!$O$16),"")</f>
        <v/>
      </c>
      <c r="K27" s="68" t="str">
        <f>IF(AND('Riesgos de gestión'!$Y$17="Media",'Riesgos de gestión'!$AA$17="Leve"),CONCATENATE("R2C",'Riesgos de gestión'!$O$17),"")</f>
        <v/>
      </c>
      <c r="L27" s="68" t="str">
        <f>IF(AND('Riesgos de gestión'!$Y$18="Media",'Riesgos de gestión'!$AA$18="Leve"),CONCATENATE("R2C",'Riesgos de gestión'!$O$18),"")</f>
        <v/>
      </c>
      <c r="M27" s="68" t="str">
        <f>IF(AND('Riesgos de gestión'!$Y$19="Media",'Riesgos de gestión'!$AA$19="Leve"),CONCATENATE("R2C",'Riesgos de gestión'!$O$19),"")</f>
        <v/>
      </c>
      <c r="N27" s="68" t="str">
        <f>IF(AND('Riesgos de gestión'!$Y$20="Media",'Riesgos de gestión'!$AA$20="Leve"),CONCATENATE("R2C",'Riesgos de gestión'!$O$20),"")</f>
        <v/>
      </c>
      <c r="O27" s="69" t="str">
        <f>IF(AND('Riesgos de gestión'!$Y$21="Media",'Riesgos de gestión'!$AA$21="Leve"),CONCATENATE("R2C",'Riesgos de gestión'!$O$21),"")</f>
        <v/>
      </c>
      <c r="P27" s="67" t="str">
        <f>IF(AND('Riesgos de gestión'!$Y$16="Media",'Riesgos de gestión'!$AA$16="Menor"),CONCATENATE("R2C",'Riesgos de gestión'!$O$16),"")</f>
        <v/>
      </c>
      <c r="Q27" s="68" t="str">
        <f>IF(AND('Riesgos de gestión'!$Y$17="Media",'Riesgos de gestión'!$AA$17="Menor"),CONCATENATE("R2C",'Riesgos de gestión'!$O$17),"")</f>
        <v/>
      </c>
      <c r="R27" s="68" t="str">
        <f>IF(AND('Riesgos de gestión'!$Y$18="Media",'Riesgos de gestión'!$AA$18="Menor"),CONCATENATE("R2C",'Riesgos de gestión'!$O$18),"")</f>
        <v/>
      </c>
      <c r="S27" s="68" t="str">
        <f>IF(AND('Riesgos de gestión'!$Y$19="Media",'Riesgos de gestión'!$AA$19="Menor"),CONCATENATE("R2C",'Riesgos de gestión'!$O$19),"")</f>
        <v/>
      </c>
      <c r="T27" s="68" t="str">
        <f>IF(AND('Riesgos de gestión'!$Y$20="Media",'Riesgos de gestión'!$AA$20="Menor"),CONCATENATE("R2C",'Riesgos de gestión'!$O$20),"")</f>
        <v/>
      </c>
      <c r="U27" s="69" t="str">
        <f>IF(AND('Riesgos de gestión'!$Y$21="Media",'Riesgos de gestión'!$AA$21="Menor"),CONCATENATE("R2C",'Riesgos de gestión'!$O$21),"")</f>
        <v/>
      </c>
      <c r="V27" s="67" t="str">
        <f>IF(AND('Riesgos de gestión'!$Y$16="Media",'Riesgos de gestión'!$AA$16="Moderado"),CONCATENATE("R2C",'Riesgos de gestión'!$O$16),"")</f>
        <v/>
      </c>
      <c r="W27" s="68" t="str">
        <f>IF(AND('Riesgos de gestión'!$Y$17="Media",'Riesgos de gestión'!$AA$17="Moderado"),CONCATENATE("R2C",'Riesgos de gestión'!$O$17),"")</f>
        <v/>
      </c>
      <c r="X27" s="68" t="str">
        <f>IF(AND('Riesgos de gestión'!$Y$18="Media",'Riesgos de gestión'!$AA$18="Moderado"),CONCATENATE("R2C",'Riesgos de gestión'!$O$18),"")</f>
        <v/>
      </c>
      <c r="Y27" s="68" t="str">
        <f>IF(AND('Riesgos de gestión'!$Y$19="Media",'Riesgos de gestión'!$AA$19="Moderado"),CONCATENATE("R2C",'Riesgos de gestión'!$O$19),"")</f>
        <v/>
      </c>
      <c r="Z27" s="68" t="str">
        <f>IF(AND('Riesgos de gestión'!$Y$20="Media",'Riesgos de gestión'!$AA$20="Moderado"),CONCATENATE("R2C",'Riesgos de gestión'!$O$20),"")</f>
        <v/>
      </c>
      <c r="AA27" s="69" t="str">
        <f>IF(AND('Riesgos de gestión'!$Y$21="Media",'Riesgos de gestión'!$AA$21="Moderado"),CONCATENATE("R2C",'Riesgos de gestión'!$O$21),"")</f>
        <v/>
      </c>
      <c r="AB27" s="52" t="str">
        <f>IF(AND('Riesgos de gestión'!$Y$16="Media",'Riesgos de gestión'!$AA$16="Mayor"),CONCATENATE("R2C",'Riesgos de gestión'!$O$16),"")</f>
        <v/>
      </c>
      <c r="AC27" s="53" t="str">
        <f>IF(AND('Riesgos de gestión'!$Y$17="Media",'Riesgos de gestión'!$AA$17="Mayor"),CONCATENATE("R2C",'Riesgos de gestión'!$O$17),"")</f>
        <v/>
      </c>
      <c r="AD27" s="53" t="str">
        <f>IF(AND('Riesgos de gestión'!$Y$18="Media",'Riesgos de gestión'!$AA$18="Mayor"),CONCATENATE("R2C",'Riesgos de gestión'!$O$18),"")</f>
        <v/>
      </c>
      <c r="AE27" s="53" t="str">
        <f>IF(AND('Riesgos de gestión'!$Y$19="Media",'Riesgos de gestión'!$AA$19="Mayor"),CONCATENATE("R2C",'Riesgos de gestión'!$O$19),"")</f>
        <v/>
      </c>
      <c r="AF27" s="53" t="str">
        <f>IF(AND('Riesgos de gestión'!$Y$20="Media",'Riesgos de gestión'!$AA$20="Mayor"),CONCATENATE("R2C",'Riesgos de gestión'!$O$20),"")</f>
        <v/>
      </c>
      <c r="AG27" s="54" t="str">
        <f>IF(AND('Riesgos de gestión'!$Y$21="Media",'Riesgos de gestión'!$AA$21="Mayor"),CONCATENATE("R2C",'Riesgos de gestión'!$O$21),"")</f>
        <v/>
      </c>
      <c r="AH27" s="55" t="str">
        <f>IF(AND('Riesgos de gestión'!$Y$16="Media",'Riesgos de gestión'!$AA$16="Catastrófico"),CONCATENATE("R2C",'Riesgos de gestión'!$O$16),"")</f>
        <v/>
      </c>
      <c r="AI27" s="56" t="str">
        <f>IF(AND('Riesgos de gestión'!$Y$17="Media",'Riesgos de gestión'!$AA$17="Catastrófico"),CONCATENATE("R2C",'Riesgos de gestión'!$O$17),"")</f>
        <v/>
      </c>
      <c r="AJ27" s="56" t="str">
        <f>IF(AND('Riesgos de gestión'!$Y$18="Media",'Riesgos de gestión'!$AA$18="Catastrófico"),CONCATENATE("R2C",'Riesgos de gestión'!$O$18),"")</f>
        <v/>
      </c>
      <c r="AK27" s="56" t="str">
        <f>IF(AND('Riesgos de gestión'!$Y$19="Media",'Riesgos de gestión'!$AA$19="Catastrófico"),CONCATENATE("R2C",'Riesgos de gestión'!$O$19),"")</f>
        <v/>
      </c>
      <c r="AL27" s="56" t="str">
        <f>IF(AND('Riesgos de gestión'!$Y$20="Media",'Riesgos de gestión'!$AA$20="Catastrófico"),CONCATENATE("R2C",'Riesgos de gestión'!$O$20),"")</f>
        <v/>
      </c>
      <c r="AM27" s="57" t="str">
        <f>IF(AND('Riesgos de gestión'!$Y$21="Media",'Riesgos de gestión'!$AA$21="Catastrófico"),CONCATENATE("R2C",'Riesgos de gestión'!$O$21),"")</f>
        <v/>
      </c>
      <c r="AN27" s="83"/>
      <c r="AO27" s="1231"/>
      <c r="AP27" s="1232"/>
      <c r="AQ27" s="1232"/>
      <c r="AR27" s="1232"/>
      <c r="AS27" s="1232"/>
      <c r="AT27" s="123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row>
    <row r="28" spans="1:76" ht="15" customHeight="1" x14ac:dyDescent="0.25">
      <c r="A28" s="83"/>
      <c r="B28" s="1103"/>
      <c r="C28" s="1103"/>
      <c r="D28" s="1104"/>
      <c r="E28" s="1202"/>
      <c r="F28" s="1201"/>
      <c r="G28" s="1201"/>
      <c r="H28" s="1201"/>
      <c r="I28" s="1217"/>
      <c r="J28" s="67" t="str">
        <f>IF(AND('Riesgos de gestión'!$Y$22="Media",'Riesgos de gestión'!$AA$22="Leve"),CONCATENATE("R3C",'Riesgos de gestión'!$O$22),"")</f>
        <v/>
      </c>
      <c r="K28" s="68" t="str">
        <f>IF(AND('Riesgos de gestión'!$Y$23="Media",'Riesgos de gestión'!$AA$23="Leve"),CONCATENATE("R3C",'Riesgos de gestión'!$O$23),"")</f>
        <v/>
      </c>
      <c r="L28" s="68" t="str">
        <f>IF(AND('Riesgos de gestión'!$Y$24="Media",'Riesgos de gestión'!$AA$24="Leve"),CONCATENATE("R3C",'Riesgos de gestión'!$O$24),"")</f>
        <v/>
      </c>
      <c r="M28" s="68" t="str">
        <f>IF(AND('Riesgos de gestión'!$Y$25="Media",'Riesgos de gestión'!$AA$25="Leve"),CONCATENATE("R3C",'Riesgos de gestión'!$O$25),"")</f>
        <v/>
      </c>
      <c r="N28" s="68" t="str">
        <f>IF(AND('Riesgos de gestión'!$Y$26="Media",'Riesgos de gestión'!$AA$26="Leve"),CONCATENATE("R3C",'Riesgos de gestión'!$O$26),"")</f>
        <v/>
      </c>
      <c r="O28" s="69" t="str">
        <f>IF(AND('Riesgos de gestión'!$Y$27="Media",'Riesgos de gestión'!$AA$27="Leve"),CONCATENATE("R3C",'Riesgos de gestión'!$O$27),"")</f>
        <v/>
      </c>
      <c r="P28" s="67" t="str">
        <f>IF(AND('Riesgos de gestión'!$Y$22="Media",'Riesgos de gestión'!$AA$22="Menor"),CONCATENATE("R3C",'Riesgos de gestión'!$O$22),"")</f>
        <v/>
      </c>
      <c r="Q28" s="68" t="str">
        <f>IF(AND('Riesgos de gestión'!$Y$23="Media",'Riesgos de gestión'!$AA$23="Menor"),CONCATENATE("R3C",'Riesgos de gestión'!$O$23),"")</f>
        <v/>
      </c>
      <c r="R28" s="68" t="str">
        <f>IF(AND('Riesgos de gestión'!$Y$24="Media",'Riesgos de gestión'!$AA$24="Menor"),CONCATENATE("R3C",'Riesgos de gestión'!$O$24),"")</f>
        <v/>
      </c>
      <c r="S28" s="68" t="str">
        <f>IF(AND('Riesgos de gestión'!$Y$25="Media",'Riesgos de gestión'!$AA$25="Menor"),CONCATENATE("R3C",'Riesgos de gestión'!$O$25),"")</f>
        <v/>
      </c>
      <c r="T28" s="68" t="str">
        <f>IF(AND('Riesgos de gestión'!$Y$26="Media",'Riesgos de gestión'!$AA$26="Menor"),CONCATENATE("R3C",'Riesgos de gestión'!$O$26),"")</f>
        <v/>
      </c>
      <c r="U28" s="69" t="str">
        <f>IF(AND('Riesgos de gestión'!$Y$27="Media",'Riesgos de gestión'!$AA$27="Menor"),CONCATENATE("R3C",'Riesgos de gestión'!$O$27),"")</f>
        <v/>
      </c>
      <c r="V28" s="67" t="str">
        <f>IF(AND('Riesgos de gestión'!$Y$22="Media",'Riesgos de gestión'!$AA$22="Moderado"),CONCATENATE("R3C",'Riesgos de gestión'!$O$22),"")</f>
        <v/>
      </c>
      <c r="W28" s="68" t="str">
        <f>IF(AND('Riesgos de gestión'!$Y$23="Media",'Riesgos de gestión'!$AA$23="Moderado"),CONCATENATE("R3C",'Riesgos de gestión'!$O$23),"")</f>
        <v/>
      </c>
      <c r="X28" s="68" t="str">
        <f>IF(AND('Riesgos de gestión'!$Y$24="Media",'Riesgos de gestión'!$AA$24="Moderado"),CONCATENATE("R3C",'Riesgos de gestión'!$O$24),"")</f>
        <v/>
      </c>
      <c r="Y28" s="68" t="str">
        <f>IF(AND('Riesgos de gestión'!$Y$25="Media",'Riesgos de gestión'!$AA$25="Moderado"),CONCATENATE("R3C",'Riesgos de gestión'!$O$25),"")</f>
        <v/>
      </c>
      <c r="Z28" s="68" t="str">
        <f>IF(AND('Riesgos de gestión'!$Y$26="Media",'Riesgos de gestión'!$AA$26="Moderado"),CONCATENATE("R3C",'Riesgos de gestión'!$O$26),"")</f>
        <v/>
      </c>
      <c r="AA28" s="69" t="str">
        <f>IF(AND('Riesgos de gestión'!$Y$27="Media",'Riesgos de gestión'!$AA$27="Moderado"),CONCATENATE("R3C",'Riesgos de gestión'!$O$27),"")</f>
        <v/>
      </c>
      <c r="AB28" s="52" t="str">
        <f>IF(AND('Riesgos de gestión'!$Y$22="Media",'Riesgos de gestión'!$AA$22="Mayor"),CONCATENATE("R3C",'Riesgos de gestión'!$O$22),"")</f>
        <v/>
      </c>
      <c r="AC28" s="53" t="str">
        <f>IF(AND('Riesgos de gestión'!$Y$23="Media",'Riesgos de gestión'!$AA$23="Mayor"),CONCATENATE("R3C",'Riesgos de gestión'!$O$23),"")</f>
        <v/>
      </c>
      <c r="AD28" s="53" t="str">
        <f>IF(AND('Riesgos de gestión'!$Y$24="Media",'Riesgos de gestión'!$AA$24="Mayor"),CONCATENATE("R3C",'Riesgos de gestión'!$O$24),"")</f>
        <v/>
      </c>
      <c r="AE28" s="53" t="str">
        <f>IF(AND('Riesgos de gestión'!$Y$25="Media",'Riesgos de gestión'!$AA$25="Mayor"),CONCATENATE("R3C",'Riesgos de gestión'!$O$25),"")</f>
        <v/>
      </c>
      <c r="AF28" s="53" t="str">
        <f>IF(AND('Riesgos de gestión'!$Y$26="Media",'Riesgos de gestión'!$AA$26="Mayor"),CONCATENATE("R3C",'Riesgos de gestión'!$O$26),"")</f>
        <v/>
      </c>
      <c r="AG28" s="54" t="str">
        <f>IF(AND('Riesgos de gestión'!$Y$27="Media",'Riesgos de gestión'!$AA$27="Mayor"),CONCATENATE("R3C",'Riesgos de gestión'!$O$27),"")</f>
        <v/>
      </c>
      <c r="AH28" s="55" t="str">
        <f>IF(AND('Riesgos de gestión'!$Y$22="Media",'Riesgos de gestión'!$AA$22="Catastrófico"),CONCATENATE("R3C",'Riesgos de gestión'!$O$22),"")</f>
        <v/>
      </c>
      <c r="AI28" s="56" t="str">
        <f>IF(AND('Riesgos de gestión'!$Y$23="Media",'Riesgos de gestión'!$AA$23="Catastrófico"),CONCATENATE("R3C",'Riesgos de gestión'!$O$23),"")</f>
        <v/>
      </c>
      <c r="AJ28" s="56" t="str">
        <f>IF(AND('Riesgos de gestión'!$Y$24="Media",'Riesgos de gestión'!$AA$24="Catastrófico"),CONCATENATE("R3C",'Riesgos de gestión'!$O$24),"")</f>
        <v/>
      </c>
      <c r="AK28" s="56" t="str">
        <f>IF(AND('Riesgos de gestión'!$Y$25="Media",'Riesgos de gestión'!$AA$25="Catastrófico"),CONCATENATE("R3C",'Riesgos de gestión'!$O$25),"")</f>
        <v/>
      </c>
      <c r="AL28" s="56" t="str">
        <f>IF(AND('Riesgos de gestión'!$Y$26="Media",'Riesgos de gestión'!$AA$26="Catastrófico"),CONCATENATE("R3C",'Riesgos de gestión'!$O$26),"")</f>
        <v/>
      </c>
      <c r="AM28" s="57" t="str">
        <f>IF(AND('Riesgos de gestión'!$Y$27="Media",'Riesgos de gestión'!$AA$27="Catastrófico"),CONCATENATE("R3C",'Riesgos de gestión'!$O$27),"")</f>
        <v/>
      </c>
      <c r="AN28" s="83"/>
      <c r="AO28" s="1231"/>
      <c r="AP28" s="1232"/>
      <c r="AQ28" s="1232"/>
      <c r="AR28" s="1232"/>
      <c r="AS28" s="1232"/>
      <c r="AT28" s="123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row>
    <row r="29" spans="1:76" ht="15" customHeight="1" x14ac:dyDescent="0.25">
      <c r="A29" s="83"/>
      <c r="B29" s="1103"/>
      <c r="C29" s="1103"/>
      <c r="D29" s="1104"/>
      <c r="E29" s="1202"/>
      <c r="F29" s="1201"/>
      <c r="G29" s="1201"/>
      <c r="H29" s="1201"/>
      <c r="I29" s="1217"/>
      <c r="J29" s="67" t="str">
        <f>IF(AND('Riesgos de gestión'!$Y$28="Media",'Riesgos de gestión'!$AA$28="Leve"),CONCATENATE("R4C",'Riesgos de gestión'!$O$28),"")</f>
        <v/>
      </c>
      <c r="K29" s="68" t="str">
        <f>IF(AND('Riesgos de gestión'!$Y$29="Media",'Riesgos de gestión'!$AA$29="Leve"),CONCATENATE("R4C",'Riesgos de gestión'!$O$29),"")</f>
        <v/>
      </c>
      <c r="L29" s="68" t="str">
        <f>IF(AND('Riesgos de gestión'!$Y$30="Media",'Riesgos de gestión'!$AA$30="Leve"),CONCATENATE("R4C",'Riesgos de gestión'!$O$30),"")</f>
        <v/>
      </c>
      <c r="M29" s="68" t="str">
        <f>IF(AND('Riesgos de gestión'!$Y$31="Media",'Riesgos de gestión'!$AA$31="Leve"),CONCATENATE("R4C",'Riesgos de gestión'!$O$31),"")</f>
        <v/>
      </c>
      <c r="N29" s="68" t="str">
        <f>IF(AND('Riesgos de gestión'!$Y$32="Media",'Riesgos de gestión'!$AA$32="Leve"),CONCATENATE("R4C",'Riesgos de gestión'!$O$32),"")</f>
        <v/>
      </c>
      <c r="O29" s="69" t="str">
        <f>IF(AND('Riesgos de gestión'!$Y$33="Media",'Riesgos de gestión'!$AA$33="Leve"),CONCATENATE("R4C",'Riesgos de gestión'!$O$33),"")</f>
        <v/>
      </c>
      <c r="P29" s="67" t="str">
        <f>IF(AND('Riesgos de gestión'!$Y$28="Media",'Riesgos de gestión'!$AA$28="Menor"),CONCATENATE("R4C",'Riesgos de gestión'!$O$28),"")</f>
        <v/>
      </c>
      <c r="Q29" s="68" t="str">
        <f>IF(AND('Riesgos de gestión'!$Y$29="Media",'Riesgos de gestión'!$AA$29="Menor"),CONCATENATE("R4C",'Riesgos de gestión'!$O$29),"")</f>
        <v/>
      </c>
      <c r="R29" s="68" t="str">
        <f>IF(AND('Riesgos de gestión'!$Y$30="Media",'Riesgos de gestión'!$AA$30="Menor"),CONCATENATE("R4C",'Riesgos de gestión'!$O$30),"")</f>
        <v/>
      </c>
      <c r="S29" s="68" t="str">
        <f>IF(AND('Riesgos de gestión'!$Y$31="Media",'Riesgos de gestión'!$AA$31="Menor"),CONCATENATE("R4C",'Riesgos de gestión'!$O$31),"")</f>
        <v/>
      </c>
      <c r="T29" s="68" t="str">
        <f>IF(AND('Riesgos de gestión'!$Y$32="Media",'Riesgos de gestión'!$AA$32="Menor"),CONCATENATE("R4C",'Riesgos de gestión'!$O$32),"")</f>
        <v/>
      </c>
      <c r="U29" s="69" t="str">
        <f>IF(AND('Riesgos de gestión'!$Y$33="Media",'Riesgos de gestión'!$AA$33="Menor"),CONCATENATE("R4C",'Riesgos de gestión'!$O$33),"")</f>
        <v/>
      </c>
      <c r="V29" s="67" t="str">
        <f>IF(AND('Riesgos de gestión'!$Y$28="Media",'Riesgos de gestión'!$AA$28="Moderado"),CONCATENATE("R4C",'Riesgos de gestión'!$O$28),"")</f>
        <v/>
      </c>
      <c r="W29" s="68" t="str">
        <f>IF(AND('Riesgos de gestión'!$Y$29="Media",'Riesgos de gestión'!$AA$29="Moderado"),CONCATENATE("R4C",'Riesgos de gestión'!$O$29),"")</f>
        <v/>
      </c>
      <c r="X29" s="68" t="str">
        <f>IF(AND('Riesgos de gestión'!$Y$30="Media",'Riesgos de gestión'!$AA$30="Moderado"),CONCATENATE("R4C",'Riesgos de gestión'!$O$30),"")</f>
        <v/>
      </c>
      <c r="Y29" s="68" t="str">
        <f>IF(AND('Riesgos de gestión'!$Y$31="Media",'Riesgos de gestión'!$AA$31="Moderado"),CONCATENATE("R4C",'Riesgos de gestión'!$O$31),"")</f>
        <v/>
      </c>
      <c r="Z29" s="68" t="str">
        <f>IF(AND('Riesgos de gestión'!$Y$32="Media",'Riesgos de gestión'!$AA$32="Moderado"),CONCATENATE("R4C",'Riesgos de gestión'!$O$32),"")</f>
        <v/>
      </c>
      <c r="AA29" s="69" t="str">
        <f>IF(AND('Riesgos de gestión'!$Y$33="Media",'Riesgos de gestión'!$AA$33="Moderado"),CONCATENATE("R4C",'Riesgos de gestión'!$O$33),"")</f>
        <v/>
      </c>
      <c r="AB29" s="52" t="str">
        <f>IF(AND('Riesgos de gestión'!$Y$28="Media",'Riesgos de gestión'!$AA$28="Mayor"),CONCATENATE("R4C",'Riesgos de gestión'!$O$28),"")</f>
        <v/>
      </c>
      <c r="AC29" s="53" t="str">
        <f>IF(AND('Riesgos de gestión'!$Y$29="Media",'Riesgos de gestión'!$AA$29="Mayor"),CONCATENATE("R4C",'Riesgos de gestión'!$O$29),"")</f>
        <v/>
      </c>
      <c r="AD29" s="53" t="str">
        <f>IF(AND('Riesgos de gestión'!$Y$30="Media",'Riesgos de gestión'!$AA$30="Mayor"),CONCATENATE("R4C",'Riesgos de gestión'!$O$30),"")</f>
        <v/>
      </c>
      <c r="AE29" s="53" t="str">
        <f>IF(AND('Riesgos de gestión'!$Y$31="Media",'Riesgos de gestión'!$AA$31="Mayor"),CONCATENATE("R4C",'Riesgos de gestión'!$O$31),"")</f>
        <v/>
      </c>
      <c r="AF29" s="53" t="str">
        <f>IF(AND('Riesgos de gestión'!$Y$32="Media",'Riesgos de gestión'!$AA$32="Mayor"),CONCATENATE("R4C",'Riesgos de gestión'!$O$32),"")</f>
        <v/>
      </c>
      <c r="AG29" s="54" t="str">
        <f>IF(AND('Riesgos de gestión'!$Y$33="Media",'Riesgos de gestión'!$AA$33="Mayor"),CONCATENATE("R4C",'Riesgos de gestión'!$O$33),"")</f>
        <v/>
      </c>
      <c r="AH29" s="55" t="str">
        <f>IF(AND('Riesgos de gestión'!$Y$28="Media",'Riesgos de gestión'!$AA$28="Catastrófico"),CONCATENATE("R4C",'Riesgos de gestión'!$O$28),"")</f>
        <v/>
      </c>
      <c r="AI29" s="56" t="str">
        <f>IF(AND('Riesgos de gestión'!$Y$29="Media",'Riesgos de gestión'!$AA$29="Catastrófico"),CONCATENATE("R4C",'Riesgos de gestión'!$O$29),"")</f>
        <v/>
      </c>
      <c r="AJ29" s="56" t="str">
        <f>IF(AND('Riesgos de gestión'!$Y$30="Media",'Riesgos de gestión'!$AA$30="Catastrófico"),CONCATENATE("R4C",'Riesgos de gestión'!$O$30),"")</f>
        <v/>
      </c>
      <c r="AK29" s="56" t="str">
        <f>IF(AND('Riesgos de gestión'!$Y$31="Media",'Riesgos de gestión'!$AA$31="Catastrófico"),CONCATENATE("R4C",'Riesgos de gestión'!$O$31),"")</f>
        <v/>
      </c>
      <c r="AL29" s="56" t="str">
        <f>IF(AND('Riesgos de gestión'!$Y$32="Media",'Riesgos de gestión'!$AA$32="Catastrófico"),CONCATENATE("R4C",'Riesgos de gestión'!$O$32),"")</f>
        <v/>
      </c>
      <c r="AM29" s="57" t="str">
        <f>IF(AND('Riesgos de gestión'!$Y$33="Media",'Riesgos de gestión'!$AA$33="Catastrófico"),CONCATENATE("R4C",'Riesgos de gestión'!$O$33),"")</f>
        <v/>
      </c>
      <c r="AN29" s="83"/>
      <c r="AO29" s="1231"/>
      <c r="AP29" s="1232"/>
      <c r="AQ29" s="1232"/>
      <c r="AR29" s="1232"/>
      <c r="AS29" s="1232"/>
      <c r="AT29" s="123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row>
    <row r="30" spans="1:76" ht="15" customHeight="1" x14ac:dyDescent="0.25">
      <c r="A30" s="83"/>
      <c r="B30" s="1103"/>
      <c r="C30" s="1103"/>
      <c r="D30" s="1104"/>
      <c r="E30" s="1202"/>
      <c r="F30" s="1201"/>
      <c r="G30" s="1201"/>
      <c r="H30" s="1201"/>
      <c r="I30" s="1217"/>
      <c r="J30" s="67" t="str">
        <f>IF(AND('Riesgos de gestión'!$Y$34="Media",'Riesgos de gestión'!$AA$34="Leve"),CONCATENATE("R5C",'Riesgos de gestión'!$O$34),"")</f>
        <v/>
      </c>
      <c r="K30" s="68" t="str">
        <f>IF(AND('Riesgos de gestión'!$Y$35="Media",'Riesgos de gestión'!$AA$35="Leve"),CONCATENATE("R5C",'Riesgos de gestión'!$O$35),"")</f>
        <v/>
      </c>
      <c r="L30" s="68" t="str">
        <f>IF(AND('Riesgos de gestión'!$Y$36="Media",'Riesgos de gestión'!$AA$36="Leve"),CONCATENATE("R5C",'Riesgos de gestión'!$O$36),"")</f>
        <v/>
      </c>
      <c r="M30" s="68" t="str">
        <f>IF(AND('Riesgos de gestión'!$Y$37="Media",'Riesgos de gestión'!$AA$37="Leve"),CONCATENATE("R5C",'Riesgos de gestión'!$O$37),"")</f>
        <v/>
      </c>
      <c r="N30" s="68" t="str">
        <f>IF(AND('Riesgos de gestión'!$Y$38="Media",'Riesgos de gestión'!$AA$38="Leve"),CONCATENATE("R5C",'Riesgos de gestión'!$O$38),"")</f>
        <v/>
      </c>
      <c r="O30" s="69" t="str">
        <f>IF(AND('Riesgos de gestión'!$Y$39="Media",'Riesgos de gestión'!$AA$39="Leve"),CONCATENATE("R5C",'Riesgos de gestión'!$O$39),"")</f>
        <v/>
      </c>
      <c r="P30" s="67" t="str">
        <f>IF(AND('Riesgos de gestión'!$Y$34="Media",'Riesgos de gestión'!$AA$34="Menor"),CONCATENATE("R5C",'Riesgos de gestión'!$O$34),"")</f>
        <v/>
      </c>
      <c r="Q30" s="68" t="str">
        <f>IF(AND('Riesgos de gestión'!$Y$35="Media",'Riesgos de gestión'!$AA$35="Menor"),CONCATENATE("R5C",'Riesgos de gestión'!$O$35),"")</f>
        <v/>
      </c>
      <c r="R30" s="68" t="str">
        <f>IF(AND('Riesgos de gestión'!$Y$36="Media",'Riesgos de gestión'!$AA$36="Menor"),CONCATENATE("R5C",'Riesgos de gestión'!$O$36),"")</f>
        <v/>
      </c>
      <c r="S30" s="68" t="str">
        <f>IF(AND('Riesgos de gestión'!$Y$37="Media",'Riesgos de gestión'!$AA$37="Menor"),CONCATENATE("R5C",'Riesgos de gestión'!$O$37),"")</f>
        <v/>
      </c>
      <c r="T30" s="68" t="str">
        <f>IF(AND('Riesgos de gestión'!$Y$38="Media",'Riesgos de gestión'!$AA$38="Menor"),CONCATENATE("R5C",'Riesgos de gestión'!$O$38),"")</f>
        <v/>
      </c>
      <c r="U30" s="69" t="str">
        <f>IF(AND('Riesgos de gestión'!$Y$39="Media",'Riesgos de gestión'!$AA$39="Menor"),CONCATENATE("R5C",'Riesgos de gestión'!$O$39),"")</f>
        <v/>
      </c>
      <c r="V30" s="67" t="str">
        <f>IF(AND('Riesgos de gestión'!$Y$34="Media",'Riesgos de gestión'!$AA$34="Moderado"),CONCATENATE("R5C",'Riesgos de gestión'!$O$34),"")</f>
        <v/>
      </c>
      <c r="W30" s="68" t="str">
        <f>IF(AND('Riesgos de gestión'!$Y$35="Media",'Riesgos de gestión'!$AA$35="Moderado"),CONCATENATE("R5C",'Riesgos de gestión'!$O$35),"")</f>
        <v/>
      </c>
      <c r="X30" s="68" t="str">
        <f>IF(AND('Riesgos de gestión'!$Y$36="Media",'Riesgos de gestión'!$AA$36="Moderado"),CONCATENATE("R5C",'Riesgos de gestión'!$O$36),"")</f>
        <v/>
      </c>
      <c r="Y30" s="68" t="str">
        <f>IF(AND('Riesgos de gestión'!$Y$37="Media",'Riesgos de gestión'!$AA$37="Moderado"),CONCATENATE("R5C",'Riesgos de gestión'!$O$37),"")</f>
        <v/>
      </c>
      <c r="Z30" s="68" t="str">
        <f>IF(AND('Riesgos de gestión'!$Y$38="Media",'Riesgos de gestión'!$AA$38="Moderado"),CONCATENATE("R5C",'Riesgos de gestión'!$O$38),"")</f>
        <v/>
      </c>
      <c r="AA30" s="69" t="str">
        <f>IF(AND('Riesgos de gestión'!$Y$39="Media",'Riesgos de gestión'!$AA$39="Moderado"),CONCATENATE("R5C",'Riesgos de gestión'!$O$39),"")</f>
        <v/>
      </c>
      <c r="AB30" s="52" t="str">
        <f>IF(AND('Riesgos de gestión'!$Y$34="Media",'Riesgos de gestión'!$AA$34="Mayor"),CONCATENATE("R5C",'Riesgos de gestión'!$O$34),"")</f>
        <v/>
      </c>
      <c r="AC30" s="53" t="str">
        <f>IF(AND('Riesgos de gestión'!$Y$35="Media",'Riesgos de gestión'!$AA$35="Mayor"),CONCATENATE("R5C",'Riesgos de gestión'!$O$35),"")</f>
        <v/>
      </c>
      <c r="AD30" s="53" t="str">
        <f>IF(AND('Riesgos de gestión'!$Y$36="Media",'Riesgos de gestión'!$AA$36="Mayor"),CONCATENATE("R5C",'Riesgos de gestión'!$O$36),"")</f>
        <v/>
      </c>
      <c r="AE30" s="53" t="str">
        <f>IF(AND('Riesgos de gestión'!$Y$37="Media",'Riesgos de gestión'!$AA$37="Mayor"),CONCATENATE("R5C",'Riesgos de gestión'!$O$37),"")</f>
        <v/>
      </c>
      <c r="AF30" s="53" t="str">
        <f>IF(AND('Riesgos de gestión'!$Y$38="Media",'Riesgos de gestión'!$AA$38="Mayor"),CONCATENATE("R5C",'Riesgos de gestión'!$O$38),"")</f>
        <v/>
      </c>
      <c r="AG30" s="54" t="str">
        <f>IF(AND('Riesgos de gestión'!$Y$39="Media",'Riesgos de gestión'!$AA$39="Mayor"),CONCATENATE("R5C",'Riesgos de gestión'!$O$39),"")</f>
        <v/>
      </c>
      <c r="AH30" s="55" t="str">
        <f>IF(AND('Riesgos de gestión'!$Y$34="Media",'Riesgos de gestión'!$AA$34="Catastrófico"),CONCATENATE("R5C",'Riesgos de gestión'!$O$34),"")</f>
        <v/>
      </c>
      <c r="AI30" s="56" t="str">
        <f>IF(AND('Riesgos de gestión'!$Y$35="Media",'Riesgos de gestión'!$AA$35="Catastrófico"),CONCATENATE("R5C",'Riesgos de gestión'!$O$35),"")</f>
        <v/>
      </c>
      <c r="AJ30" s="56" t="str">
        <f>IF(AND('Riesgos de gestión'!$Y$36="Media",'Riesgos de gestión'!$AA$36="Catastrófico"),CONCATENATE("R5C",'Riesgos de gestión'!$O$36),"")</f>
        <v/>
      </c>
      <c r="AK30" s="56" t="str">
        <f>IF(AND('Riesgos de gestión'!$Y$37="Media",'Riesgos de gestión'!$AA$37="Catastrófico"),CONCATENATE("R5C",'Riesgos de gestión'!$O$37),"")</f>
        <v/>
      </c>
      <c r="AL30" s="56" t="str">
        <f>IF(AND('Riesgos de gestión'!$Y$38="Media",'Riesgos de gestión'!$AA$38="Catastrófico"),CONCATENATE("R5C",'Riesgos de gestión'!$O$38),"")</f>
        <v/>
      </c>
      <c r="AM30" s="57" t="str">
        <f>IF(AND('Riesgos de gestión'!$Y$39="Media",'Riesgos de gestión'!$AA$39="Catastrófico"),CONCATENATE("R5C",'Riesgos de gestión'!$O$39),"")</f>
        <v/>
      </c>
      <c r="AN30" s="83"/>
      <c r="AO30" s="1231"/>
      <c r="AP30" s="1232"/>
      <c r="AQ30" s="1232"/>
      <c r="AR30" s="1232"/>
      <c r="AS30" s="1232"/>
      <c r="AT30" s="123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row>
    <row r="31" spans="1:76" ht="15" customHeight="1" x14ac:dyDescent="0.25">
      <c r="A31" s="83"/>
      <c r="B31" s="1103"/>
      <c r="C31" s="1103"/>
      <c r="D31" s="1104"/>
      <c r="E31" s="1202"/>
      <c r="F31" s="1201"/>
      <c r="G31" s="1201"/>
      <c r="H31" s="1201"/>
      <c r="I31" s="1217"/>
      <c r="J31" s="67" t="str">
        <f>IF(AND('Riesgos de gestión'!$Y$40="Media",'Riesgos de gestión'!$AA$40="Leve"),CONCATENATE("R6C",'Riesgos de gestión'!$O$40),"")</f>
        <v/>
      </c>
      <c r="K31" s="68" t="str">
        <f>IF(AND('Riesgos de gestión'!$Y$41="Media",'Riesgos de gestión'!$AA$41="Leve"),CONCATENATE("R6C",'Riesgos de gestión'!$O$41),"")</f>
        <v/>
      </c>
      <c r="L31" s="68" t="str">
        <f>IF(AND('Riesgos de gestión'!$Y$42="Media",'Riesgos de gestión'!$AA$42="Leve"),CONCATENATE("R6C",'Riesgos de gestión'!$O$42),"")</f>
        <v/>
      </c>
      <c r="M31" s="68" t="str">
        <f>IF(AND('Riesgos de gestión'!$Y$43="Media",'Riesgos de gestión'!$AA$43="Leve"),CONCATENATE("R6C",'Riesgos de gestión'!$O$43),"")</f>
        <v/>
      </c>
      <c r="N31" s="68" t="str">
        <f>IF(AND('Riesgos de gestión'!$Y$44="Media",'Riesgos de gestión'!$AA$44="Leve"),CONCATENATE("R6C",'Riesgos de gestión'!$O$44),"")</f>
        <v/>
      </c>
      <c r="O31" s="69" t="str">
        <f>IF(AND('Riesgos de gestión'!$Y$45="Media",'Riesgos de gestión'!$AA$45="Leve"),CONCATENATE("R6C",'Riesgos de gestión'!$O$45),"")</f>
        <v/>
      </c>
      <c r="P31" s="67" t="str">
        <f>IF(AND('Riesgos de gestión'!$Y$40="Media",'Riesgos de gestión'!$AA$40="Menor"),CONCATENATE("R6C",'Riesgos de gestión'!$O$40),"")</f>
        <v/>
      </c>
      <c r="Q31" s="68" t="str">
        <f>IF(AND('Riesgos de gestión'!$Y$41="Media",'Riesgos de gestión'!$AA$41="Menor"),CONCATENATE("R6C",'Riesgos de gestión'!$O$41),"")</f>
        <v/>
      </c>
      <c r="R31" s="68" t="str">
        <f>IF(AND('Riesgos de gestión'!$Y$42="Media",'Riesgos de gestión'!$AA$42="Menor"),CONCATENATE("R6C",'Riesgos de gestión'!$O$42),"")</f>
        <v/>
      </c>
      <c r="S31" s="68" t="str">
        <f>IF(AND('Riesgos de gestión'!$Y$43="Media",'Riesgos de gestión'!$AA$43="Menor"),CONCATENATE("R6C",'Riesgos de gestión'!$O$43),"")</f>
        <v/>
      </c>
      <c r="T31" s="68" t="str">
        <f>IF(AND('Riesgos de gestión'!$Y$44="Media",'Riesgos de gestión'!$AA$44="Menor"),CONCATENATE("R6C",'Riesgos de gestión'!$O$44),"")</f>
        <v/>
      </c>
      <c r="U31" s="69" t="str">
        <f>IF(AND('Riesgos de gestión'!$Y$45="Media",'Riesgos de gestión'!$AA$45="Menor"),CONCATENATE("R6C",'Riesgos de gestión'!$O$45),"")</f>
        <v/>
      </c>
      <c r="V31" s="67" t="str">
        <f>IF(AND('Riesgos de gestión'!$Y$40="Media",'Riesgos de gestión'!$AA$40="Moderado"),CONCATENATE("R6C",'Riesgos de gestión'!$O$40),"")</f>
        <v/>
      </c>
      <c r="W31" s="68" t="str">
        <f>IF(AND('Riesgos de gestión'!$Y$41="Media",'Riesgos de gestión'!$AA$41="Moderado"),CONCATENATE("R6C",'Riesgos de gestión'!$O$41),"")</f>
        <v/>
      </c>
      <c r="X31" s="68" t="str">
        <f>IF(AND('Riesgos de gestión'!$Y$42="Media",'Riesgos de gestión'!$AA$42="Moderado"),CONCATENATE("R6C",'Riesgos de gestión'!$O$42),"")</f>
        <v/>
      </c>
      <c r="Y31" s="68" t="str">
        <f>IF(AND('Riesgos de gestión'!$Y$43="Media",'Riesgos de gestión'!$AA$43="Moderado"),CONCATENATE("R6C",'Riesgos de gestión'!$O$43),"")</f>
        <v/>
      </c>
      <c r="Z31" s="68" t="str">
        <f>IF(AND('Riesgos de gestión'!$Y$44="Media",'Riesgos de gestión'!$AA$44="Moderado"),CONCATENATE("R6C",'Riesgos de gestión'!$O$44),"")</f>
        <v/>
      </c>
      <c r="AA31" s="69" t="str">
        <f>IF(AND('Riesgos de gestión'!$Y$45="Media",'Riesgos de gestión'!$AA$45="Moderado"),CONCATENATE("R6C",'Riesgos de gestión'!$O$45),"")</f>
        <v/>
      </c>
      <c r="AB31" s="52" t="str">
        <f>IF(AND('Riesgos de gestión'!$Y$40="Media",'Riesgos de gestión'!$AA$40="Mayor"),CONCATENATE("R6C",'Riesgos de gestión'!$O$40),"")</f>
        <v/>
      </c>
      <c r="AC31" s="53" t="str">
        <f>IF(AND('Riesgos de gestión'!$Y$41="Media",'Riesgos de gestión'!$AA$41="Mayor"),CONCATENATE("R6C",'Riesgos de gestión'!$O$41),"")</f>
        <v/>
      </c>
      <c r="AD31" s="53" t="str">
        <f>IF(AND('Riesgos de gestión'!$Y$42="Media",'Riesgos de gestión'!$AA$42="Mayor"),CONCATENATE("R6C",'Riesgos de gestión'!$O$42),"")</f>
        <v/>
      </c>
      <c r="AE31" s="53" t="str">
        <f>IF(AND('Riesgos de gestión'!$Y$43="Media",'Riesgos de gestión'!$AA$43="Mayor"),CONCATENATE("R6C",'Riesgos de gestión'!$O$43),"")</f>
        <v/>
      </c>
      <c r="AF31" s="53" t="str">
        <f>IF(AND('Riesgos de gestión'!$Y$44="Media",'Riesgos de gestión'!$AA$44="Mayor"),CONCATENATE("R6C",'Riesgos de gestión'!$O$44),"")</f>
        <v/>
      </c>
      <c r="AG31" s="54" t="str">
        <f>IF(AND('Riesgos de gestión'!$Y$45="Media",'Riesgos de gestión'!$AA$45="Mayor"),CONCATENATE("R6C",'Riesgos de gestión'!$O$45),"")</f>
        <v/>
      </c>
      <c r="AH31" s="55" t="str">
        <f>IF(AND('Riesgos de gestión'!$Y$40="Media",'Riesgos de gestión'!$AA$40="Catastrófico"),CONCATENATE("R6C",'Riesgos de gestión'!$O$40),"")</f>
        <v/>
      </c>
      <c r="AI31" s="56" t="str">
        <f>IF(AND('Riesgos de gestión'!$Y$41="Media",'Riesgos de gestión'!$AA$41="Catastrófico"),CONCATENATE("R6C",'Riesgos de gestión'!$O$41),"")</f>
        <v/>
      </c>
      <c r="AJ31" s="56" t="str">
        <f>IF(AND('Riesgos de gestión'!$Y$42="Media",'Riesgos de gestión'!$AA$42="Catastrófico"),CONCATENATE("R6C",'Riesgos de gestión'!$O$42),"")</f>
        <v/>
      </c>
      <c r="AK31" s="56" t="str">
        <f>IF(AND('Riesgos de gestión'!$Y$43="Media",'Riesgos de gestión'!$AA$43="Catastrófico"),CONCATENATE("R6C",'Riesgos de gestión'!$O$43),"")</f>
        <v/>
      </c>
      <c r="AL31" s="56" t="str">
        <f>IF(AND('Riesgos de gestión'!$Y$44="Media",'Riesgos de gestión'!$AA$44="Catastrófico"),CONCATENATE("R6C",'Riesgos de gestión'!$O$44),"")</f>
        <v/>
      </c>
      <c r="AM31" s="57" t="str">
        <f>IF(AND('Riesgos de gestión'!$Y$45="Media",'Riesgos de gestión'!$AA$45="Catastrófico"),CONCATENATE("R6C",'Riesgos de gestión'!$O$45),"")</f>
        <v/>
      </c>
      <c r="AN31" s="83"/>
      <c r="AO31" s="1231"/>
      <c r="AP31" s="1232"/>
      <c r="AQ31" s="1232"/>
      <c r="AR31" s="1232"/>
      <c r="AS31" s="1232"/>
      <c r="AT31" s="123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row>
    <row r="32" spans="1:76" ht="15" customHeight="1" x14ac:dyDescent="0.25">
      <c r="A32" s="83"/>
      <c r="B32" s="1103"/>
      <c r="C32" s="1103"/>
      <c r="D32" s="1104"/>
      <c r="E32" s="1202"/>
      <c r="F32" s="1201"/>
      <c r="G32" s="1201"/>
      <c r="H32" s="1201"/>
      <c r="I32" s="1217"/>
      <c r="J32" s="67" t="str">
        <f>IF(AND('Riesgos de gestión'!$Y$46="Media",'Riesgos de gestión'!$AA$46="Leve"),CONCATENATE("R7C",'Riesgos de gestión'!$O$46),"")</f>
        <v/>
      </c>
      <c r="K32" s="68" t="str">
        <f>IF(AND('Riesgos de gestión'!$Y$47="Media",'Riesgos de gestión'!$AA$47="Leve"),CONCATENATE("R7C",'Riesgos de gestión'!$O$47),"")</f>
        <v/>
      </c>
      <c r="L32" s="68" t="str">
        <f>IF(AND('Riesgos de gestión'!$Y$48="Media",'Riesgos de gestión'!$AA$48="Leve"),CONCATENATE("R7C",'Riesgos de gestión'!$O$48),"")</f>
        <v/>
      </c>
      <c r="M32" s="68" t="str">
        <f>IF(AND('Riesgos de gestión'!$Y$49="Media",'Riesgos de gestión'!$AA$49="Leve"),CONCATENATE("R7C",'Riesgos de gestión'!$O$49),"")</f>
        <v/>
      </c>
      <c r="N32" s="68" t="str">
        <f>IF(AND('Riesgos de gestión'!$Y$50="Media",'Riesgos de gestión'!$AA$50="Leve"),CONCATENATE("R7C",'Riesgos de gestión'!$O$50),"")</f>
        <v/>
      </c>
      <c r="O32" s="69" t="str">
        <f>IF(AND('Riesgos de gestión'!$Y$51="Media",'Riesgos de gestión'!$AA$51="Leve"),CONCATENATE("R7C",'Riesgos de gestión'!$O$51),"")</f>
        <v/>
      </c>
      <c r="P32" s="67" t="str">
        <f>IF(AND('Riesgos de gestión'!$Y$46="Media",'Riesgos de gestión'!$AA$46="Menor"),CONCATENATE("R7C",'Riesgos de gestión'!$O$46),"")</f>
        <v/>
      </c>
      <c r="Q32" s="68" t="str">
        <f>IF(AND('Riesgos de gestión'!$Y$47="Media",'Riesgos de gestión'!$AA$47="Menor"),CONCATENATE("R7C",'Riesgos de gestión'!$O$47),"")</f>
        <v/>
      </c>
      <c r="R32" s="68" t="str">
        <f>IF(AND('Riesgos de gestión'!$Y$48="Media",'Riesgos de gestión'!$AA$48="Menor"),CONCATENATE("R7C",'Riesgos de gestión'!$O$48),"")</f>
        <v/>
      </c>
      <c r="S32" s="68" t="str">
        <f>IF(AND('Riesgos de gestión'!$Y$49="Media",'Riesgos de gestión'!$AA$49="Menor"),CONCATENATE("R7C",'Riesgos de gestión'!$O$49),"")</f>
        <v/>
      </c>
      <c r="T32" s="68" t="str">
        <f>IF(AND('Riesgos de gestión'!$Y$50="Media",'Riesgos de gestión'!$AA$50="Menor"),CONCATENATE("R7C",'Riesgos de gestión'!$O$50),"")</f>
        <v/>
      </c>
      <c r="U32" s="69" t="str">
        <f>IF(AND('Riesgos de gestión'!$Y$51="Media",'Riesgos de gestión'!$AA$51="Menor"),CONCATENATE("R7C",'Riesgos de gestión'!$O$51),"")</f>
        <v/>
      </c>
      <c r="V32" s="67" t="str">
        <f>IF(AND('Riesgos de gestión'!$Y$46="Media",'Riesgos de gestión'!$AA$46="Moderado"),CONCATENATE("R7C",'Riesgos de gestión'!$O$46),"")</f>
        <v/>
      </c>
      <c r="W32" s="68" t="str">
        <f>IF(AND('Riesgos de gestión'!$Y$47="Media",'Riesgos de gestión'!$AA$47="Moderado"),CONCATENATE("R7C",'Riesgos de gestión'!$O$47),"")</f>
        <v/>
      </c>
      <c r="X32" s="68" t="str">
        <f>IF(AND('Riesgos de gestión'!$Y$48="Media",'Riesgos de gestión'!$AA$48="Moderado"),CONCATENATE("R7C",'Riesgos de gestión'!$O$48),"")</f>
        <v/>
      </c>
      <c r="Y32" s="68" t="str">
        <f>IF(AND('Riesgos de gestión'!$Y$49="Media",'Riesgos de gestión'!$AA$49="Moderado"),CONCATENATE("R7C",'Riesgos de gestión'!$O$49),"")</f>
        <v/>
      </c>
      <c r="Z32" s="68" t="str">
        <f>IF(AND('Riesgos de gestión'!$Y$50="Media",'Riesgos de gestión'!$AA$50="Moderado"),CONCATENATE("R7C",'Riesgos de gestión'!$O$50),"")</f>
        <v/>
      </c>
      <c r="AA32" s="69" t="str">
        <f>IF(AND('Riesgos de gestión'!$Y$51="Media",'Riesgos de gestión'!$AA$51="Moderado"),CONCATENATE("R7C",'Riesgos de gestión'!$O$51),"")</f>
        <v/>
      </c>
      <c r="AB32" s="52" t="str">
        <f>IF(AND('Riesgos de gestión'!$Y$46="Media",'Riesgos de gestión'!$AA$46="Mayor"),CONCATENATE("R7C",'Riesgos de gestión'!$O$46),"")</f>
        <v/>
      </c>
      <c r="AC32" s="53" t="str">
        <f>IF(AND('Riesgos de gestión'!$Y$47="Media",'Riesgos de gestión'!$AA$47="Mayor"),CONCATENATE("R7C",'Riesgos de gestión'!$O$47),"")</f>
        <v/>
      </c>
      <c r="AD32" s="53" t="str">
        <f>IF(AND('Riesgos de gestión'!$Y$48="Media",'Riesgos de gestión'!$AA$48="Mayor"),CONCATENATE("R7C",'Riesgos de gestión'!$O$48),"")</f>
        <v/>
      </c>
      <c r="AE32" s="53" t="str">
        <f>IF(AND('Riesgos de gestión'!$Y$49="Media",'Riesgos de gestión'!$AA$49="Mayor"),CONCATENATE("R7C",'Riesgos de gestión'!$O$49),"")</f>
        <v/>
      </c>
      <c r="AF32" s="53" t="str">
        <f>IF(AND('Riesgos de gestión'!$Y$50="Media",'Riesgos de gestión'!$AA$50="Mayor"),CONCATENATE("R7C",'Riesgos de gestión'!$O$50),"")</f>
        <v/>
      </c>
      <c r="AG32" s="54" t="str">
        <f>IF(AND('Riesgos de gestión'!$Y$51="Media",'Riesgos de gestión'!$AA$51="Mayor"),CONCATENATE("R7C",'Riesgos de gestión'!$O$51),"")</f>
        <v/>
      </c>
      <c r="AH32" s="55" t="str">
        <f>IF(AND('Riesgos de gestión'!$Y$46="Media",'Riesgos de gestión'!$AA$46="Catastrófico"),CONCATENATE("R7C",'Riesgos de gestión'!$O$46),"")</f>
        <v/>
      </c>
      <c r="AI32" s="56" t="str">
        <f>IF(AND('Riesgos de gestión'!$Y$47="Media",'Riesgos de gestión'!$AA$47="Catastrófico"),CONCATENATE("R7C",'Riesgos de gestión'!$O$47),"")</f>
        <v/>
      </c>
      <c r="AJ32" s="56" t="str">
        <f>IF(AND('Riesgos de gestión'!$Y$48="Media",'Riesgos de gestión'!$AA$48="Catastrófico"),CONCATENATE("R7C",'Riesgos de gestión'!$O$48),"")</f>
        <v/>
      </c>
      <c r="AK32" s="56" t="str">
        <f>IF(AND('Riesgos de gestión'!$Y$49="Media",'Riesgos de gestión'!$AA$49="Catastrófico"),CONCATENATE("R7C",'Riesgos de gestión'!$O$49),"")</f>
        <v/>
      </c>
      <c r="AL32" s="56" t="str">
        <f>IF(AND('Riesgos de gestión'!$Y$50="Media",'Riesgos de gestión'!$AA$50="Catastrófico"),CONCATENATE("R7C",'Riesgos de gestión'!$O$50),"")</f>
        <v/>
      </c>
      <c r="AM32" s="57" t="str">
        <f>IF(AND('Riesgos de gestión'!$Y$51="Media",'Riesgos de gestión'!$AA$51="Catastrófico"),CONCATENATE("R7C",'Riesgos de gestión'!$O$51),"")</f>
        <v/>
      </c>
      <c r="AN32" s="83"/>
      <c r="AO32" s="1231"/>
      <c r="AP32" s="1232"/>
      <c r="AQ32" s="1232"/>
      <c r="AR32" s="1232"/>
      <c r="AS32" s="1232"/>
      <c r="AT32" s="123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row>
    <row r="33" spans="1:80" ht="15" customHeight="1" x14ac:dyDescent="0.25">
      <c r="A33" s="83"/>
      <c r="B33" s="1103"/>
      <c r="C33" s="1103"/>
      <c r="D33" s="1104"/>
      <c r="E33" s="1202"/>
      <c r="F33" s="1201"/>
      <c r="G33" s="1201"/>
      <c r="H33" s="1201"/>
      <c r="I33" s="1217"/>
      <c r="J33" s="67" t="str">
        <f>IF(AND('Riesgos de gestión'!$Y$52="Media",'Riesgos de gestión'!$AA$52="Leve"),CONCATENATE("R8C",'Riesgos de gestión'!$O$52),"")</f>
        <v/>
      </c>
      <c r="K33" s="68" t="str">
        <f>IF(AND('Riesgos de gestión'!$Y$53="Media",'Riesgos de gestión'!$AA$53="Leve"),CONCATENATE("R8C",'Riesgos de gestión'!$O$53),"")</f>
        <v/>
      </c>
      <c r="L33" s="68" t="str">
        <f>IF(AND('Riesgos de gestión'!$Y$54="Media",'Riesgos de gestión'!$AA$54="Leve"),CONCATENATE("R8C",'Riesgos de gestión'!$O$54),"")</f>
        <v/>
      </c>
      <c r="M33" s="68" t="str">
        <f>IF(AND('Riesgos de gestión'!$Y$55="Media",'Riesgos de gestión'!$AA$55="Leve"),CONCATENATE("R8C",'Riesgos de gestión'!$O$55),"")</f>
        <v/>
      </c>
      <c r="N33" s="68" t="str">
        <f>IF(AND('Riesgos de gestión'!$Y$56="Media",'Riesgos de gestión'!$AA$56="Leve"),CONCATENATE("R8C",'Riesgos de gestión'!$O$56),"")</f>
        <v/>
      </c>
      <c r="O33" s="69" t="str">
        <f>IF(AND('Riesgos de gestión'!$Y$57="Media",'Riesgos de gestión'!$AA$57="Leve"),CONCATENATE("R8C",'Riesgos de gestión'!$O$57),"")</f>
        <v/>
      </c>
      <c r="P33" s="67" t="str">
        <f>IF(AND('Riesgos de gestión'!$Y$52="Media",'Riesgos de gestión'!$AA$52="Menor"),CONCATENATE("R8C",'Riesgos de gestión'!$O$52),"")</f>
        <v/>
      </c>
      <c r="Q33" s="68" t="str">
        <f>IF(AND('Riesgos de gestión'!$Y$53="Media",'Riesgos de gestión'!$AA$53="Menor"),CONCATENATE("R8C",'Riesgos de gestión'!$O$53),"")</f>
        <v/>
      </c>
      <c r="R33" s="68" t="str">
        <f>IF(AND('Riesgos de gestión'!$Y$54="Media",'Riesgos de gestión'!$AA$54="Menor"),CONCATENATE("R8C",'Riesgos de gestión'!$O$54),"")</f>
        <v/>
      </c>
      <c r="S33" s="68" t="str">
        <f>IF(AND('Riesgos de gestión'!$Y$55="Media",'Riesgos de gestión'!$AA$55="Menor"),CONCATENATE("R8C",'Riesgos de gestión'!$O$55),"")</f>
        <v/>
      </c>
      <c r="T33" s="68" t="str">
        <f>IF(AND('Riesgos de gestión'!$Y$56="Media",'Riesgos de gestión'!$AA$56="Menor"),CONCATENATE("R8C",'Riesgos de gestión'!$O$56),"")</f>
        <v/>
      </c>
      <c r="U33" s="69" t="str">
        <f>IF(AND('Riesgos de gestión'!$Y$57="Media",'Riesgos de gestión'!$AA$57="Menor"),CONCATENATE("R8C",'Riesgos de gestión'!$O$57),"")</f>
        <v/>
      </c>
      <c r="V33" s="67" t="str">
        <f>IF(AND('Riesgos de gestión'!$Y$52="Media",'Riesgos de gestión'!$AA$52="Moderado"),CONCATENATE("R8C",'Riesgos de gestión'!$O$52),"")</f>
        <v/>
      </c>
      <c r="W33" s="68" t="str">
        <f>IF(AND('Riesgos de gestión'!$Y$53="Media",'Riesgos de gestión'!$AA$53="Moderado"),CONCATENATE("R8C",'Riesgos de gestión'!$O$53),"")</f>
        <v/>
      </c>
      <c r="X33" s="68" t="str">
        <f>IF(AND('Riesgos de gestión'!$Y$54="Media",'Riesgos de gestión'!$AA$54="Moderado"),CONCATENATE("R8C",'Riesgos de gestión'!$O$54),"")</f>
        <v/>
      </c>
      <c r="Y33" s="68" t="str">
        <f>IF(AND('Riesgos de gestión'!$Y$55="Media",'Riesgos de gestión'!$AA$55="Moderado"),CONCATENATE("R8C",'Riesgos de gestión'!$O$55),"")</f>
        <v/>
      </c>
      <c r="Z33" s="68" t="str">
        <f>IF(AND('Riesgos de gestión'!$Y$56="Media",'Riesgos de gestión'!$AA$56="Moderado"),CONCATENATE("R8C",'Riesgos de gestión'!$O$56),"")</f>
        <v/>
      </c>
      <c r="AA33" s="69" t="str">
        <f>IF(AND('Riesgos de gestión'!$Y$57="Media",'Riesgos de gestión'!$AA$57="Moderado"),CONCATENATE("R8C",'Riesgos de gestión'!$O$57),"")</f>
        <v/>
      </c>
      <c r="AB33" s="52" t="str">
        <f>IF(AND('Riesgos de gestión'!$Y$52="Media",'Riesgos de gestión'!$AA$52="Mayor"),CONCATENATE("R8C",'Riesgos de gestión'!$O$52),"")</f>
        <v/>
      </c>
      <c r="AC33" s="53" t="str">
        <f>IF(AND('Riesgos de gestión'!$Y$53="Media",'Riesgos de gestión'!$AA$53="Mayor"),CONCATENATE("R8C",'Riesgos de gestión'!$O$53),"")</f>
        <v/>
      </c>
      <c r="AD33" s="53" t="str">
        <f>IF(AND('Riesgos de gestión'!$Y$54="Media",'Riesgos de gestión'!$AA$54="Mayor"),CONCATENATE("R8C",'Riesgos de gestión'!$O$54),"")</f>
        <v/>
      </c>
      <c r="AE33" s="53" t="str">
        <f>IF(AND('Riesgos de gestión'!$Y$55="Media",'Riesgos de gestión'!$AA$55="Mayor"),CONCATENATE("R8C",'Riesgos de gestión'!$O$55),"")</f>
        <v/>
      </c>
      <c r="AF33" s="53" t="str">
        <f>IF(AND('Riesgos de gestión'!$Y$56="Media",'Riesgos de gestión'!$AA$56="Mayor"),CONCATENATE("R8C",'Riesgos de gestión'!$O$56),"")</f>
        <v/>
      </c>
      <c r="AG33" s="54" t="str">
        <f>IF(AND('Riesgos de gestión'!$Y$57="Media",'Riesgos de gestión'!$AA$57="Mayor"),CONCATENATE("R8C",'Riesgos de gestión'!$O$57),"")</f>
        <v/>
      </c>
      <c r="AH33" s="55" t="str">
        <f>IF(AND('Riesgos de gestión'!$Y$52="Media",'Riesgos de gestión'!$AA$52="Catastrófico"),CONCATENATE("R8C",'Riesgos de gestión'!$O$52),"")</f>
        <v/>
      </c>
      <c r="AI33" s="56" t="str">
        <f>IF(AND('Riesgos de gestión'!$Y$53="Media",'Riesgos de gestión'!$AA$53="Catastrófico"),CONCATENATE("R8C",'Riesgos de gestión'!$O$53),"")</f>
        <v/>
      </c>
      <c r="AJ33" s="56" t="str">
        <f>IF(AND('Riesgos de gestión'!$Y$54="Media",'Riesgos de gestión'!$AA$54="Catastrófico"),CONCATENATE("R8C",'Riesgos de gestión'!$O$54),"")</f>
        <v/>
      </c>
      <c r="AK33" s="56" t="str">
        <f>IF(AND('Riesgos de gestión'!$Y$55="Media",'Riesgos de gestión'!$AA$55="Catastrófico"),CONCATENATE("R8C",'Riesgos de gestión'!$O$55),"")</f>
        <v/>
      </c>
      <c r="AL33" s="56" t="str">
        <f>IF(AND('Riesgos de gestión'!$Y$56="Media",'Riesgos de gestión'!$AA$56="Catastrófico"),CONCATENATE("R8C",'Riesgos de gestión'!$O$56),"")</f>
        <v/>
      </c>
      <c r="AM33" s="57" t="str">
        <f>IF(AND('Riesgos de gestión'!$Y$57="Media",'Riesgos de gestión'!$AA$57="Catastrófico"),CONCATENATE("R8C",'Riesgos de gestión'!$O$57),"")</f>
        <v/>
      </c>
      <c r="AN33" s="83"/>
      <c r="AO33" s="1231"/>
      <c r="AP33" s="1232"/>
      <c r="AQ33" s="1232"/>
      <c r="AR33" s="1232"/>
      <c r="AS33" s="1232"/>
      <c r="AT33" s="123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row>
    <row r="34" spans="1:80" ht="15" customHeight="1" x14ac:dyDescent="0.25">
      <c r="A34" s="83"/>
      <c r="B34" s="1103"/>
      <c r="C34" s="1103"/>
      <c r="D34" s="1104"/>
      <c r="E34" s="1202"/>
      <c r="F34" s="1201"/>
      <c r="G34" s="1201"/>
      <c r="H34" s="1201"/>
      <c r="I34" s="1217"/>
      <c r="J34" s="67" t="str">
        <f>IF(AND('Riesgos de gestión'!$Y$58="Media",'Riesgos de gestión'!$AA$58="Leve"),CONCATENATE("R9C",'Riesgos de gestión'!$O$58),"")</f>
        <v/>
      </c>
      <c r="K34" s="68" t="str">
        <f>IF(AND('Riesgos de gestión'!$Y$59="Media",'Riesgos de gestión'!$AA$59="Leve"),CONCATENATE("R9C",'Riesgos de gestión'!$O$59),"")</f>
        <v/>
      </c>
      <c r="L34" s="68" t="str">
        <f>IF(AND('Riesgos de gestión'!$Y$60="Media",'Riesgos de gestión'!$AA$60="Leve"),CONCATENATE("R9C",'Riesgos de gestión'!$O$60),"")</f>
        <v/>
      </c>
      <c r="M34" s="68" t="str">
        <f>IF(AND('Riesgos de gestión'!$Y$61="Media",'Riesgos de gestión'!$AA$61="Leve"),CONCATENATE("R9C",'Riesgos de gestión'!$O$61),"")</f>
        <v/>
      </c>
      <c r="N34" s="68" t="str">
        <f>IF(AND('Riesgos de gestión'!$Y$62="Media",'Riesgos de gestión'!$AA$62="Leve"),CONCATENATE("R9C",'Riesgos de gestión'!$O$62),"")</f>
        <v/>
      </c>
      <c r="O34" s="69" t="str">
        <f>IF(AND('Riesgos de gestión'!$Y$63="Media",'Riesgos de gestión'!$AA$63="Leve"),CONCATENATE("R9C",'Riesgos de gestión'!$O$63),"")</f>
        <v/>
      </c>
      <c r="P34" s="67" t="str">
        <f>IF(AND('Riesgos de gestión'!$Y$58="Media",'Riesgos de gestión'!$AA$58="Menor"),CONCATENATE("R9C",'Riesgos de gestión'!$O$58),"")</f>
        <v/>
      </c>
      <c r="Q34" s="68" t="str">
        <f>IF(AND('Riesgos de gestión'!$Y$59="Media",'Riesgos de gestión'!$AA$59="Menor"),CONCATENATE("R9C",'Riesgos de gestión'!$O$59),"")</f>
        <v/>
      </c>
      <c r="R34" s="68" t="str">
        <f>IF(AND('Riesgos de gestión'!$Y$60="Media",'Riesgos de gestión'!$AA$60="Menor"),CONCATENATE("R9C",'Riesgos de gestión'!$O$60),"")</f>
        <v/>
      </c>
      <c r="S34" s="68" t="str">
        <f>IF(AND('Riesgos de gestión'!$Y$61="Media",'Riesgos de gestión'!$AA$61="Menor"),CONCATENATE("R9C",'Riesgos de gestión'!$O$61),"")</f>
        <v/>
      </c>
      <c r="T34" s="68" t="str">
        <f>IF(AND('Riesgos de gestión'!$Y$62="Media",'Riesgos de gestión'!$AA$62="Menor"),CONCATENATE("R9C",'Riesgos de gestión'!$O$62),"")</f>
        <v/>
      </c>
      <c r="U34" s="69" t="str">
        <f>IF(AND('Riesgos de gestión'!$Y$63="Media",'Riesgos de gestión'!$AA$63="Menor"),CONCATENATE("R9C",'Riesgos de gestión'!$O$63),"")</f>
        <v/>
      </c>
      <c r="V34" s="67" t="str">
        <f>IF(AND('Riesgos de gestión'!$Y$58="Media",'Riesgos de gestión'!$AA$58="Moderado"),CONCATENATE("R9C",'Riesgos de gestión'!$O$58),"")</f>
        <v/>
      </c>
      <c r="W34" s="68" t="str">
        <f>IF(AND('Riesgos de gestión'!$Y$59="Media",'Riesgos de gestión'!$AA$59="Moderado"),CONCATENATE("R9C",'Riesgos de gestión'!$O$59),"")</f>
        <v/>
      </c>
      <c r="X34" s="68" t="str">
        <f>IF(AND('Riesgos de gestión'!$Y$60="Media",'Riesgos de gestión'!$AA$60="Moderado"),CONCATENATE("R9C",'Riesgos de gestión'!$O$60),"")</f>
        <v/>
      </c>
      <c r="Y34" s="68" t="str">
        <f>IF(AND('Riesgos de gestión'!$Y$61="Media",'Riesgos de gestión'!$AA$61="Moderado"),CONCATENATE("R9C",'Riesgos de gestión'!$O$61),"")</f>
        <v/>
      </c>
      <c r="Z34" s="68" t="str">
        <f>IF(AND('Riesgos de gestión'!$Y$62="Media",'Riesgos de gestión'!$AA$62="Moderado"),CONCATENATE("R9C",'Riesgos de gestión'!$O$62),"")</f>
        <v/>
      </c>
      <c r="AA34" s="69" t="str">
        <f>IF(AND('Riesgos de gestión'!$Y$63="Media",'Riesgos de gestión'!$AA$63="Moderado"),CONCATENATE("R9C",'Riesgos de gestión'!$O$63),"")</f>
        <v/>
      </c>
      <c r="AB34" s="52" t="str">
        <f>IF(AND('Riesgos de gestión'!$Y$58="Media",'Riesgos de gestión'!$AA$58="Mayor"),CONCATENATE("R9C",'Riesgos de gestión'!$O$58),"")</f>
        <v/>
      </c>
      <c r="AC34" s="53" t="str">
        <f>IF(AND('Riesgos de gestión'!$Y$59="Media",'Riesgos de gestión'!$AA$59="Mayor"),CONCATENATE("R9C",'Riesgos de gestión'!$O$59),"")</f>
        <v/>
      </c>
      <c r="AD34" s="53" t="str">
        <f>IF(AND('Riesgos de gestión'!$Y$60="Media",'Riesgos de gestión'!$AA$60="Mayor"),CONCATENATE("R9C",'Riesgos de gestión'!$O$60),"")</f>
        <v/>
      </c>
      <c r="AE34" s="53" t="str">
        <f>IF(AND('Riesgos de gestión'!$Y$61="Media",'Riesgos de gestión'!$AA$61="Mayor"),CONCATENATE("R9C",'Riesgos de gestión'!$O$61),"")</f>
        <v/>
      </c>
      <c r="AF34" s="53" t="str">
        <f>IF(AND('Riesgos de gestión'!$Y$62="Media",'Riesgos de gestión'!$AA$62="Mayor"),CONCATENATE("R9C",'Riesgos de gestión'!$O$62),"")</f>
        <v/>
      </c>
      <c r="AG34" s="54" t="str">
        <f>IF(AND('Riesgos de gestión'!$Y$63="Media",'Riesgos de gestión'!$AA$63="Mayor"),CONCATENATE("R9C",'Riesgos de gestión'!$O$63),"")</f>
        <v/>
      </c>
      <c r="AH34" s="55" t="str">
        <f>IF(AND('Riesgos de gestión'!$Y$58="Media",'Riesgos de gestión'!$AA$58="Catastrófico"),CONCATENATE("R9C",'Riesgos de gestión'!$O$58),"")</f>
        <v/>
      </c>
      <c r="AI34" s="56" t="str">
        <f>IF(AND('Riesgos de gestión'!$Y$59="Media",'Riesgos de gestión'!$AA$59="Catastrófico"),CONCATENATE("R9C",'Riesgos de gestión'!$O$59),"")</f>
        <v/>
      </c>
      <c r="AJ34" s="56" t="str">
        <f>IF(AND('Riesgos de gestión'!$Y$60="Media",'Riesgos de gestión'!$AA$60="Catastrófico"),CONCATENATE("R9C",'Riesgos de gestión'!$O$60),"")</f>
        <v/>
      </c>
      <c r="AK34" s="56" t="str">
        <f>IF(AND('Riesgos de gestión'!$Y$61="Media",'Riesgos de gestión'!$AA$61="Catastrófico"),CONCATENATE("R9C",'Riesgos de gestión'!$O$61),"")</f>
        <v/>
      </c>
      <c r="AL34" s="56" t="str">
        <f>IF(AND('Riesgos de gestión'!$Y$62="Media",'Riesgos de gestión'!$AA$62="Catastrófico"),CONCATENATE("R9C",'Riesgos de gestión'!$O$62),"")</f>
        <v/>
      </c>
      <c r="AM34" s="57" t="str">
        <f>IF(AND('Riesgos de gestión'!$Y$63="Media",'Riesgos de gestión'!$AA$63="Catastrófico"),CONCATENATE("R9C",'Riesgos de gestión'!$O$63),"")</f>
        <v/>
      </c>
      <c r="AN34" s="83"/>
      <c r="AO34" s="1231"/>
      <c r="AP34" s="1232"/>
      <c r="AQ34" s="1232"/>
      <c r="AR34" s="1232"/>
      <c r="AS34" s="1232"/>
      <c r="AT34" s="123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row>
    <row r="35" spans="1:80" ht="15.75" customHeight="1" thickBot="1" x14ac:dyDescent="0.3">
      <c r="A35" s="83"/>
      <c r="B35" s="1103"/>
      <c r="C35" s="1103"/>
      <c r="D35" s="1104"/>
      <c r="E35" s="1203"/>
      <c r="F35" s="1204"/>
      <c r="G35" s="1204"/>
      <c r="H35" s="1204"/>
      <c r="I35" s="1218"/>
      <c r="J35" s="67" t="str">
        <f>IF(AND('Riesgos de gestión'!$Y$64="Media",'Riesgos de gestión'!$AA$64="Leve"),CONCATENATE("R10C",'Riesgos de gestión'!$O$64),"")</f>
        <v/>
      </c>
      <c r="K35" s="68" t="str">
        <f>IF(AND('Riesgos de gestión'!$Y$65="Media",'Riesgos de gestión'!$AA$65="Leve"),CONCATENATE("R10C",'Riesgos de gestión'!$O$65),"")</f>
        <v/>
      </c>
      <c r="L35" s="68" t="str">
        <f>IF(AND('Riesgos de gestión'!$Y$66="Media",'Riesgos de gestión'!$AA$66="Leve"),CONCATENATE("R10C",'Riesgos de gestión'!$O$66),"")</f>
        <v/>
      </c>
      <c r="M35" s="68" t="str">
        <f>IF(AND('Riesgos de gestión'!$Y$67="Media",'Riesgos de gestión'!$AA$67="Leve"),CONCATENATE("R10C",'Riesgos de gestión'!$O$67),"")</f>
        <v/>
      </c>
      <c r="N35" s="68" t="str">
        <f>IF(AND('Riesgos de gestión'!$Y$68="Media",'Riesgos de gestión'!$AA$68="Leve"),CONCATENATE("R10C",'Riesgos de gestión'!$O$68),"")</f>
        <v/>
      </c>
      <c r="O35" s="69" t="str">
        <f>IF(AND('Riesgos de gestión'!$Y$69="Media",'Riesgos de gestión'!$AA$69="Leve"),CONCATENATE("R10C",'Riesgos de gestión'!$O$69),"")</f>
        <v/>
      </c>
      <c r="P35" s="67" t="str">
        <f>IF(AND('Riesgos de gestión'!$Y$64="Media",'Riesgos de gestión'!$AA$64="Menor"),CONCATENATE("R10C",'Riesgos de gestión'!$O$64),"")</f>
        <v/>
      </c>
      <c r="Q35" s="68" t="str">
        <f>IF(AND('Riesgos de gestión'!$Y$65="Media",'Riesgos de gestión'!$AA$65="Menor"),CONCATENATE("R10C",'Riesgos de gestión'!$O$65),"")</f>
        <v/>
      </c>
      <c r="R35" s="68" t="str">
        <f>IF(AND('Riesgos de gestión'!$Y$66="Media",'Riesgos de gestión'!$AA$66="Menor"),CONCATENATE("R10C",'Riesgos de gestión'!$O$66),"")</f>
        <v/>
      </c>
      <c r="S35" s="68" t="str">
        <f>IF(AND('Riesgos de gestión'!$Y$67="Media",'Riesgos de gestión'!$AA$67="Menor"),CONCATENATE("R10C",'Riesgos de gestión'!$O$67),"")</f>
        <v/>
      </c>
      <c r="T35" s="68" t="str">
        <f>IF(AND('Riesgos de gestión'!$Y$68="Media",'Riesgos de gestión'!$AA$68="Menor"),CONCATENATE("R10C",'Riesgos de gestión'!$O$68),"")</f>
        <v/>
      </c>
      <c r="U35" s="69" t="str">
        <f>IF(AND('Riesgos de gestión'!$Y$69="Media",'Riesgos de gestión'!$AA$69="Menor"),CONCATENATE("R10C",'Riesgos de gestión'!$O$69),"")</f>
        <v/>
      </c>
      <c r="V35" s="67" t="str">
        <f>IF(AND('Riesgos de gestión'!$Y$64="Media",'Riesgos de gestión'!$AA$64="Moderado"),CONCATENATE("R10C",'Riesgos de gestión'!$O$64),"")</f>
        <v/>
      </c>
      <c r="W35" s="68" t="str">
        <f>IF(AND('Riesgos de gestión'!$Y$65="Media",'Riesgos de gestión'!$AA$65="Moderado"),CONCATENATE("R10C",'Riesgos de gestión'!$O$65),"")</f>
        <v/>
      </c>
      <c r="X35" s="68" t="str">
        <f>IF(AND('Riesgos de gestión'!$Y$66="Media",'Riesgos de gestión'!$AA$66="Moderado"),CONCATENATE("R10C",'Riesgos de gestión'!$O$66),"")</f>
        <v/>
      </c>
      <c r="Y35" s="68" t="str">
        <f>IF(AND('Riesgos de gestión'!$Y$67="Media",'Riesgos de gestión'!$AA$67="Moderado"),CONCATENATE("R10C",'Riesgos de gestión'!$O$67),"")</f>
        <v/>
      </c>
      <c r="Z35" s="68" t="str">
        <f>IF(AND('Riesgos de gestión'!$Y$68="Media",'Riesgos de gestión'!$AA$68="Moderado"),CONCATENATE("R10C",'Riesgos de gestión'!$O$68),"")</f>
        <v/>
      </c>
      <c r="AA35" s="69" t="str">
        <f>IF(AND('Riesgos de gestión'!$Y$69="Media",'Riesgos de gestión'!$AA$69="Moderado"),CONCATENATE("R10C",'Riesgos de gestión'!$O$69),"")</f>
        <v/>
      </c>
      <c r="AB35" s="58" t="str">
        <f>IF(AND('Riesgos de gestión'!$Y$64="Media",'Riesgos de gestión'!$AA$64="Mayor"),CONCATENATE("R10C",'Riesgos de gestión'!$O$64),"")</f>
        <v/>
      </c>
      <c r="AC35" s="59" t="str">
        <f>IF(AND('Riesgos de gestión'!$Y$65="Media",'Riesgos de gestión'!$AA$65="Mayor"),CONCATENATE("R10C",'Riesgos de gestión'!$O$65),"")</f>
        <v/>
      </c>
      <c r="AD35" s="59" t="str">
        <f>IF(AND('Riesgos de gestión'!$Y$66="Media",'Riesgos de gestión'!$AA$66="Mayor"),CONCATENATE("R10C",'Riesgos de gestión'!$O$66),"")</f>
        <v/>
      </c>
      <c r="AE35" s="59" t="str">
        <f>IF(AND('Riesgos de gestión'!$Y$67="Media",'Riesgos de gestión'!$AA$67="Mayor"),CONCATENATE("R10C",'Riesgos de gestión'!$O$67),"")</f>
        <v/>
      </c>
      <c r="AF35" s="59" t="str">
        <f>IF(AND('Riesgos de gestión'!$Y$68="Media",'Riesgos de gestión'!$AA$68="Mayor"),CONCATENATE("R10C",'Riesgos de gestión'!$O$68),"")</f>
        <v/>
      </c>
      <c r="AG35" s="60" t="str">
        <f>IF(AND('Riesgos de gestión'!$Y$69="Media",'Riesgos de gestión'!$AA$69="Mayor"),CONCATENATE("R10C",'Riesgos de gestión'!$O$69),"")</f>
        <v/>
      </c>
      <c r="AH35" s="61" t="str">
        <f>IF(AND('Riesgos de gestión'!$Y$64="Media",'Riesgos de gestión'!$AA$64="Catastrófico"),CONCATENATE("R10C",'Riesgos de gestión'!$O$64),"")</f>
        <v/>
      </c>
      <c r="AI35" s="62" t="str">
        <f>IF(AND('Riesgos de gestión'!$Y$65="Media",'Riesgos de gestión'!$AA$65="Catastrófico"),CONCATENATE("R10C",'Riesgos de gestión'!$O$65),"")</f>
        <v/>
      </c>
      <c r="AJ35" s="62" t="str">
        <f>IF(AND('Riesgos de gestión'!$Y$66="Media",'Riesgos de gestión'!$AA$66="Catastrófico"),CONCATENATE("R10C",'Riesgos de gestión'!$O$66),"")</f>
        <v/>
      </c>
      <c r="AK35" s="62" t="str">
        <f>IF(AND('Riesgos de gestión'!$Y$67="Media",'Riesgos de gestión'!$AA$67="Catastrófico"),CONCATENATE("R10C",'Riesgos de gestión'!$O$67),"")</f>
        <v/>
      </c>
      <c r="AL35" s="62" t="str">
        <f>IF(AND('Riesgos de gestión'!$Y$68="Media",'Riesgos de gestión'!$AA$68="Catastrófico"),CONCATENATE("R10C",'Riesgos de gestión'!$O$68),"")</f>
        <v/>
      </c>
      <c r="AM35" s="63" t="str">
        <f>IF(AND('Riesgos de gestión'!$Y$69="Media",'Riesgos de gestión'!$AA$69="Catastrófico"),CONCATENATE("R10C",'Riesgos de gestión'!$O$69),"")</f>
        <v/>
      </c>
      <c r="AN35" s="83"/>
      <c r="AO35" s="1234"/>
      <c r="AP35" s="1235"/>
      <c r="AQ35" s="1235"/>
      <c r="AR35" s="1235"/>
      <c r="AS35" s="1235"/>
      <c r="AT35" s="1236"/>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row>
    <row r="36" spans="1:80" ht="15" customHeight="1" x14ac:dyDescent="0.25">
      <c r="A36" s="83"/>
      <c r="B36" s="1103"/>
      <c r="C36" s="1103"/>
      <c r="D36" s="1104"/>
      <c r="E36" s="1198" t="s">
        <v>114</v>
      </c>
      <c r="F36" s="1199"/>
      <c r="G36" s="1199"/>
      <c r="H36" s="1199"/>
      <c r="I36" s="1199"/>
      <c r="J36" s="73" t="str">
        <f ca="1">IF(AND('Riesgos de gestión'!$Y$10="Baja",'Riesgos de gestión'!$AA$10="Leve"),CONCATENATE("R1C",'Riesgos de gestión'!$O$10),"")</f>
        <v/>
      </c>
      <c r="K36" s="74" t="str">
        <f>IF(AND('Riesgos de gestión'!$Y$11="Baja",'Riesgos de gestión'!$AA$11="Leve"),CONCATENATE("R1C",'Riesgos de gestión'!$O$11),"")</f>
        <v/>
      </c>
      <c r="L36" s="74" t="str">
        <f>IF(AND('Riesgos de gestión'!$Y$12="Baja",'Riesgos de gestión'!$AA$12="Leve"),CONCATENATE("R1C",'Riesgos de gestión'!$O$12),"")</f>
        <v/>
      </c>
      <c r="M36" s="74" t="str">
        <f>IF(AND('Riesgos de gestión'!$Y$13="Baja",'Riesgos de gestión'!$AA$13="Leve"),CONCATENATE("R1C",'Riesgos de gestión'!$O$13),"")</f>
        <v/>
      </c>
      <c r="N36" s="74" t="str">
        <f>IF(AND('Riesgos de gestión'!$Y$14="Baja",'Riesgos de gestión'!$AA$14="Leve"),CONCATENATE("R1C",'Riesgos de gestión'!$O$14),"")</f>
        <v/>
      </c>
      <c r="O36" s="75" t="str">
        <f>IF(AND('Riesgos de gestión'!$Y$15="Baja",'Riesgos de gestión'!$AA$15="Leve"),CONCATENATE("R1C",'Riesgos de gestión'!$O$15),"")</f>
        <v/>
      </c>
      <c r="P36" s="64" t="str">
        <f ca="1">IF(AND('Riesgos de gestión'!$Y$10="Baja",'Riesgos de gestión'!$AA$10="Menor"),CONCATENATE("R1C",'Riesgos de gestión'!$O$10),"")</f>
        <v/>
      </c>
      <c r="Q36" s="65" t="str">
        <f>IF(AND('Riesgos de gestión'!$Y$11="Baja",'Riesgos de gestión'!$AA$11="Menor"),CONCATENATE("R1C",'Riesgos de gestión'!$O$11),"")</f>
        <v/>
      </c>
      <c r="R36" s="65" t="str">
        <f>IF(AND('Riesgos de gestión'!$Y$12="Baja",'Riesgos de gestión'!$AA$12="Menor"),CONCATENATE("R1C",'Riesgos de gestión'!$O$12),"")</f>
        <v/>
      </c>
      <c r="S36" s="65" t="str">
        <f>IF(AND('Riesgos de gestión'!$Y$13="Baja",'Riesgos de gestión'!$AA$13="Menor"),CONCATENATE("R1C",'Riesgos de gestión'!$O$13),"")</f>
        <v/>
      </c>
      <c r="T36" s="65" t="str">
        <f>IF(AND('Riesgos de gestión'!$Y$14="Baja",'Riesgos de gestión'!$AA$14="Menor"),CONCATENATE("R1C",'Riesgos de gestión'!$O$14),"")</f>
        <v/>
      </c>
      <c r="U36" s="66" t="str">
        <f>IF(AND('Riesgos de gestión'!$Y$15="Baja",'Riesgos de gestión'!$AA$15="Menor"),CONCATENATE("R1C",'Riesgos de gestión'!$O$15),"")</f>
        <v/>
      </c>
      <c r="V36" s="64" t="str">
        <f ca="1">IF(AND('Riesgos de gestión'!$Y$10="Baja",'Riesgos de gestión'!$AA$10="Moderado"),CONCATENATE("R1C",'Riesgos de gestión'!$O$10),"")</f>
        <v/>
      </c>
      <c r="W36" s="65" t="str">
        <f>IF(AND('Riesgos de gestión'!$Y$11="Baja",'Riesgos de gestión'!$AA$11="Moderado"),CONCATENATE("R1C",'Riesgos de gestión'!$O$11),"")</f>
        <v/>
      </c>
      <c r="X36" s="65" t="str">
        <f>IF(AND('Riesgos de gestión'!$Y$12="Baja",'Riesgos de gestión'!$AA$12="Moderado"),CONCATENATE("R1C",'Riesgos de gestión'!$O$12),"")</f>
        <v/>
      </c>
      <c r="Y36" s="65" t="str">
        <f>IF(AND('Riesgos de gestión'!$Y$13="Baja",'Riesgos de gestión'!$AA$13="Moderado"),CONCATENATE("R1C",'Riesgos de gestión'!$O$13),"")</f>
        <v/>
      </c>
      <c r="Z36" s="65" t="str">
        <f>IF(AND('Riesgos de gestión'!$Y$14="Baja",'Riesgos de gestión'!$AA$14="Moderado"),CONCATENATE("R1C",'Riesgos de gestión'!$O$14),"")</f>
        <v/>
      </c>
      <c r="AA36" s="66" t="str">
        <f>IF(AND('Riesgos de gestión'!$Y$15="Baja",'Riesgos de gestión'!$AA$15="Moderado"),CONCATENATE("R1C",'Riesgos de gestión'!$O$15),"")</f>
        <v/>
      </c>
      <c r="AB36" s="46" t="str">
        <f ca="1">IF(AND('Riesgos de gestión'!$Y$10="Baja",'Riesgos de gestión'!$AA$10="Mayor"),CONCATENATE("R1C",'Riesgos de gestión'!$O$10),"")</f>
        <v/>
      </c>
      <c r="AC36" s="47" t="str">
        <f>IF(AND('Riesgos de gestión'!$Y$11="Baja",'Riesgos de gestión'!$AA$11="Mayor"),CONCATENATE("R1C",'Riesgos de gestión'!$O$11),"")</f>
        <v/>
      </c>
      <c r="AD36" s="47" t="str">
        <f>IF(AND('Riesgos de gestión'!$Y$12="Baja",'Riesgos de gestión'!$AA$12="Mayor"),CONCATENATE("R1C",'Riesgos de gestión'!$O$12),"")</f>
        <v/>
      </c>
      <c r="AE36" s="47" t="str">
        <f>IF(AND('Riesgos de gestión'!$Y$13="Baja",'Riesgos de gestión'!$AA$13="Mayor"),CONCATENATE("R1C",'Riesgos de gestión'!$O$13),"")</f>
        <v/>
      </c>
      <c r="AF36" s="47" t="str">
        <f>IF(AND('Riesgos de gestión'!$Y$14="Baja",'Riesgos de gestión'!$AA$14="Mayor"),CONCATENATE("R1C",'Riesgos de gestión'!$O$14),"")</f>
        <v/>
      </c>
      <c r="AG36" s="48" t="str">
        <f>IF(AND('Riesgos de gestión'!$Y$15="Baja",'Riesgos de gestión'!$AA$15="Mayor"),CONCATENATE("R1C",'Riesgos de gestión'!$O$15),"")</f>
        <v/>
      </c>
      <c r="AH36" s="49" t="str">
        <f ca="1">IF(AND('Riesgos de gestión'!$Y$10="Baja",'Riesgos de gestión'!$AA$10="Catastrófico"),CONCATENATE("R1C",'Riesgos de gestión'!$O$10),"")</f>
        <v/>
      </c>
      <c r="AI36" s="50" t="str">
        <f>IF(AND('Riesgos de gestión'!$Y$11="Baja",'Riesgos de gestión'!$AA$11="Catastrófico"),CONCATENATE("R1C",'Riesgos de gestión'!$O$11),"")</f>
        <v/>
      </c>
      <c r="AJ36" s="50" t="str">
        <f>IF(AND('Riesgos de gestión'!$Y$12="Baja",'Riesgos de gestión'!$AA$12="Catastrófico"),CONCATENATE("R1C",'Riesgos de gestión'!$O$12),"")</f>
        <v/>
      </c>
      <c r="AK36" s="50" t="str">
        <f>IF(AND('Riesgos de gestión'!$Y$13="Baja",'Riesgos de gestión'!$AA$13="Catastrófico"),CONCATENATE("R1C",'Riesgos de gestión'!$O$13),"")</f>
        <v/>
      </c>
      <c r="AL36" s="50" t="str">
        <f>IF(AND('Riesgos de gestión'!$Y$14="Baja",'Riesgos de gestión'!$AA$14="Catastrófico"),CONCATENATE("R1C",'Riesgos de gestión'!$O$14),"")</f>
        <v/>
      </c>
      <c r="AM36" s="51" t="str">
        <f>IF(AND('Riesgos de gestión'!$Y$15="Baja",'Riesgos de gestión'!$AA$15="Catastrófico"),CONCATENATE("R1C",'Riesgos de gestión'!$O$15),"")</f>
        <v/>
      </c>
      <c r="AN36" s="83"/>
      <c r="AO36" s="1219" t="s">
        <v>82</v>
      </c>
      <c r="AP36" s="1220"/>
      <c r="AQ36" s="1220"/>
      <c r="AR36" s="1220"/>
      <c r="AS36" s="1220"/>
      <c r="AT36" s="1221"/>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row>
    <row r="37" spans="1:80" ht="15" customHeight="1" x14ac:dyDescent="0.25">
      <c r="A37" s="83"/>
      <c r="B37" s="1103"/>
      <c r="C37" s="1103"/>
      <c r="D37" s="1104"/>
      <c r="E37" s="1200"/>
      <c r="F37" s="1201"/>
      <c r="G37" s="1201"/>
      <c r="H37" s="1201"/>
      <c r="I37" s="1201"/>
      <c r="J37" s="76" t="str">
        <f>IF(AND('Riesgos de gestión'!$Y$16="Baja",'Riesgos de gestión'!$AA$16="Leve"),CONCATENATE("R2C",'Riesgos de gestión'!$O$16),"")</f>
        <v/>
      </c>
      <c r="K37" s="77" t="str">
        <f>IF(AND('Riesgos de gestión'!$Y$17="Baja",'Riesgos de gestión'!$AA$17="Leve"),CONCATENATE("R2C",'Riesgos de gestión'!$O$17),"")</f>
        <v/>
      </c>
      <c r="L37" s="77" t="str">
        <f>IF(AND('Riesgos de gestión'!$Y$18="Baja",'Riesgos de gestión'!$AA$18="Leve"),CONCATENATE("R2C",'Riesgos de gestión'!$O$18),"")</f>
        <v/>
      </c>
      <c r="M37" s="77" t="str">
        <f>IF(AND('Riesgos de gestión'!$Y$19="Baja",'Riesgos de gestión'!$AA$19="Leve"),CONCATENATE("R2C",'Riesgos de gestión'!$O$19),"")</f>
        <v/>
      </c>
      <c r="N37" s="77" t="str">
        <f>IF(AND('Riesgos de gestión'!$Y$20="Baja",'Riesgos de gestión'!$AA$20="Leve"),CONCATENATE("R2C",'Riesgos de gestión'!$O$20),"")</f>
        <v/>
      </c>
      <c r="O37" s="78" t="str">
        <f>IF(AND('Riesgos de gestión'!$Y$21="Baja",'Riesgos de gestión'!$AA$21="Leve"),CONCATENATE("R2C",'Riesgos de gestión'!$O$21),"")</f>
        <v/>
      </c>
      <c r="P37" s="67" t="str">
        <f>IF(AND('Riesgos de gestión'!$Y$16="Baja",'Riesgos de gestión'!$AA$16="Menor"),CONCATENATE("R2C",'Riesgos de gestión'!$O$16),"")</f>
        <v/>
      </c>
      <c r="Q37" s="68" t="str">
        <f>IF(AND('Riesgos de gestión'!$Y$17="Baja",'Riesgos de gestión'!$AA$17="Menor"),CONCATENATE("R2C",'Riesgos de gestión'!$O$17),"")</f>
        <v/>
      </c>
      <c r="R37" s="68" t="str">
        <f>IF(AND('Riesgos de gestión'!$Y$18="Baja",'Riesgos de gestión'!$AA$18="Menor"),CONCATENATE("R2C",'Riesgos de gestión'!$O$18),"")</f>
        <v/>
      </c>
      <c r="S37" s="68" t="str">
        <f>IF(AND('Riesgos de gestión'!$Y$19="Baja",'Riesgos de gestión'!$AA$19="Menor"),CONCATENATE("R2C",'Riesgos de gestión'!$O$19),"")</f>
        <v/>
      </c>
      <c r="T37" s="68" t="str">
        <f>IF(AND('Riesgos de gestión'!$Y$20="Baja",'Riesgos de gestión'!$AA$20="Menor"),CONCATENATE("R2C",'Riesgos de gestión'!$O$20),"")</f>
        <v/>
      </c>
      <c r="U37" s="69" t="str">
        <f>IF(AND('Riesgos de gestión'!$Y$21="Baja",'Riesgos de gestión'!$AA$21="Menor"),CONCATENATE("R2C",'Riesgos de gestión'!$O$21),"")</f>
        <v/>
      </c>
      <c r="V37" s="67" t="str">
        <f>IF(AND('Riesgos de gestión'!$Y$16="Baja",'Riesgos de gestión'!$AA$16="Moderado"),CONCATENATE("R2C",'Riesgos de gestión'!$O$16),"")</f>
        <v/>
      </c>
      <c r="W37" s="68" t="str">
        <f>IF(AND('Riesgos de gestión'!$Y$17="Baja",'Riesgos de gestión'!$AA$17="Moderado"),CONCATENATE("R2C",'Riesgos de gestión'!$O$17),"")</f>
        <v/>
      </c>
      <c r="X37" s="68" t="str">
        <f>IF(AND('Riesgos de gestión'!$Y$18="Baja",'Riesgos de gestión'!$AA$18="Moderado"),CONCATENATE("R2C",'Riesgos de gestión'!$O$18),"")</f>
        <v/>
      </c>
      <c r="Y37" s="68" t="str">
        <f>IF(AND('Riesgos de gestión'!$Y$19="Baja",'Riesgos de gestión'!$AA$19="Moderado"),CONCATENATE("R2C",'Riesgos de gestión'!$O$19),"")</f>
        <v/>
      </c>
      <c r="Z37" s="68" t="str">
        <f>IF(AND('Riesgos de gestión'!$Y$20="Baja",'Riesgos de gestión'!$AA$20="Moderado"),CONCATENATE("R2C",'Riesgos de gestión'!$O$20),"")</f>
        <v/>
      </c>
      <c r="AA37" s="69" t="str">
        <f>IF(AND('Riesgos de gestión'!$Y$21="Baja",'Riesgos de gestión'!$AA$21="Moderado"),CONCATENATE("R2C",'Riesgos de gestión'!$O$21),"")</f>
        <v/>
      </c>
      <c r="AB37" s="52" t="str">
        <f>IF(AND('Riesgos de gestión'!$Y$16="Baja",'Riesgos de gestión'!$AA$16="Mayor"),CONCATENATE("R2C",'Riesgos de gestión'!$O$16),"")</f>
        <v/>
      </c>
      <c r="AC37" s="53" t="str">
        <f>IF(AND('Riesgos de gestión'!$Y$17="Baja",'Riesgos de gestión'!$AA$17="Mayor"),CONCATENATE("R2C",'Riesgos de gestión'!$O$17),"")</f>
        <v/>
      </c>
      <c r="AD37" s="53" t="str">
        <f>IF(AND('Riesgos de gestión'!$Y$18="Baja",'Riesgos de gestión'!$AA$18="Mayor"),CONCATENATE("R2C",'Riesgos de gestión'!$O$18),"")</f>
        <v/>
      </c>
      <c r="AE37" s="53" t="str">
        <f>IF(AND('Riesgos de gestión'!$Y$19="Baja",'Riesgos de gestión'!$AA$19="Mayor"),CONCATENATE("R2C",'Riesgos de gestión'!$O$19),"")</f>
        <v/>
      </c>
      <c r="AF37" s="53" t="str">
        <f>IF(AND('Riesgos de gestión'!$Y$20="Baja",'Riesgos de gestión'!$AA$20="Mayor"),CONCATENATE("R2C",'Riesgos de gestión'!$O$20),"")</f>
        <v/>
      </c>
      <c r="AG37" s="54" t="str">
        <f>IF(AND('Riesgos de gestión'!$Y$21="Baja",'Riesgos de gestión'!$AA$21="Mayor"),CONCATENATE("R2C",'Riesgos de gestión'!$O$21),"")</f>
        <v/>
      </c>
      <c r="AH37" s="55" t="str">
        <f>IF(AND('Riesgos de gestión'!$Y$16="Baja",'Riesgos de gestión'!$AA$16="Catastrófico"),CONCATENATE("R2C",'Riesgos de gestión'!$O$16),"")</f>
        <v/>
      </c>
      <c r="AI37" s="56" t="str">
        <f>IF(AND('Riesgos de gestión'!$Y$17="Baja",'Riesgos de gestión'!$AA$17="Catastrófico"),CONCATENATE("R2C",'Riesgos de gestión'!$O$17),"")</f>
        <v/>
      </c>
      <c r="AJ37" s="56" t="str">
        <f>IF(AND('Riesgos de gestión'!$Y$18="Baja",'Riesgos de gestión'!$AA$18="Catastrófico"),CONCATENATE("R2C",'Riesgos de gestión'!$O$18),"")</f>
        <v/>
      </c>
      <c r="AK37" s="56" t="str">
        <f>IF(AND('Riesgos de gestión'!$Y$19="Baja",'Riesgos de gestión'!$AA$19="Catastrófico"),CONCATENATE("R2C",'Riesgos de gestión'!$O$19),"")</f>
        <v/>
      </c>
      <c r="AL37" s="56" t="str">
        <f>IF(AND('Riesgos de gestión'!$Y$20="Baja",'Riesgos de gestión'!$AA$20="Catastrófico"),CONCATENATE("R2C",'Riesgos de gestión'!$O$20),"")</f>
        <v/>
      </c>
      <c r="AM37" s="57" t="str">
        <f>IF(AND('Riesgos de gestión'!$Y$21="Baja",'Riesgos de gestión'!$AA$21="Catastrófico"),CONCATENATE("R2C",'Riesgos de gestión'!$O$21),"")</f>
        <v/>
      </c>
      <c r="AN37" s="83"/>
      <c r="AO37" s="1222"/>
      <c r="AP37" s="1223"/>
      <c r="AQ37" s="1223"/>
      <c r="AR37" s="1223"/>
      <c r="AS37" s="1223"/>
      <c r="AT37" s="1224"/>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row>
    <row r="38" spans="1:80" ht="15" customHeight="1" x14ac:dyDescent="0.25">
      <c r="A38" s="83"/>
      <c r="B38" s="1103"/>
      <c r="C38" s="1103"/>
      <c r="D38" s="1104"/>
      <c r="E38" s="1202"/>
      <c r="F38" s="1201"/>
      <c r="G38" s="1201"/>
      <c r="H38" s="1201"/>
      <c r="I38" s="1201"/>
      <c r="J38" s="76" t="str">
        <f>IF(AND('Riesgos de gestión'!$Y$22="Baja",'Riesgos de gestión'!$AA$22="Leve"),CONCATENATE("R3C",'Riesgos de gestión'!$O$22),"")</f>
        <v/>
      </c>
      <c r="K38" s="77" t="str">
        <f>IF(AND('Riesgos de gestión'!$Y$23="Baja",'Riesgos de gestión'!$AA$23="Leve"),CONCATENATE("R3C",'Riesgos de gestión'!$O$23),"")</f>
        <v/>
      </c>
      <c r="L38" s="77" t="str">
        <f>IF(AND('Riesgos de gestión'!$Y$24="Baja",'Riesgos de gestión'!$AA$24="Leve"),CONCATENATE("R3C",'Riesgos de gestión'!$O$24),"")</f>
        <v/>
      </c>
      <c r="M38" s="77" t="str">
        <f>IF(AND('Riesgos de gestión'!$Y$25="Baja",'Riesgos de gestión'!$AA$25="Leve"),CONCATENATE("R3C",'Riesgos de gestión'!$O$25),"")</f>
        <v/>
      </c>
      <c r="N38" s="77" t="str">
        <f>IF(AND('Riesgos de gestión'!$Y$26="Baja",'Riesgos de gestión'!$AA$26="Leve"),CONCATENATE("R3C",'Riesgos de gestión'!$O$26),"")</f>
        <v/>
      </c>
      <c r="O38" s="78" t="str">
        <f>IF(AND('Riesgos de gestión'!$Y$27="Baja",'Riesgos de gestión'!$AA$27="Leve"),CONCATENATE("R3C",'Riesgos de gestión'!$O$27),"")</f>
        <v/>
      </c>
      <c r="P38" s="67" t="str">
        <f>IF(AND('Riesgos de gestión'!$Y$22="Baja",'Riesgos de gestión'!$AA$22="Menor"),CONCATENATE("R3C",'Riesgos de gestión'!$O$22),"")</f>
        <v/>
      </c>
      <c r="Q38" s="68" t="str">
        <f>IF(AND('Riesgos de gestión'!$Y$23="Baja",'Riesgos de gestión'!$AA$23="Menor"),CONCATENATE("R3C",'Riesgos de gestión'!$O$23),"")</f>
        <v/>
      </c>
      <c r="R38" s="68" t="str">
        <f>IF(AND('Riesgos de gestión'!$Y$24="Baja",'Riesgos de gestión'!$AA$24="Menor"),CONCATENATE("R3C",'Riesgos de gestión'!$O$24),"")</f>
        <v/>
      </c>
      <c r="S38" s="68" t="str">
        <f>IF(AND('Riesgos de gestión'!$Y$25="Baja",'Riesgos de gestión'!$AA$25="Menor"),CONCATENATE("R3C",'Riesgos de gestión'!$O$25),"")</f>
        <v/>
      </c>
      <c r="T38" s="68" t="str">
        <f>IF(AND('Riesgos de gestión'!$Y$26="Baja",'Riesgos de gestión'!$AA$26="Menor"),CONCATENATE("R3C",'Riesgos de gestión'!$O$26),"")</f>
        <v/>
      </c>
      <c r="U38" s="69" t="str">
        <f>IF(AND('Riesgos de gestión'!$Y$27="Baja",'Riesgos de gestión'!$AA$27="Menor"),CONCATENATE("R3C",'Riesgos de gestión'!$O$27),"")</f>
        <v/>
      </c>
      <c r="V38" s="67" t="str">
        <f>IF(AND('Riesgos de gestión'!$Y$22="Baja",'Riesgos de gestión'!$AA$22="Moderado"),CONCATENATE("R3C",'Riesgos de gestión'!$O$22),"")</f>
        <v/>
      </c>
      <c r="W38" s="68" t="str">
        <f>IF(AND('Riesgos de gestión'!$Y$23="Baja",'Riesgos de gestión'!$AA$23="Moderado"),CONCATENATE("R3C",'Riesgos de gestión'!$O$23),"")</f>
        <v/>
      </c>
      <c r="X38" s="68" t="str">
        <f>IF(AND('Riesgos de gestión'!$Y$24="Baja",'Riesgos de gestión'!$AA$24="Moderado"),CONCATENATE("R3C",'Riesgos de gestión'!$O$24),"")</f>
        <v/>
      </c>
      <c r="Y38" s="68" t="str">
        <f>IF(AND('Riesgos de gestión'!$Y$25="Baja",'Riesgos de gestión'!$AA$25="Moderado"),CONCATENATE("R3C",'Riesgos de gestión'!$O$25),"")</f>
        <v/>
      </c>
      <c r="Z38" s="68" t="str">
        <f>IF(AND('Riesgos de gestión'!$Y$26="Baja",'Riesgos de gestión'!$AA$26="Moderado"),CONCATENATE("R3C",'Riesgos de gestión'!$O$26),"")</f>
        <v/>
      </c>
      <c r="AA38" s="69" t="str">
        <f>IF(AND('Riesgos de gestión'!$Y$27="Baja",'Riesgos de gestión'!$AA$27="Moderado"),CONCATENATE("R3C",'Riesgos de gestión'!$O$27),"")</f>
        <v/>
      </c>
      <c r="AB38" s="52" t="str">
        <f>IF(AND('Riesgos de gestión'!$Y$22="Baja",'Riesgos de gestión'!$AA$22="Mayor"),CONCATENATE("R3C",'Riesgos de gestión'!$O$22),"")</f>
        <v/>
      </c>
      <c r="AC38" s="53" t="str">
        <f>IF(AND('Riesgos de gestión'!$Y$23="Baja",'Riesgos de gestión'!$AA$23="Mayor"),CONCATENATE("R3C",'Riesgos de gestión'!$O$23),"")</f>
        <v/>
      </c>
      <c r="AD38" s="53" t="str">
        <f>IF(AND('Riesgos de gestión'!$Y$24="Baja",'Riesgos de gestión'!$AA$24="Mayor"),CONCATENATE("R3C",'Riesgos de gestión'!$O$24),"")</f>
        <v/>
      </c>
      <c r="AE38" s="53" t="str">
        <f>IF(AND('Riesgos de gestión'!$Y$25="Baja",'Riesgos de gestión'!$AA$25="Mayor"),CONCATENATE("R3C",'Riesgos de gestión'!$O$25),"")</f>
        <v/>
      </c>
      <c r="AF38" s="53" t="str">
        <f>IF(AND('Riesgos de gestión'!$Y$26="Baja",'Riesgos de gestión'!$AA$26="Mayor"),CONCATENATE("R3C",'Riesgos de gestión'!$O$26),"")</f>
        <v/>
      </c>
      <c r="AG38" s="54" t="str">
        <f>IF(AND('Riesgos de gestión'!$Y$27="Baja",'Riesgos de gestión'!$AA$27="Mayor"),CONCATENATE("R3C",'Riesgos de gestión'!$O$27),"")</f>
        <v/>
      </c>
      <c r="AH38" s="55" t="str">
        <f>IF(AND('Riesgos de gestión'!$Y$22="Baja",'Riesgos de gestión'!$AA$22="Catastrófico"),CONCATENATE("R3C",'Riesgos de gestión'!$O$22),"")</f>
        <v/>
      </c>
      <c r="AI38" s="56" t="str">
        <f>IF(AND('Riesgos de gestión'!$Y$23="Baja",'Riesgos de gestión'!$AA$23="Catastrófico"),CONCATENATE("R3C",'Riesgos de gestión'!$O$23),"")</f>
        <v/>
      </c>
      <c r="AJ38" s="56" t="str">
        <f>IF(AND('Riesgos de gestión'!$Y$24="Baja",'Riesgos de gestión'!$AA$24="Catastrófico"),CONCATENATE("R3C",'Riesgos de gestión'!$O$24),"")</f>
        <v/>
      </c>
      <c r="AK38" s="56" t="str">
        <f>IF(AND('Riesgos de gestión'!$Y$25="Baja",'Riesgos de gestión'!$AA$25="Catastrófico"),CONCATENATE("R3C",'Riesgos de gestión'!$O$25),"")</f>
        <v/>
      </c>
      <c r="AL38" s="56" t="str">
        <f>IF(AND('Riesgos de gestión'!$Y$26="Baja",'Riesgos de gestión'!$AA$26="Catastrófico"),CONCATENATE("R3C",'Riesgos de gestión'!$O$26),"")</f>
        <v/>
      </c>
      <c r="AM38" s="57" t="str">
        <f>IF(AND('Riesgos de gestión'!$Y$27="Baja",'Riesgos de gestión'!$AA$27="Catastrófico"),CONCATENATE("R3C",'Riesgos de gestión'!$O$27),"")</f>
        <v/>
      </c>
      <c r="AN38" s="83"/>
      <c r="AO38" s="1222"/>
      <c r="AP38" s="1223"/>
      <c r="AQ38" s="1223"/>
      <c r="AR38" s="1223"/>
      <c r="AS38" s="1223"/>
      <c r="AT38" s="1224"/>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row>
    <row r="39" spans="1:80" ht="15" customHeight="1" x14ac:dyDescent="0.25">
      <c r="A39" s="83"/>
      <c r="B39" s="1103"/>
      <c r="C39" s="1103"/>
      <c r="D39" s="1104"/>
      <c r="E39" s="1202"/>
      <c r="F39" s="1201"/>
      <c r="G39" s="1201"/>
      <c r="H39" s="1201"/>
      <c r="I39" s="1201"/>
      <c r="J39" s="76" t="str">
        <f>IF(AND('Riesgos de gestión'!$Y$28="Baja",'Riesgos de gestión'!$AA$28="Leve"),CONCATENATE("R4C",'Riesgos de gestión'!$O$28),"")</f>
        <v/>
      </c>
      <c r="K39" s="77" t="str">
        <f>IF(AND('Riesgos de gestión'!$Y$29="Baja",'Riesgos de gestión'!$AA$29="Leve"),CONCATENATE("R4C",'Riesgos de gestión'!$O$29),"")</f>
        <v/>
      </c>
      <c r="L39" s="77" t="str">
        <f>IF(AND('Riesgos de gestión'!$Y$30="Baja",'Riesgos de gestión'!$AA$30="Leve"),CONCATENATE("R4C",'Riesgos de gestión'!$O$30),"")</f>
        <v/>
      </c>
      <c r="M39" s="77" t="str">
        <f>IF(AND('Riesgos de gestión'!$Y$31="Baja",'Riesgos de gestión'!$AA$31="Leve"),CONCATENATE("R4C",'Riesgos de gestión'!$O$31),"")</f>
        <v/>
      </c>
      <c r="N39" s="77" t="str">
        <f>IF(AND('Riesgos de gestión'!$Y$32="Baja",'Riesgos de gestión'!$AA$32="Leve"),CONCATENATE("R4C",'Riesgos de gestión'!$O$32),"")</f>
        <v/>
      </c>
      <c r="O39" s="78" t="str">
        <f>IF(AND('Riesgos de gestión'!$Y$33="Baja",'Riesgos de gestión'!$AA$33="Leve"),CONCATENATE("R4C",'Riesgos de gestión'!$O$33),"")</f>
        <v/>
      </c>
      <c r="P39" s="67" t="str">
        <f>IF(AND('Riesgos de gestión'!$Y$28="Baja",'Riesgos de gestión'!$AA$28="Menor"),CONCATENATE("R4C",'Riesgos de gestión'!$O$28),"")</f>
        <v/>
      </c>
      <c r="Q39" s="68" t="str">
        <f>IF(AND('Riesgos de gestión'!$Y$29="Baja",'Riesgos de gestión'!$AA$29="Menor"),CONCATENATE("R4C",'Riesgos de gestión'!$O$29),"")</f>
        <v/>
      </c>
      <c r="R39" s="68" t="str">
        <f>IF(AND('Riesgos de gestión'!$Y$30="Baja",'Riesgos de gestión'!$AA$30="Menor"),CONCATENATE("R4C",'Riesgos de gestión'!$O$30),"")</f>
        <v/>
      </c>
      <c r="S39" s="68" t="str">
        <f>IF(AND('Riesgos de gestión'!$Y$31="Baja",'Riesgos de gestión'!$AA$31="Menor"),CONCATENATE("R4C",'Riesgos de gestión'!$O$31),"")</f>
        <v/>
      </c>
      <c r="T39" s="68" t="str">
        <f>IF(AND('Riesgos de gestión'!$Y$32="Baja",'Riesgos de gestión'!$AA$32="Menor"),CONCATENATE("R4C",'Riesgos de gestión'!$O$32),"")</f>
        <v/>
      </c>
      <c r="U39" s="69" t="str">
        <f>IF(AND('Riesgos de gestión'!$Y$33="Baja",'Riesgos de gestión'!$AA$33="Menor"),CONCATENATE("R4C",'Riesgos de gestión'!$O$33),"")</f>
        <v/>
      </c>
      <c r="V39" s="67" t="str">
        <f>IF(AND('Riesgos de gestión'!$Y$28="Baja",'Riesgos de gestión'!$AA$28="Moderado"),CONCATENATE("R4C",'Riesgos de gestión'!$O$28),"")</f>
        <v/>
      </c>
      <c r="W39" s="68" t="str">
        <f>IF(AND('Riesgos de gestión'!$Y$29="Baja",'Riesgos de gestión'!$AA$29="Moderado"),CONCATENATE("R4C",'Riesgos de gestión'!$O$29),"")</f>
        <v/>
      </c>
      <c r="X39" s="68" t="str">
        <f>IF(AND('Riesgos de gestión'!$Y$30="Baja",'Riesgos de gestión'!$AA$30="Moderado"),CONCATENATE("R4C",'Riesgos de gestión'!$O$30),"")</f>
        <v/>
      </c>
      <c r="Y39" s="68" t="str">
        <f>IF(AND('Riesgos de gestión'!$Y$31="Baja",'Riesgos de gestión'!$AA$31="Moderado"),CONCATENATE("R4C",'Riesgos de gestión'!$O$31),"")</f>
        <v/>
      </c>
      <c r="Z39" s="68" t="str">
        <f>IF(AND('Riesgos de gestión'!$Y$32="Baja",'Riesgos de gestión'!$AA$32="Moderado"),CONCATENATE("R4C",'Riesgos de gestión'!$O$32),"")</f>
        <v/>
      </c>
      <c r="AA39" s="69" t="str">
        <f>IF(AND('Riesgos de gestión'!$Y$33="Baja",'Riesgos de gestión'!$AA$33="Moderado"),CONCATENATE("R4C",'Riesgos de gestión'!$O$33),"")</f>
        <v/>
      </c>
      <c r="AB39" s="52" t="str">
        <f>IF(AND('Riesgos de gestión'!$Y$28="Baja",'Riesgos de gestión'!$AA$28="Mayor"),CONCATENATE("R4C",'Riesgos de gestión'!$O$28),"")</f>
        <v/>
      </c>
      <c r="AC39" s="53" t="str">
        <f>IF(AND('Riesgos de gestión'!$Y$29="Baja",'Riesgos de gestión'!$AA$29="Mayor"),CONCATENATE("R4C",'Riesgos de gestión'!$O$29),"")</f>
        <v/>
      </c>
      <c r="AD39" s="53" t="str">
        <f>IF(AND('Riesgos de gestión'!$Y$30="Baja",'Riesgos de gestión'!$AA$30="Mayor"),CONCATENATE("R4C",'Riesgos de gestión'!$O$30),"")</f>
        <v/>
      </c>
      <c r="AE39" s="53" t="str">
        <f>IF(AND('Riesgos de gestión'!$Y$31="Baja",'Riesgos de gestión'!$AA$31="Mayor"),CONCATENATE("R4C",'Riesgos de gestión'!$O$31),"")</f>
        <v/>
      </c>
      <c r="AF39" s="53" t="str">
        <f>IF(AND('Riesgos de gestión'!$Y$32="Baja",'Riesgos de gestión'!$AA$32="Mayor"),CONCATENATE("R4C",'Riesgos de gestión'!$O$32),"")</f>
        <v/>
      </c>
      <c r="AG39" s="54" t="str">
        <f>IF(AND('Riesgos de gestión'!$Y$33="Baja",'Riesgos de gestión'!$AA$33="Mayor"),CONCATENATE("R4C",'Riesgos de gestión'!$O$33),"")</f>
        <v/>
      </c>
      <c r="AH39" s="55" t="str">
        <f>IF(AND('Riesgos de gestión'!$Y$28="Baja",'Riesgos de gestión'!$AA$28="Catastrófico"),CONCATENATE("R4C",'Riesgos de gestión'!$O$28),"")</f>
        <v/>
      </c>
      <c r="AI39" s="56" t="str">
        <f>IF(AND('Riesgos de gestión'!$Y$29="Baja",'Riesgos de gestión'!$AA$29="Catastrófico"),CONCATENATE("R4C",'Riesgos de gestión'!$O$29),"")</f>
        <v/>
      </c>
      <c r="AJ39" s="56" t="str">
        <f>IF(AND('Riesgos de gestión'!$Y$30="Baja",'Riesgos de gestión'!$AA$30="Catastrófico"),CONCATENATE("R4C",'Riesgos de gestión'!$O$30),"")</f>
        <v/>
      </c>
      <c r="AK39" s="56" t="str">
        <f>IF(AND('Riesgos de gestión'!$Y$31="Baja",'Riesgos de gestión'!$AA$31="Catastrófico"),CONCATENATE("R4C",'Riesgos de gestión'!$O$31),"")</f>
        <v/>
      </c>
      <c r="AL39" s="56" t="str">
        <f>IF(AND('Riesgos de gestión'!$Y$32="Baja",'Riesgos de gestión'!$AA$32="Catastrófico"),CONCATENATE("R4C",'Riesgos de gestión'!$O$32),"")</f>
        <v/>
      </c>
      <c r="AM39" s="57" t="str">
        <f>IF(AND('Riesgos de gestión'!$Y$33="Baja",'Riesgos de gestión'!$AA$33="Catastrófico"),CONCATENATE("R4C",'Riesgos de gestión'!$O$33),"")</f>
        <v/>
      </c>
      <c r="AN39" s="83"/>
      <c r="AO39" s="1222"/>
      <c r="AP39" s="1223"/>
      <c r="AQ39" s="1223"/>
      <c r="AR39" s="1223"/>
      <c r="AS39" s="1223"/>
      <c r="AT39" s="1224"/>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row>
    <row r="40" spans="1:80" ht="15" customHeight="1" x14ac:dyDescent="0.25">
      <c r="A40" s="83"/>
      <c r="B40" s="1103"/>
      <c r="C40" s="1103"/>
      <c r="D40" s="1104"/>
      <c r="E40" s="1202"/>
      <c r="F40" s="1201"/>
      <c r="G40" s="1201"/>
      <c r="H40" s="1201"/>
      <c r="I40" s="1201"/>
      <c r="J40" s="76" t="str">
        <f>IF(AND('Riesgos de gestión'!$Y$34="Baja",'Riesgos de gestión'!$AA$34="Leve"),CONCATENATE("R5C",'Riesgos de gestión'!$O$34),"")</f>
        <v/>
      </c>
      <c r="K40" s="77" t="str">
        <f>IF(AND('Riesgos de gestión'!$Y$35="Baja",'Riesgos de gestión'!$AA$35="Leve"),CONCATENATE("R5C",'Riesgos de gestión'!$O$35),"")</f>
        <v/>
      </c>
      <c r="L40" s="77" t="str">
        <f>IF(AND('Riesgos de gestión'!$Y$36="Baja",'Riesgos de gestión'!$AA$36="Leve"),CONCATENATE("R5C",'Riesgos de gestión'!$O$36),"")</f>
        <v/>
      </c>
      <c r="M40" s="77" t="str">
        <f>IF(AND('Riesgos de gestión'!$Y$37="Baja",'Riesgos de gestión'!$AA$37="Leve"),CONCATENATE("R5C",'Riesgos de gestión'!$O$37),"")</f>
        <v/>
      </c>
      <c r="N40" s="77" t="str">
        <f>IF(AND('Riesgos de gestión'!$Y$38="Baja",'Riesgos de gestión'!$AA$38="Leve"),CONCATENATE("R5C",'Riesgos de gestión'!$O$38),"")</f>
        <v/>
      </c>
      <c r="O40" s="78" t="str">
        <f>IF(AND('Riesgos de gestión'!$Y$39="Baja",'Riesgos de gestión'!$AA$39="Leve"),CONCATENATE("R5C",'Riesgos de gestión'!$O$39),"")</f>
        <v/>
      </c>
      <c r="P40" s="67" t="str">
        <f>IF(AND('Riesgos de gestión'!$Y$34="Baja",'Riesgos de gestión'!$AA$34="Menor"),CONCATENATE("R5C",'Riesgos de gestión'!$O$34),"")</f>
        <v/>
      </c>
      <c r="Q40" s="68" t="str">
        <f>IF(AND('Riesgos de gestión'!$Y$35="Baja",'Riesgos de gestión'!$AA$35="Menor"),CONCATENATE("R5C",'Riesgos de gestión'!$O$35),"")</f>
        <v/>
      </c>
      <c r="R40" s="68" t="str">
        <f>IF(AND('Riesgos de gestión'!$Y$36="Baja",'Riesgos de gestión'!$AA$36="Menor"),CONCATENATE("R5C",'Riesgos de gestión'!$O$36),"")</f>
        <v/>
      </c>
      <c r="S40" s="68" t="str">
        <f>IF(AND('Riesgos de gestión'!$Y$37="Baja",'Riesgos de gestión'!$AA$37="Menor"),CONCATENATE("R5C",'Riesgos de gestión'!$O$37),"")</f>
        <v/>
      </c>
      <c r="T40" s="68" t="str">
        <f>IF(AND('Riesgos de gestión'!$Y$38="Baja",'Riesgos de gestión'!$AA$38="Menor"),CONCATENATE("R5C",'Riesgos de gestión'!$O$38),"")</f>
        <v/>
      </c>
      <c r="U40" s="69" t="str">
        <f>IF(AND('Riesgos de gestión'!$Y$39="Baja",'Riesgos de gestión'!$AA$39="Menor"),CONCATENATE("R5C",'Riesgos de gestión'!$O$39),"")</f>
        <v/>
      </c>
      <c r="V40" s="67" t="str">
        <f>IF(AND('Riesgos de gestión'!$Y$34="Baja",'Riesgos de gestión'!$AA$34="Moderado"),CONCATENATE("R5C",'Riesgos de gestión'!$O$34),"")</f>
        <v/>
      </c>
      <c r="W40" s="68" t="str">
        <f>IF(AND('Riesgos de gestión'!$Y$35="Baja",'Riesgos de gestión'!$AA$35="Moderado"),CONCATENATE("R5C",'Riesgos de gestión'!$O$35),"")</f>
        <v/>
      </c>
      <c r="X40" s="68" t="str">
        <f>IF(AND('Riesgos de gestión'!$Y$36="Baja",'Riesgos de gestión'!$AA$36="Moderado"),CONCATENATE("R5C",'Riesgos de gestión'!$O$36),"")</f>
        <v/>
      </c>
      <c r="Y40" s="68" t="str">
        <f>IF(AND('Riesgos de gestión'!$Y$37="Baja",'Riesgos de gestión'!$AA$37="Moderado"),CONCATENATE("R5C",'Riesgos de gestión'!$O$37),"")</f>
        <v/>
      </c>
      <c r="Z40" s="68" t="str">
        <f>IF(AND('Riesgos de gestión'!$Y$38="Baja",'Riesgos de gestión'!$AA$38="Moderado"),CONCATENATE("R5C",'Riesgos de gestión'!$O$38),"")</f>
        <v/>
      </c>
      <c r="AA40" s="69" t="str">
        <f>IF(AND('Riesgos de gestión'!$Y$39="Baja",'Riesgos de gestión'!$AA$39="Moderado"),CONCATENATE("R5C",'Riesgos de gestión'!$O$39),"")</f>
        <v/>
      </c>
      <c r="AB40" s="52" t="str">
        <f>IF(AND('Riesgos de gestión'!$Y$34="Baja",'Riesgos de gestión'!$AA$34="Mayor"),CONCATENATE("R5C",'Riesgos de gestión'!$O$34),"")</f>
        <v/>
      </c>
      <c r="AC40" s="53" t="str">
        <f>IF(AND('Riesgos de gestión'!$Y$35="Baja",'Riesgos de gestión'!$AA$35="Mayor"),CONCATENATE("R5C",'Riesgos de gestión'!$O$35),"")</f>
        <v/>
      </c>
      <c r="AD40" s="53" t="str">
        <f>IF(AND('Riesgos de gestión'!$Y$36="Baja",'Riesgos de gestión'!$AA$36="Mayor"),CONCATENATE("R5C",'Riesgos de gestión'!$O$36),"")</f>
        <v/>
      </c>
      <c r="AE40" s="53" t="str">
        <f>IF(AND('Riesgos de gestión'!$Y$37="Baja",'Riesgos de gestión'!$AA$37="Mayor"),CONCATENATE("R5C",'Riesgos de gestión'!$O$37),"")</f>
        <v/>
      </c>
      <c r="AF40" s="53" t="str">
        <f>IF(AND('Riesgos de gestión'!$Y$38="Baja",'Riesgos de gestión'!$AA$38="Mayor"),CONCATENATE("R5C",'Riesgos de gestión'!$O$38),"")</f>
        <v/>
      </c>
      <c r="AG40" s="54" t="str">
        <f>IF(AND('Riesgos de gestión'!$Y$39="Baja",'Riesgos de gestión'!$AA$39="Mayor"),CONCATENATE("R5C",'Riesgos de gestión'!$O$39),"")</f>
        <v/>
      </c>
      <c r="AH40" s="55" t="str">
        <f>IF(AND('Riesgos de gestión'!$Y$34="Baja",'Riesgos de gestión'!$AA$34="Catastrófico"),CONCATENATE("R5C",'Riesgos de gestión'!$O$34),"")</f>
        <v/>
      </c>
      <c r="AI40" s="56" t="str">
        <f>IF(AND('Riesgos de gestión'!$Y$35="Baja",'Riesgos de gestión'!$AA$35="Catastrófico"),CONCATENATE("R5C",'Riesgos de gestión'!$O$35),"")</f>
        <v/>
      </c>
      <c r="AJ40" s="56" t="str">
        <f>IF(AND('Riesgos de gestión'!$Y$36="Baja",'Riesgos de gestión'!$AA$36="Catastrófico"),CONCATENATE("R5C",'Riesgos de gestión'!$O$36),"")</f>
        <v/>
      </c>
      <c r="AK40" s="56" t="str">
        <f>IF(AND('Riesgos de gestión'!$Y$37="Baja",'Riesgos de gestión'!$AA$37="Catastrófico"),CONCATENATE("R5C",'Riesgos de gestión'!$O$37),"")</f>
        <v/>
      </c>
      <c r="AL40" s="56" t="str">
        <f>IF(AND('Riesgos de gestión'!$Y$38="Baja",'Riesgos de gestión'!$AA$38="Catastrófico"),CONCATENATE("R5C",'Riesgos de gestión'!$O$38),"")</f>
        <v/>
      </c>
      <c r="AM40" s="57" t="str">
        <f>IF(AND('Riesgos de gestión'!$Y$39="Baja",'Riesgos de gestión'!$AA$39="Catastrófico"),CONCATENATE("R5C",'Riesgos de gestión'!$O$39),"")</f>
        <v/>
      </c>
      <c r="AN40" s="83"/>
      <c r="AO40" s="1222"/>
      <c r="AP40" s="1223"/>
      <c r="AQ40" s="1223"/>
      <c r="AR40" s="1223"/>
      <c r="AS40" s="1223"/>
      <c r="AT40" s="1224"/>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row>
    <row r="41" spans="1:80" ht="15" customHeight="1" x14ac:dyDescent="0.25">
      <c r="A41" s="83"/>
      <c r="B41" s="1103"/>
      <c r="C41" s="1103"/>
      <c r="D41" s="1104"/>
      <c r="E41" s="1202"/>
      <c r="F41" s="1201"/>
      <c r="G41" s="1201"/>
      <c r="H41" s="1201"/>
      <c r="I41" s="1201"/>
      <c r="J41" s="76" t="str">
        <f>IF(AND('Riesgos de gestión'!$Y$40="Baja",'Riesgos de gestión'!$AA$40="Leve"),CONCATENATE("R6C",'Riesgos de gestión'!$O$40),"")</f>
        <v/>
      </c>
      <c r="K41" s="77" t="str">
        <f>IF(AND('Riesgos de gestión'!$Y$41="Baja",'Riesgos de gestión'!$AA$41="Leve"),CONCATENATE("R6C",'Riesgos de gestión'!$O$41),"")</f>
        <v/>
      </c>
      <c r="L41" s="77" t="str">
        <f>IF(AND('Riesgos de gestión'!$Y$42="Baja",'Riesgos de gestión'!$AA$42="Leve"),CONCATENATE("R6C",'Riesgos de gestión'!$O$42),"")</f>
        <v/>
      </c>
      <c r="M41" s="77" t="str">
        <f>IF(AND('Riesgos de gestión'!$Y$43="Baja",'Riesgos de gestión'!$AA$43="Leve"),CONCATENATE("R6C",'Riesgos de gestión'!$O$43),"")</f>
        <v/>
      </c>
      <c r="N41" s="77" t="str">
        <f>IF(AND('Riesgos de gestión'!$Y$44="Baja",'Riesgos de gestión'!$AA$44="Leve"),CONCATENATE("R6C",'Riesgos de gestión'!$O$44),"")</f>
        <v/>
      </c>
      <c r="O41" s="78" t="str">
        <f>IF(AND('Riesgos de gestión'!$Y$45="Baja",'Riesgos de gestión'!$AA$45="Leve"),CONCATENATE("R6C",'Riesgos de gestión'!$O$45),"")</f>
        <v/>
      </c>
      <c r="P41" s="67" t="str">
        <f>IF(AND('Riesgos de gestión'!$Y$40="Baja",'Riesgos de gestión'!$AA$40="Menor"),CONCATENATE("R6C",'Riesgos de gestión'!$O$40),"")</f>
        <v/>
      </c>
      <c r="Q41" s="68" t="str">
        <f>IF(AND('Riesgos de gestión'!$Y$41="Baja",'Riesgos de gestión'!$AA$41="Menor"),CONCATENATE("R6C",'Riesgos de gestión'!$O$41),"")</f>
        <v/>
      </c>
      <c r="R41" s="68" t="str">
        <f>IF(AND('Riesgos de gestión'!$Y$42="Baja",'Riesgos de gestión'!$AA$42="Menor"),CONCATENATE("R6C",'Riesgos de gestión'!$O$42),"")</f>
        <v/>
      </c>
      <c r="S41" s="68" t="str">
        <f>IF(AND('Riesgos de gestión'!$Y$43="Baja",'Riesgos de gestión'!$AA$43="Menor"),CONCATENATE("R6C",'Riesgos de gestión'!$O$43),"")</f>
        <v/>
      </c>
      <c r="T41" s="68" t="str">
        <f>IF(AND('Riesgos de gestión'!$Y$44="Baja",'Riesgos de gestión'!$AA$44="Menor"),CONCATENATE("R6C",'Riesgos de gestión'!$O$44),"")</f>
        <v/>
      </c>
      <c r="U41" s="69" t="str">
        <f>IF(AND('Riesgos de gestión'!$Y$45="Baja",'Riesgos de gestión'!$AA$45="Menor"),CONCATENATE("R6C",'Riesgos de gestión'!$O$45),"")</f>
        <v/>
      </c>
      <c r="V41" s="67" t="str">
        <f>IF(AND('Riesgos de gestión'!$Y$40="Baja",'Riesgos de gestión'!$AA$40="Moderado"),CONCATENATE("R6C",'Riesgos de gestión'!$O$40),"")</f>
        <v/>
      </c>
      <c r="W41" s="68" t="str">
        <f>IF(AND('Riesgos de gestión'!$Y$41="Baja",'Riesgos de gestión'!$AA$41="Moderado"),CONCATENATE("R6C",'Riesgos de gestión'!$O$41),"")</f>
        <v/>
      </c>
      <c r="X41" s="68" t="str">
        <f>IF(AND('Riesgos de gestión'!$Y$42="Baja",'Riesgos de gestión'!$AA$42="Moderado"),CONCATENATE("R6C",'Riesgos de gestión'!$O$42),"")</f>
        <v/>
      </c>
      <c r="Y41" s="68" t="str">
        <f>IF(AND('Riesgos de gestión'!$Y$43="Baja",'Riesgos de gestión'!$AA$43="Moderado"),CONCATENATE("R6C",'Riesgos de gestión'!$O$43),"")</f>
        <v/>
      </c>
      <c r="Z41" s="68" t="str">
        <f>IF(AND('Riesgos de gestión'!$Y$44="Baja",'Riesgos de gestión'!$AA$44="Moderado"),CONCATENATE("R6C",'Riesgos de gestión'!$O$44),"")</f>
        <v/>
      </c>
      <c r="AA41" s="69" t="str">
        <f>IF(AND('Riesgos de gestión'!$Y$45="Baja",'Riesgos de gestión'!$AA$45="Moderado"),CONCATENATE("R6C",'Riesgos de gestión'!$O$45),"")</f>
        <v/>
      </c>
      <c r="AB41" s="52" t="str">
        <f>IF(AND('Riesgos de gestión'!$Y$40="Baja",'Riesgos de gestión'!$AA$40="Mayor"),CONCATENATE("R6C",'Riesgos de gestión'!$O$40),"")</f>
        <v/>
      </c>
      <c r="AC41" s="53" t="str">
        <f>IF(AND('Riesgos de gestión'!$Y$41="Baja",'Riesgos de gestión'!$AA$41="Mayor"),CONCATENATE("R6C",'Riesgos de gestión'!$O$41),"")</f>
        <v/>
      </c>
      <c r="AD41" s="53" t="str">
        <f>IF(AND('Riesgos de gestión'!$Y$42="Baja",'Riesgos de gestión'!$AA$42="Mayor"),CONCATENATE("R6C",'Riesgos de gestión'!$O$42),"")</f>
        <v/>
      </c>
      <c r="AE41" s="53" t="str">
        <f>IF(AND('Riesgos de gestión'!$Y$43="Baja",'Riesgos de gestión'!$AA$43="Mayor"),CONCATENATE("R6C",'Riesgos de gestión'!$O$43),"")</f>
        <v/>
      </c>
      <c r="AF41" s="53" t="str">
        <f>IF(AND('Riesgos de gestión'!$Y$44="Baja",'Riesgos de gestión'!$AA$44="Mayor"),CONCATENATE("R6C",'Riesgos de gestión'!$O$44),"")</f>
        <v/>
      </c>
      <c r="AG41" s="54" t="str">
        <f>IF(AND('Riesgos de gestión'!$Y$45="Baja",'Riesgos de gestión'!$AA$45="Mayor"),CONCATENATE("R6C",'Riesgos de gestión'!$O$45),"")</f>
        <v/>
      </c>
      <c r="AH41" s="55" t="str">
        <f>IF(AND('Riesgos de gestión'!$Y$40="Baja",'Riesgos de gestión'!$AA$40="Catastrófico"),CONCATENATE("R6C",'Riesgos de gestión'!$O$40),"")</f>
        <v/>
      </c>
      <c r="AI41" s="56" t="str">
        <f>IF(AND('Riesgos de gestión'!$Y$41="Baja",'Riesgos de gestión'!$AA$41="Catastrófico"),CONCATENATE("R6C",'Riesgos de gestión'!$O$41),"")</f>
        <v/>
      </c>
      <c r="AJ41" s="56" t="str">
        <f>IF(AND('Riesgos de gestión'!$Y$42="Baja",'Riesgos de gestión'!$AA$42="Catastrófico"),CONCATENATE("R6C",'Riesgos de gestión'!$O$42),"")</f>
        <v/>
      </c>
      <c r="AK41" s="56" t="str">
        <f>IF(AND('Riesgos de gestión'!$Y$43="Baja",'Riesgos de gestión'!$AA$43="Catastrófico"),CONCATENATE("R6C",'Riesgos de gestión'!$O$43),"")</f>
        <v/>
      </c>
      <c r="AL41" s="56" t="str">
        <f>IF(AND('Riesgos de gestión'!$Y$44="Baja",'Riesgos de gestión'!$AA$44="Catastrófico"),CONCATENATE("R6C",'Riesgos de gestión'!$O$44),"")</f>
        <v/>
      </c>
      <c r="AM41" s="57" t="str">
        <f>IF(AND('Riesgos de gestión'!$Y$45="Baja",'Riesgos de gestión'!$AA$45="Catastrófico"),CONCATENATE("R6C",'Riesgos de gestión'!$O$45),"")</f>
        <v/>
      </c>
      <c r="AN41" s="83"/>
      <c r="AO41" s="1222"/>
      <c r="AP41" s="1223"/>
      <c r="AQ41" s="1223"/>
      <c r="AR41" s="1223"/>
      <c r="AS41" s="1223"/>
      <c r="AT41" s="1224"/>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row>
    <row r="42" spans="1:80" ht="15" customHeight="1" x14ac:dyDescent="0.25">
      <c r="A42" s="83"/>
      <c r="B42" s="1103"/>
      <c r="C42" s="1103"/>
      <c r="D42" s="1104"/>
      <c r="E42" s="1202"/>
      <c r="F42" s="1201"/>
      <c r="G42" s="1201"/>
      <c r="H42" s="1201"/>
      <c r="I42" s="1201"/>
      <c r="J42" s="76" t="str">
        <f>IF(AND('Riesgos de gestión'!$Y$46="Baja",'Riesgos de gestión'!$AA$46="Leve"),CONCATENATE("R7C",'Riesgos de gestión'!$O$46),"")</f>
        <v/>
      </c>
      <c r="K42" s="77" t="str">
        <f>IF(AND('Riesgos de gestión'!$Y$47="Baja",'Riesgos de gestión'!$AA$47="Leve"),CONCATENATE("R7C",'Riesgos de gestión'!$O$47),"")</f>
        <v/>
      </c>
      <c r="L42" s="77" t="str">
        <f>IF(AND('Riesgos de gestión'!$Y$48="Baja",'Riesgos de gestión'!$AA$48="Leve"),CONCATENATE("R7C",'Riesgos de gestión'!$O$48),"")</f>
        <v/>
      </c>
      <c r="M42" s="77" t="str">
        <f>IF(AND('Riesgos de gestión'!$Y$49="Baja",'Riesgos de gestión'!$AA$49="Leve"),CONCATENATE("R7C",'Riesgos de gestión'!$O$49),"")</f>
        <v/>
      </c>
      <c r="N42" s="77" t="str">
        <f>IF(AND('Riesgos de gestión'!$Y$50="Baja",'Riesgos de gestión'!$AA$50="Leve"),CONCATENATE("R7C",'Riesgos de gestión'!$O$50),"")</f>
        <v/>
      </c>
      <c r="O42" s="78" t="str">
        <f>IF(AND('Riesgos de gestión'!$Y$51="Baja",'Riesgos de gestión'!$AA$51="Leve"),CONCATENATE("R7C",'Riesgos de gestión'!$O$51),"")</f>
        <v/>
      </c>
      <c r="P42" s="67" t="str">
        <f>IF(AND('Riesgos de gestión'!$Y$46="Baja",'Riesgos de gestión'!$AA$46="Menor"),CONCATENATE("R7C",'Riesgos de gestión'!$O$46),"")</f>
        <v/>
      </c>
      <c r="Q42" s="68" t="str">
        <f>IF(AND('Riesgos de gestión'!$Y$47="Baja",'Riesgos de gestión'!$AA$47="Menor"),CONCATENATE("R7C",'Riesgos de gestión'!$O$47),"")</f>
        <v/>
      </c>
      <c r="R42" s="68" t="str">
        <f>IF(AND('Riesgos de gestión'!$Y$48="Baja",'Riesgos de gestión'!$AA$48="Menor"),CONCATENATE("R7C",'Riesgos de gestión'!$O$48),"")</f>
        <v/>
      </c>
      <c r="S42" s="68" t="str">
        <f>IF(AND('Riesgos de gestión'!$Y$49="Baja",'Riesgos de gestión'!$AA$49="Menor"),CONCATENATE("R7C",'Riesgos de gestión'!$O$49),"")</f>
        <v/>
      </c>
      <c r="T42" s="68" t="str">
        <f>IF(AND('Riesgos de gestión'!$Y$50="Baja",'Riesgos de gestión'!$AA$50="Menor"),CONCATENATE("R7C",'Riesgos de gestión'!$O$50),"")</f>
        <v/>
      </c>
      <c r="U42" s="69" t="str">
        <f>IF(AND('Riesgos de gestión'!$Y$51="Baja",'Riesgos de gestión'!$AA$51="Menor"),CONCATENATE("R7C",'Riesgos de gestión'!$O$51),"")</f>
        <v/>
      </c>
      <c r="V42" s="67" t="str">
        <f>IF(AND('Riesgos de gestión'!$Y$46="Baja",'Riesgos de gestión'!$AA$46="Moderado"),CONCATENATE("R7C",'Riesgos de gestión'!$O$46),"")</f>
        <v/>
      </c>
      <c r="W42" s="68" t="str">
        <f>IF(AND('Riesgos de gestión'!$Y$47="Baja",'Riesgos de gestión'!$AA$47="Moderado"),CONCATENATE("R7C",'Riesgos de gestión'!$O$47),"")</f>
        <v/>
      </c>
      <c r="X42" s="68" t="str">
        <f>IF(AND('Riesgos de gestión'!$Y$48="Baja",'Riesgos de gestión'!$AA$48="Moderado"),CONCATENATE("R7C",'Riesgos de gestión'!$O$48),"")</f>
        <v/>
      </c>
      <c r="Y42" s="68" t="str">
        <f>IF(AND('Riesgos de gestión'!$Y$49="Baja",'Riesgos de gestión'!$AA$49="Moderado"),CONCATENATE("R7C",'Riesgos de gestión'!$O$49),"")</f>
        <v/>
      </c>
      <c r="Z42" s="68" t="str">
        <f>IF(AND('Riesgos de gestión'!$Y$50="Baja",'Riesgos de gestión'!$AA$50="Moderado"),CONCATENATE("R7C",'Riesgos de gestión'!$O$50),"")</f>
        <v/>
      </c>
      <c r="AA42" s="69" t="str">
        <f>IF(AND('Riesgos de gestión'!$Y$51="Baja",'Riesgos de gestión'!$AA$51="Moderado"),CONCATENATE("R7C",'Riesgos de gestión'!$O$51),"")</f>
        <v/>
      </c>
      <c r="AB42" s="52" t="str">
        <f>IF(AND('Riesgos de gestión'!$Y$46="Baja",'Riesgos de gestión'!$AA$46="Mayor"),CONCATENATE("R7C",'Riesgos de gestión'!$O$46),"")</f>
        <v/>
      </c>
      <c r="AC42" s="53" t="str">
        <f>IF(AND('Riesgos de gestión'!$Y$47="Baja",'Riesgos de gestión'!$AA$47="Mayor"),CONCATENATE("R7C",'Riesgos de gestión'!$O$47),"")</f>
        <v/>
      </c>
      <c r="AD42" s="53" t="str">
        <f>IF(AND('Riesgos de gestión'!$Y$48="Baja",'Riesgos de gestión'!$AA$48="Mayor"),CONCATENATE("R7C",'Riesgos de gestión'!$O$48),"")</f>
        <v/>
      </c>
      <c r="AE42" s="53" t="str">
        <f>IF(AND('Riesgos de gestión'!$Y$49="Baja",'Riesgos de gestión'!$AA$49="Mayor"),CONCATENATE("R7C",'Riesgos de gestión'!$O$49),"")</f>
        <v/>
      </c>
      <c r="AF42" s="53" t="str">
        <f>IF(AND('Riesgos de gestión'!$Y$50="Baja",'Riesgos de gestión'!$AA$50="Mayor"),CONCATENATE("R7C",'Riesgos de gestión'!$O$50),"")</f>
        <v/>
      </c>
      <c r="AG42" s="54" t="str">
        <f>IF(AND('Riesgos de gestión'!$Y$51="Baja",'Riesgos de gestión'!$AA$51="Mayor"),CONCATENATE("R7C",'Riesgos de gestión'!$O$51),"")</f>
        <v/>
      </c>
      <c r="AH42" s="55" t="str">
        <f>IF(AND('Riesgos de gestión'!$Y$46="Baja",'Riesgos de gestión'!$AA$46="Catastrófico"),CONCATENATE("R7C",'Riesgos de gestión'!$O$46),"")</f>
        <v/>
      </c>
      <c r="AI42" s="56" t="str">
        <f>IF(AND('Riesgos de gestión'!$Y$47="Baja",'Riesgos de gestión'!$AA$47="Catastrófico"),CONCATENATE("R7C",'Riesgos de gestión'!$O$47),"")</f>
        <v/>
      </c>
      <c r="AJ42" s="56" t="str">
        <f>IF(AND('Riesgos de gestión'!$Y$48="Baja",'Riesgos de gestión'!$AA$48="Catastrófico"),CONCATENATE("R7C",'Riesgos de gestión'!$O$48),"")</f>
        <v/>
      </c>
      <c r="AK42" s="56" t="str">
        <f>IF(AND('Riesgos de gestión'!$Y$49="Baja",'Riesgos de gestión'!$AA$49="Catastrófico"),CONCATENATE("R7C",'Riesgos de gestión'!$O$49),"")</f>
        <v/>
      </c>
      <c r="AL42" s="56" t="str">
        <f>IF(AND('Riesgos de gestión'!$Y$50="Baja",'Riesgos de gestión'!$AA$50="Catastrófico"),CONCATENATE("R7C",'Riesgos de gestión'!$O$50),"")</f>
        <v/>
      </c>
      <c r="AM42" s="57" t="str">
        <f>IF(AND('Riesgos de gestión'!$Y$51="Baja",'Riesgos de gestión'!$AA$51="Catastrófico"),CONCATENATE("R7C",'Riesgos de gestión'!$O$51),"")</f>
        <v/>
      </c>
      <c r="AN42" s="83"/>
      <c r="AO42" s="1222"/>
      <c r="AP42" s="1223"/>
      <c r="AQ42" s="1223"/>
      <c r="AR42" s="1223"/>
      <c r="AS42" s="1223"/>
      <c r="AT42" s="1224"/>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row>
    <row r="43" spans="1:80" ht="15" customHeight="1" x14ac:dyDescent="0.25">
      <c r="A43" s="83"/>
      <c r="B43" s="1103"/>
      <c r="C43" s="1103"/>
      <c r="D43" s="1104"/>
      <c r="E43" s="1202"/>
      <c r="F43" s="1201"/>
      <c r="G43" s="1201"/>
      <c r="H43" s="1201"/>
      <c r="I43" s="1201"/>
      <c r="J43" s="76" t="str">
        <f>IF(AND('Riesgos de gestión'!$Y$52="Baja",'Riesgos de gestión'!$AA$52="Leve"),CONCATENATE("R8C",'Riesgos de gestión'!$O$52),"")</f>
        <v/>
      </c>
      <c r="K43" s="77" t="str">
        <f>IF(AND('Riesgos de gestión'!$Y$53="Baja",'Riesgos de gestión'!$AA$53="Leve"),CONCATENATE("R8C",'Riesgos de gestión'!$O$53),"")</f>
        <v/>
      </c>
      <c r="L43" s="77" t="str">
        <f>IF(AND('Riesgos de gestión'!$Y$54="Baja",'Riesgos de gestión'!$AA$54="Leve"),CONCATENATE("R8C",'Riesgos de gestión'!$O$54),"")</f>
        <v/>
      </c>
      <c r="M43" s="77" t="str">
        <f>IF(AND('Riesgos de gestión'!$Y$55="Baja",'Riesgos de gestión'!$AA$55="Leve"),CONCATENATE("R8C",'Riesgos de gestión'!$O$55),"")</f>
        <v/>
      </c>
      <c r="N43" s="77" t="str">
        <f>IF(AND('Riesgos de gestión'!$Y$56="Baja",'Riesgos de gestión'!$AA$56="Leve"),CONCATENATE("R8C",'Riesgos de gestión'!$O$56),"")</f>
        <v/>
      </c>
      <c r="O43" s="78" t="str">
        <f>IF(AND('Riesgos de gestión'!$Y$57="Baja",'Riesgos de gestión'!$AA$57="Leve"),CONCATENATE("R8C",'Riesgos de gestión'!$O$57),"")</f>
        <v/>
      </c>
      <c r="P43" s="67" t="str">
        <f>IF(AND('Riesgos de gestión'!$Y$52="Baja",'Riesgos de gestión'!$AA$52="Menor"),CONCATENATE("R8C",'Riesgos de gestión'!$O$52),"")</f>
        <v/>
      </c>
      <c r="Q43" s="68" t="str">
        <f>IF(AND('Riesgos de gestión'!$Y$53="Baja",'Riesgos de gestión'!$AA$53="Menor"),CONCATENATE("R8C",'Riesgos de gestión'!$O$53),"")</f>
        <v/>
      </c>
      <c r="R43" s="68" t="str">
        <f>IF(AND('Riesgos de gestión'!$Y$54="Baja",'Riesgos de gestión'!$AA$54="Menor"),CONCATENATE("R8C",'Riesgos de gestión'!$O$54),"")</f>
        <v/>
      </c>
      <c r="S43" s="68" t="str">
        <f>IF(AND('Riesgos de gestión'!$Y$55="Baja",'Riesgos de gestión'!$AA$55="Menor"),CONCATENATE("R8C",'Riesgos de gestión'!$O$55),"")</f>
        <v/>
      </c>
      <c r="T43" s="68" t="str">
        <f>IF(AND('Riesgos de gestión'!$Y$56="Baja",'Riesgos de gestión'!$AA$56="Menor"),CONCATENATE("R8C",'Riesgos de gestión'!$O$56),"")</f>
        <v/>
      </c>
      <c r="U43" s="69" t="str">
        <f>IF(AND('Riesgos de gestión'!$Y$57="Baja",'Riesgos de gestión'!$AA$57="Menor"),CONCATENATE("R8C",'Riesgos de gestión'!$O$57),"")</f>
        <v/>
      </c>
      <c r="V43" s="67" t="str">
        <f>IF(AND('Riesgos de gestión'!$Y$52="Baja",'Riesgos de gestión'!$AA$52="Moderado"),CONCATENATE("R8C",'Riesgos de gestión'!$O$52),"")</f>
        <v/>
      </c>
      <c r="W43" s="68" t="str">
        <f>IF(AND('Riesgos de gestión'!$Y$53="Baja",'Riesgos de gestión'!$AA$53="Moderado"),CONCATENATE("R8C",'Riesgos de gestión'!$O$53),"")</f>
        <v/>
      </c>
      <c r="X43" s="68" t="str">
        <f>IF(AND('Riesgos de gestión'!$Y$54="Baja",'Riesgos de gestión'!$AA$54="Moderado"),CONCATENATE("R8C",'Riesgos de gestión'!$O$54),"")</f>
        <v/>
      </c>
      <c r="Y43" s="68" t="str">
        <f>IF(AND('Riesgos de gestión'!$Y$55="Baja",'Riesgos de gestión'!$AA$55="Moderado"),CONCATENATE("R8C",'Riesgos de gestión'!$O$55),"")</f>
        <v/>
      </c>
      <c r="Z43" s="68" t="str">
        <f>IF(AND('Riesgos de gestión'!$Y$56="Baja",'Riesgos de gestión'!$AA$56="Moderado"),CONCATENATE("R8C",'Riesgos de gestión'!$O$56),"")</f>
        <v/>
      </c>
      <c r="AA43" s="69" t="str">
        <f>IF(AND('Riesgos de gestión'!$Y$57="Baja",'Riesgos de gestión'!$AA$57="Moderado"),CONCATENATE("R8C",'Riesgos de gestión'!$O$57),"")</f>
        <v/>
      </c>
      <c r="AB43" s="52" t="str">
        <f>IF(AND('Riesgos de gestión'!$Y$52="Baja",'Riesgos de gestión'!$AA$52="Mayor"),CONCATENATE("R8C",'Riesgos de gestión'!$O$52),"")</f>
        <v/>
      </c>
      <c r="AC43" s="53" t="str">
        <f>IF(AND('Riesgos de gestión'!$Y$53="Baja",'Riesgos de gestión'!$AA$53="Mayor"),CONCATENATE("R8C",'Riesgos de gestión'!$O$53),"")</f>
        <v/>
      </c>
      <c r="AD43" s="53" t="str">
        <f>IF(AND('Riesgos de gestión'!$Y$54="Baja",'Riesgos de gestión'!$AA$54="Mayor"),CONCATENATE("R8C",'Riesgos de gestión'!$O$54),"")</f>
        <v/>
      </c>
      <c r="AE43" s="53" t="str">
        <f>IF(AND('Riesgos de gestión'!$Y$55="Baja",'Riesgos de gestión'!$AA$55="Mayor"),CONCATENATE("R8C",'Riesgos de gestión'!$O$55),"")</f>
        <v/>
      </c>
      <c r="AF43" s="53" t="str">
        <f>IF(AND('Riesgos de gestión'!$Y$56="Baja",'Riesgos de gestión'!$AA$56="Mayor"),CONCATENATE("R8C",'Riesgos de gestión'!$O$56),"")</f>
        <v/>
      </c>
      <c r="AG43" s="54" t="str">
        <f>IF(AND('Riesgos de gestión'!$Y$57="Baja",'Riesgos de gestión'!$AA$57="Mayor"),CONCATENATE("R8C",'Riesgos de gestión'!$O$57),"")</f>
        <v/>
      </c>
      <c r="AH43" s="55" t="str">
        <f>IF(AND('Riesgos de gestión'!$Y$52="Baja",'Riesgos de gestión'!$AA$52="Catastrófico"),CONCATENATE("R8C",'Riesgos de gestión'!$O$52),"")</f>
        <v/>
      </c>
      <c r="AI43" s="56" t="str">
        <f>IF(AND('Riesgos de gestión'!$Y$53="Baja",'Riesgos de gestión'!$AA$53="Catastrófico"),CONCATENATE("R8C",'Riesgos de gestión'!$O$53),"")</f>
        <v/>
      </c>
      <c r="AJ43" s="56" t="str">
        <f>IF(AND('Riesgos de gestión'!$Y$54="Baja",'Riesgos de gestión'!$AA$54="Catastrófico"),CONCATENATE("R8C",'Riesgos de gestión'!$O$54),"")</f>
        <v/>
      </c>
      <c r="AK43" s="56" t="str">
        <f>IF(AND('Riesgos de gestión'!$Y$55="Baja",'Riesgos de gestión'!$AA$55="Catastrófico"),CONCATENATE("R8C",'Riesgos de gestión'!$O$55),"")</f>
        <v/>
      </c>
      <c r="AL43" s="56" t="str">
        <f>IF(AND('Riesgos de gestión'!$Y$56="Baja",'Riesgos de gestión'!$AA$56="Catastrófico"),CONCATENATE("R8C",'Riesgos de gestión'!$O$56),"")</f>
        <v/>
      </c>
      <c r="AM43" s="57" t="str">
        <f>IF(AND('Riesgos de gestión'!$Y$57="Baja",'Riesgos de gestión'!$AA$57="Catastrófico"),CONCATENATE("R8C",'Riesgos de gestión'!$O$57),"")</f>
        <v/>
      </c>
      <c r="AN43" s="83"/>
      <c r="AO43" s="1222"/>
      <c r="AP43" s="1223"/>
      <c r="AQ43" s="1223"/>
      <c r="AR43" s="1223"/>
      <c r="AS43" s="1223"/>
      <c r="AT43" s="1224"/>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row>
    <row r="44" spans="1:80" ht="15" customHeight="1" x14ac:dyDescent="0.25">
      <c r="A44" s="83"/>
      <c r="B44" s="1103"/>
      <c r="C44" s="1103"/>
      <c r="D44" s="1104"/>
      <c r="E44" s="1202"/>
      <c r="F44" s="1201"/>
      <c r="G44" s="1201"/>
      <c r="H44" s="1201"/>
      <c r="I44" s="1201"/>
      <c r="J44" s="76" t="str">
        <f>IF(AND('Riesgos de gestión'!$Y$58="Baja",'Riesgos de gestión'!$AA$58="Leve"),CONCATENATE("R9C",'Riesgos de gestión'!$O$58),"")</f>
        <v/>
      </c>
      <c r="K44" s="77" t="str">
        <f>IF(AND('Riesgos de gestión'!$Y$59="Baja",'Riesgos de gestión'!$AA$59="Leve"),CONCATENATE("R9C",'Riesgos de gestión'!$O$59),"")</f>
        <v/>
      </c>
      <c r="L44" s="77" t="str">
        <f>IF(AND('Riesgos de gestión'!$Y$60="Baja",'Riesgos de gestión'!$AA$60="Leve"),CONCATENATE("R9C",'Riesgos de gestión'!$O$60),"")</f>
        <v/>
      </c>
      <c r="M44" s="77" t="str">
        <f>IF(AND('Riesgos de gestión'!$Y$61="Baja",'Riesgos de gestión'!$AA$61="Leve"),CONCATENATE("R9C",'Riesgos de gestión'!$O$61),"")</f>
        <v/>
      </c>
      <c r="N44" s="77" t="str">
        <f>IF(AND('Riesgos de gestión'!$Y$62="Baja",'Riesgos de gestión'!$AA$62="Leve"),CONCATENATE("R9C",'Riesgos de gestión'!$O$62),"")</f>
        <v/>
      </c>
      <c r="O44" s="78" t="str">
        <f>IF(AND('Riesgos de gestión'!$Y$63="Baja",'Riesgos de gestión'!$AA$63="Leve"),CONCATENATE("R9C",'Riesgos de gestión'!$O$63),"")</f>
        <v/>
      </c>
      <c r="P44" s="67" t="str">
        <f>IF(AND('Riesgos de gestión'!$Y$58="Baja",'Riesgos de gestión'!$AA$58="Menor"),CONCATENATE("R9C",'Riesgos de gestión'!$O$58),"")</f>
        <v/>
      </c>
      <c r="Q44" s="68" t="str">
        <f>IF(AND('Riesgos de gestión'!$Y$59="Baja",'Riesgos de gestión'!$AA$59="Menor"),CONCATENATE("R9C",'Riesgos de gestión'!$O$59),"")</f>
        <v/>
      </c>
      <c r="R44" s="68" t="str">
        <f>IF(AND('Riesgos de gestión'!$Y$60="Baja",'Riesgos de gestión'!$AA$60="Menor"),CONCATENATE("R9C",'Riesgos de gestión'!$O$60),"")</f>
        <v/>
      </c>
      <c r="S44" s="68" t="str">
        <f>IF(AND('Riesgos de gestión'!$Y$61="Baja",'Riesgos de gestión'!$AA$61="Menor"),CONCATENATE("R9C",'Riesgos de gestión'!$O$61),"")</f>
        <v/>
      </c>
      <c r="T44" s="68" t="str">
        <f>IF(AND('Riesgos de gestión'!$Y$62="Baja",'Riesgos de gestión'!$AA$62="Menor"),CONCATENATE("R9C",'Riesgos de gestión'!$O$62),"")</f>
        <v/>
      </c>
      <c r="U44" s="69" t="str">
        <f>IF(AND('Riesgos de gestión'!$Y$63="Baja",'Riesgos de gestión'!$AA$63="Menor"),CONCATENATE("R9C",'Riesgos de gestión'!$O$63),"")</f>
        <v/>
      </c>
      <c r="V44" s="67" t="str">
        <f>IF(AND('Riesgos de gestión'!$Y$58="Baja",'Riesgos de gestión'!$AA$58="Moderado"),CONCATENATE("R9C",'Riesgos de gestión'!$O$58),"")</f>
        <v/>
      </c>
      <c r="W44" s="68" t="str">
        <f>IF(AND('Riesgos de gestión'!$Y$59="Baja",'Riesgos de gestión'!$AA$59="Moderado"),CONCATENATE("R9C",'Riesgos de gestión'!$O$59),"")</f>
        <v/>
      </c>
      <c r="X44" s="68" t="str">
        <f>IF(AND('Riesgos de gestión'!$Y$60="Baja",'Riesgos de gestión'!$AA$60="Moderado"),CONCATENATE("R9C",'Riesgos de gestión'!$O$60),"")</f>
        <v/>
      </c>
      <c r="Y44" s="68" t="str">
        <f>IF(AND('Riesgos de gestión'!$Y$61="Baja",'Riesgos de gestión'!$AA$61="Moderado"),CONCATENATE("R9C",'Riesgos de gestión'!$O$61),"")</f>
        <v/>
      </c>
      <c r="Z44" s="68" t="str">
        <f>IF(AND('Riesgos de gestión'!$Y$62="Baja",'Riesgos de gestión'!$AA$62="Moderado"),CONCATENATE("R9C",'Riesgos de gestión'!$O$62),"")</f>
        <v/>
      </c>
      <c r="AA44" s="69" t="str">
        <f>IF(AND('Riesgos de gestión'!$Y$63="Baja",'Riesgos de gestión'!$AA$63="Moderado"),CONCATENATE("R9C",'Riesgos de gestión'!$O$63),"")</f>
        <v/>
      </c>
      <c r="AB44" s="52" t="str">
        <f>IF(AND('Riesgos de gestión'!$Y$58="Baja",'Riesgos de gestión'!$AA$58="Mayor"),CONCATENATE("R9C",'Riesgos de gestión'!$O$58),"")</f>
        <v/>
      </c>
      <c r="AC44" s="53" t="str">
        <f>IF(AND('Riesgos de gestión'!$Y$59="Baja",'Riesgos de gestión'!$AA$59="Mayor"),CONCATENATE("R9C",'Riesgos de gestión'!$O$59),"")</f>
        <v/>
      </c>
      <c r="AD44" s="53" t="str">
        <f>IF(AND('Riesgos de gestión'!$Y$60="Baja",'Riesgos de gestión'!$AA$60="Mayor"),CONCATENATE("R9C",'Riesgos de gestión'!$O$60),"")</f>
        <v/>
      </c>
      <c r="AE44" s="53" t="str">
        <f>IF(AND('Riesgos de gestión'!$Y$61="Baja",'Riesgos de gestión'!$AA$61="Mayor"),CONCATENATE("R9C",'Riesgos de gestión'!$O$61),"")</f>
        <v/>
      </c>
      <c r="AF44" s="53" t="str">
        <f>IF(AND('Riesgos de gestión'!$Y$62="Baja",'Riesgos de gestión'!$AA$62="Mayor"),CONCATENATE("R9C",'Riesgos de gestión'!$O$62),"")</f>
        <v/>
      </c>
      <c r="AG44" s="54" t="str">
        <f>IF(AND('Riesgos de gestión'!$Y$63="Baja",'Riesgos de gestión'!$AA$63="Mayor"),CONCATENATE("R9C",'Riesgos de gestión'!$O$63),"")</f>
        <v/>
      </c>
      <c r="AH44" s="55" t="str">
        <f>IF(AND('Riesgos de gestión'!$Y$58="Baja",'Riesgos de gestión'!$AA$58="Catastrófico"),CONCATENATE("R9C",'Riesgos de gestión'!$O$58),"")</f>
        <v/>
      </c>
      <c r="AI44" s="56" t="str">
        <f>IF(AND('Riesgos de gestión'!$Y$59="Baja",'Riesgos de gestión'!$AA$59="Catastrófico"),CONCATENATE("R9C",'Riesgos de gestión'!$O$59),"")</f>
        <v/>
      </c>
      <c r="AJ44" s="56" t="str">
        <f>IF(AND('Riesgos de gestión'!$Y$60="Baja",'Riesgos de gestión'!$AA$60="Catastrófico"),CONCATENATE("R9C",'Riesgos de gestión'!$O$60),"")</f>
        <v/>
      </c>
      <c r="AK44" s="56" t="str">
        <f>IF(AND('Riesgos de gestión'!$Y$61="Baja",'Riesgos de gestión'!$AA$61="Catastrófico"),CONCATENATE("R9C",'Riesgos de gestión'!$O$61),"")</f>
        <v/>
      </c>
      <c r="AL44" s="56" t="str">
        <f>IF(AND('Riesgos de gestión'!$Y$62="Baja",'Riesgos de gestión'!$AA$62="Catastrófico"),CONCATENATE("R9C",'Riesgos de gestión'!$O$62),"")</f>
        <v/>
      </c>
      <c r="AM44" s="57" t="str">
        <f>IF(AND('Riesgos de gestión'!$Y$63="Baja",'Riesgos de gestión'!$AA$63="Catastrófico"),CONCATENATE("R9C",'Riesgos de gestión'!$O$63),"")</f>
        <v/>
      </c>
      <c r="AN44" s="83"/>
      <c r="AO44" s="1222"/>
      <c r="AP44" s="1223"/>
      <c r="AQ44" s="1223"/>
      <c r="AR44" s="1223"/>
      <c r="AS44" s="1223"/>
      <c r="AT44" s="1224"/>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row>
    <row r="45" spans="1:80" ht="15.75" customHeight="1" thickBot="1" x14ac:dyDescent="0.3">
      <c r="A45" s="83"/>
      <c r="B45" s="1103"/>
      <c r="C45" s="1103"/>
      <c r="D45" s="1104"/>
      <c r="E45" s="1203"/>
      <c r="F45" s="1204"/>
      <c r="G45" s="1204"/>
      <c r="H45" s="1204"/>
      <c r="I45" s="1204"/>
      <c r="J45" s="79" t="str">
        <f>IF(AND('Riesgos de gestión'!$Y$64="Baja",'Riesgos de gestión'!$AA$64="Leve"),CONCATENATE("R10C",'Riesgos de gestión'!$O$64),"")</f>
        <v/>
      </c>
      <c r="K45" s="80" t="str">
        <f>IF(AND('Riesgos de gestión'!$Y$65="Baja",'Riesgos de gestión'!$AA$65="Leve"),CONCATENATE("R10C",'Riesgos de gestión'!$O$65),"")</f>
        <v/>
      </c>
      <c r="L45" s="80" t="str">
        <f>IF(AND('Riesgos de gestión'!$Y$66="Baja",'Riesgos de gestión'!$AA$66="Leve"),CONCATENATE("R10C",'Riesgos de gestión'!$O$66),"")</f>
        <v/>
      </c>
      <c r="M45" s="80" t="str">
        <f>IF(AND('Riesgos de gestión'!$Y$67="Baja",'Riesgos de gestión'!$AA$67="Leve"),CONCATENATE("R10C",'Riesgos de gestión'!$O$67),"")</f>
        <v/>
      </c>
      <c r="N45" s="80" t="str">
        <f>IF(AND('Riesgos de gestión'!$Y$68="Baja",'Riesgos de gestión'!$AA$68="Leve"),CONCATENATE("R10C",'Riesgos de gestión'!$O$68),"")</f>
        <v/>
      </c>
      <c r="O45" s="81" t="str">
        <f>IF(AND('Riesgos de gestión'!$Y$69="Baja",'Riesgos de gestión'!$AA$69="Leve"),CONCATENATE("R10C",'Riesgos de gestión'!$O$69),"")</f>
        <v/>
      </c>
      <c r="P45" s="67" t="str">
        <f>IF(AND('Riesgos de gestión'!$Y$64="Baja",'Riesgos de gestión'!$AA$64="Menor"),CONCATENATE("R10C",'Riesgos de gestión'!$O$64),"")</f>
        <v/>
      </c>
      <c r="Q45" s="68" t="str">
        <f>IF(AND('Riesgos de gestión'!$Y$65="Baja",'Riesgos de gestión'!$AA$65="Menor"),CONCATENATE("R10C",'Riesgos de gestión'!$O$65),"")</f>
        <v/>
      </c>
      <c r="R45" s="68" t="str">
        <f>IF(AND('Riesgos de gestión'!$Y$66="Baja",'Riesgos de gestión'!$AA$66="Menor"),CONCATENATE("R10C",'Riesgos de gestión'!$O$66),"")</f>
        <v/>
      </c>
      <c r="S45" s="68" t="str">
        <f>IF(AND('Riesgos de gestión'!$Y$67="Baja",'Riesgos de gestión'!$AA$67="Menor"),CONCATENATE("R10C",'Riesgos de gestión'!$O$67),"")</f>
        <v/>
      </c>
      <c r="T45" s="68" t="str">
        <f>IF(AND('Riesgos de gestión'!$Y$68="Baja",'Riesgos de gestión'!$AA$68="Menor"),CONCATENATE("R10C",'Riesgos de gestión'!$O$68),"")</f>
        <v/>
      </c>
      <c r="U45" s="69" t="str">
        <f>IF(AND('Riesgos de gestión'!$Y$69="Baja",'Riesgos de gestión'!$AA$69="Menor"),CONCATENATE("R10C",'Riesgos de gestión'!$O$69),"")</f>
        <v/>
      </c>
      <c r="V45" s="70" t="str">
        <f>IF(AND('Riesgos de gestión'!$Y$64="Baja",'Riesgos de gestión'!$AA$64="Moderado"),CONCATENATE("R10C",'Riesgos de gestión'!$O$64),"")</f>
        <v/>
      </c>
      <c r="W45" s="71" t="str">
        <f>IF(AND('Riesgos de gestión'!$Y$65="Baja",'Riesgos de gestión'!$AA$65="Moderado"),CONCATENATE("R10C",'Riesgos de gestión'!$O$65),"")</f>
        <v/>
      </c>
      <c r="X45" s="71" t="str">
        <f>IF(AND('Riesgos de gestión'!$Y$66="Baja",'Riesgos de gestión'!$AA$66="Moderado"),CONCATENATE("R10C",'Riesgos de gestión'!$O$66),"")</f>
        <v/>
      </c>
      <c r="Y45" s="71" t="str">
        <f>IF(AND('Riesgos de gestión'!$Y$67="Baja",'Riesgos de gestión'!$AA$67="Moderado"),CONCATENATE("R10C",'Riesgos de gestión'!$O$67),"")</f>
        <v/>
      </c>
      <c r="Z45" s="71" t="str">
        <f>IF(AND('Riesgos de gestión'!$Y$68="Baja",'Riesgos de gestión'!$AA$68="Moderado"),CONCATENATE("R10C",'Riesgos de gestión'!$O$68),"")</f>
        <v/>
      </c>
      <c r="AA45" s="72" t="str">
        <f>IF(AND('Riesgos de gestión'!$Y$69="Baja",'Riesgos de gestión'!$AA$69="Moderado"),CONCATENATE("R10C",'Riesgos de gestión'!$O$69),"")</f>
        <v/>
      </c>
      <c r="AB45" s="58" t="str">
        <f>IF(AND('Riesgos de gestión'!$Y$64="Baja",'Riesgos de gestión'!$AA$64="Mayor"),CONCATENATE("R10C",'Riesgos de gestión'!$O$64),"")</f>
        <v/>
      </c>
      <c r="AC45" s="59" t="str">
        <f>IF(AND('Riesgos de gestión'!$Y$65="Baja",'Riesgos de gestión'!$AA$65="Mayor"),CONCATENATE("R10C",'Riesgos de gestión'!$O$65),"")</f>
        <v/>
      </c>
      <c r="AD45" s="59" t="str">
        <f>IF(AND('Riesgos de gestión'!$Y$66="Baja",'Riesgos de gestión'!$AA$66="Mayor"),CONCATENATE("R10C",'Riesgos de gestión'!$O$66),"")</f>
        <v/>
      </c>
      <c r="AE45" s="59" t="str">
        <f>IF(AND('Riesgos de gestión'!$Y$67="Baja",'Riesgos de gestión'!$AA$67="Mayor"),CONCATENATE("R10C",'Riesgos de gestión'!$O$67),"")</f>
        <v/>
      </c>
      <c r="AF45" s="59" t="str">
        <f>IF(AND('Riesgos de gestión'!$Y$68="Baja",'Riesgos de gestión'!$AA$68="Mayor"),CONCATENATE("R10C",'Riesgos de gestión'!$O$68),"")</f>
        <v/>
      </c>
      <c r="AG45" s="60" t="str">
        <f>IF(AND('Riesgos de gestión'!$Y$69="Baja",'Riesgos de gestión'!$AA$69="Mayor"),CONCATENATE("R10C",'Riesgos de gestión'!$O$69),"")</f>
        <v/>
      </c>
      <c r="AH45" s="61" t="str">
        <f>IF(AND('Riesgos de gestión'!$Y$64="Baja",'Riesgos de gestión'!$AA$64="Catastrófico"),CONCATENATE("R10C",'Riesgos de gestión'!$O$64),"")</f>
        <v/>
      </c>
      <c r="AI45" s="62" t="str">
        <f>IF(AND('Riesgos de gestión'!$Y$65="Baja",'Riesgos de gestión'!$AA$65="Catastrófico"),CONCATENATE("R10C",'Riesgos de gestión'!$O$65),"")</f>
        <v/>
      </c>
      <c r="AJ45" s="62" t="str">
        <f>IF(AND('Riesgos de gestión'!$Y$66="Baja",'Riesgos de gestión'!$AA$66="Catastrófico"),CONCATENATE("R10C",'Riesgos de gestión'!$O$66),"")</f>
        <v/>
      </c>
      <c r="AK45" s="62" t="str">
        <f>IF(AND('Riesgos de gestión'!$Y$67="Baja",'Riesgos de gestión'!$AA$67="Catastrófico"),CONCATENATE("R10C",'Riesgos de gestión'!$O$67),"")</f>
        <v/>
      </c>
      <c r="AL45" s="62" t="str">
        <f>IF(AND('Riesgos de gestión'!$Y$68="Baja",'Riesgos de gestión'!$AA$68="Catastrófico"),CONCATENATE("R10C",'Riesgos de gestión'!$O$68),"")</f>
        <v/>
      </c>
      <c r="AM45" s="63" t="str">
        <f>IF(AND('Riesgos de gestión'!$Y$69="Baja",'Riesgos de gestión'!$AA$69="Catastrófico"),CONCATENATE("R10C",'Riesgos de gestión'!$O$69),"")</f>
        <v/>
      </c>
      <c r="AN45" s="83"/>
      <c r="AO45" s="1225"/>
      <c r="AP45" s="1226"/>
      <c r="AQ45" s="1226"/>
      <c r="AR45" s="1226"/>
      <c r="AS45" s="1226"/>
      <c r="AT45" s="1227"/>
    </row>
    <row r="46" spans="1:80" ht="46.5" customHeight="1" x14ac:dyDescent="0.35">
      <c r="A46" s="83"/>
      <c r="B46" s="1103"/>
      <c r="C46" s="1103"/>
      <c r="D46" s="1104"/>
      <c r="E46" s="1198" t="s">
        <v>113</v>
      </c>
      <c r="F46" s="1199"/>
      <c r="G46" s="1199"/>
      <c r="H46" s="1199"/>
      <c r="I46" s="1216"/>
      <c r="J46" s="73" t="str">
        <f ca="1">IF(AND('Riesgos de gestión'!$Y$10="Muy Baja",'Riesgos de gestión'!$AA$10="Leve"),CONCATENATE("R1C",'Riesgos de gestión'!$O$10),"")</f>
        <v/>
      </c>
      <c r="K46" s="74" t="str">
        <f>IF(AND('Riesgos de gestión'!$Y$11="Muy Baja",'Riesgos de gestión'!$AA$11="Leve"),CONCATENATE("R1C",'Riesgos de gestión'!$O$11),"")</f>
        <v/>
      </c>
      <c r="L46" s="74" t="str">
        <f>IF(AND('Riesgos de gestión'!$Y$12="Muy Baja",'Riesgos de gestión'!$AA$12="Leve"),CONCATENATE("R1C",'Riesgos de gestión'!$O$12),"")</f>
        <v/>
      </c>
      <c r="M46" s="74" t="str">
        <f>IF(AND('Riesgos de gestión'!$Y$13="Muy Baja",'Riesgos de gestión'!$AA$13="Leve"),CONCATENATE("R1C",'Riesgos de gestión'!$O$13),"")</f>
        <v/>
      </c>
      <c r="N46" s="74" t="str">
        <f>IF(AND('Riesgos de gestión'!$Y$14="Muy Baja",'Riesgos de gestión'!$AA$14="Leve"),CONCATENATE("R1C",'Riesgos de gestión'!$O$14),"")</f>
        <v/>
      </c>
      <c r="O46" s="75" t="str">
        <f>IF(AND('Riesgos de gestión'!$Y$15="Muy Baja",'Riesgos de gestión'!$AA$15="Leve"),CONCATENATE("R1C",'Riesgos de gestión'!$O$15),"")</f>
        <v/>
      </c>
      <c r="P46" s="73" t="str">
        <f ca="1">IF(AND('Riesgos de gestión'!$Y$10="Muy Baja",'Riesgos de gestión'!$AA$10="Menor"),CONCATENATE("R1C",'Riesgos de gestión'!$O$10),"")</f>
        <v/>
      </c>
      <c r="Q46" s="74" t="str">
        <f>IF(AND('Riesgos de gestión'!$Y$11="Muy Baja",'Riesgos de gestión'!$AA$11="Menor"),CONCATENATE("R1C",'Riesgos de gestión'!$O$11),"")</f>
        <v/>
      </c>
      <c r="R46" s="74" t="str">
        <f>IF(AND('Riesgos de gestión'!$Y$12="Muy Baja",'Riesgos de gestión'!$AA$12="Menor"),CONCATENATE("R1C",'Riesgos de gestión'!$O$12),"")</f>
        <v/>
      </c>
      <c r="S46" s="74" t="str">
        <f>IF(AND('Riesgos de gestión'!$Y$13="Muy Baja",'Riesgos de gestión'!$AA$13="Menor"),CONCATENATE("R1C",'Riesgos de gestión'!$O$13),"")</f>
        <v/>
      </c>
      <c r="T46" s="74" t="str">
        <f>IF(AND('Riesgos de gestión'!$Y$14="Muy Baja",'Riesgos de gestión'!$AA$14="Menor"),CONCATENATE("R1C",'Riesgos de gestión'!$O$14),"")</f>
        <v/>
      </c>
      <c r="U46" s="75" t="str">
        <f>IF(AND('Riesgos de gestión'!$Y$15="Muy Baja",'Riesgos de gestión'!$AA$15="Menor"),CONCATENATE("R1C",'Riesgos de gestión'!$O$15),"")</f>
        <v/>
      </c>
      <c r="V46" s="64" t="str">
        <f ca="1">IF(AND('Riesgos de gestión'!$Y$10="Muy Baja",'Riesgos de gestión'!$AA$10="Moderado"),CONCATENATE("R1C",'Riesgos de gestión'!$O$10),"")</f>
        <v/>
      </c>
      <c r="W46" s="82" t="str">
        <f>IF(AND('Riesgos de gestión'!$Y$11="Muy Baja",'Riesgos de gestión'!$AA$11="Moderado"),CONCATENATE("R1C",'Riesgos de gestión'!$O$11),"")</f>
        <v/>
      </c>
      <c r="X46" s="65" t="str">
        <f>IF(AND('Riesgos de gestión'!$Y$12="Muy Baja",'Riesgos de gestión'!$AA$12="Moderado"),CONCATENATE("R1C",'Riesgos de gestión'!$O$12),"")</f>
        <v/>
      </c>
      <c r="Y46" s="65" t="str">
        <f>IF(AND('Riesgos de gestión'!$Y$13="Muy Baja",'Riesgos de gestión'!$AA$13="Moderado"),CONCATENATE("R1C",'Riesgos de gestión'!$O$13),"")</f>
        <v/>
      </c>
      <c r="Z46" s="65" t="str">
        <f>IF(AND('Riesgos de gestión'!$Y$14="Muy Baja",'Riesgos de gestión'!$AA$14="Moderado"),CONCATENATE("R1C",'Riesgos de gestión'!$O$14),"")</f>
        <v/>
      </c>
      <c r="AA46" s="66" t="str">
        <f>IF(AND('Riesgos de gestión'!$Y$15="Muy Baja",'Riesgos de gestión'!$AA$15="Moderado"),CONCATENATE("R1C",'Riesgos de gestión'!$O$15),"")</f>
        <v/>
      </c>
      <c r="AB46" s="46" t="str">
        <f ca="1">IF(AND('Riesgos de gestión'!$Y$10="Muy Baja",'Riesgos de gestión'!$AA$10="Mayor"),CONCATENATE("R1C",'Riesgos de gestión'!$O$10),"")</f>
        <v/>
      </c>
      <c r="AC46" s="47" t="str">
        <f>IF(AND('Riesgos de gestión'!$Y$11="Muy Baja",'Riesgos de gestión'!$AA$11="Mayor"),CONCATENATE("R1C",'Riesgos de gestión'!$O$11),"")</f>
        <v/>
      </c>
      <c r="AD46" s="47" t="str">
        <f>IF(AND('Riesgos de gestión'!$Y$12="Muy Baja",'Riesgos de gestión'!$AA$12="Mayor"),CONCATENATE("R1C",'Riesgos de gestión'!$O$12),"")</f>
        <v/>
      </c>
      <c r="AE46" s="47" t="str">
        <f>IF(AND('Riesgos de gestión'!$Y$13="Muy Baja",'Riesgos de gestión'!$AA$13="Mayor"),CONCATENATE("R1C",'Riesgos de gestión'!$O$13),"")</f>
        <v/>
      </c>
      <c r="AF46" s="47" t="str">
        <f>IF(AND('Riesgos de gestión'!$Y$14="Muy Baja",'Riesgos de gestión'!$AA$14="Mayor"),CONCATENATE("R1C",'Riesgos de gestión'!$O$14),"")</f>
        <v/>
      </c>
      <c r="AG46" s="48" t="str">
        <f>IF(AND('Riesgos de gestión'!$Y$15="Muy Baja",'Riesgos de gestión'!$AA$15="Mayor"),CONCATENATE("R1C",'Riesgos de gestión'!$O$15),"")</f>
        <v/>
      </c>
      <c r="AH46" s="49" t="str">
        <f ca="1">IF(AND('Riesgos de gestión'!$Y$10="Muy Baja",'Riesgos de gestión'!$AA$10="Catastrófico"),CONCATENATE("R1C",'Riesgos de gestión'!$O$10),"")</f>
        <v>R1C1</v>
      </c>
      <c r="AI46" s="50" t="str">
        <f>IF(AND('Riesgos de gestión'!$Y$11="Muy Baja",'Riesgos de gestión'!$AA$11="Catastrófico"),CONCATENATE("R1C",'Riesgos de gestión'!$O$11),"")</f>
        <v/>
      </c>
      <c r="AJ46" s="50" t="str">
        <f>IF(AND('Riesgos de gestión'!$Y$12="Muy Baja",'Riesgos de gestión'!$AA$12="Catastrófico"),CONCATENATE("R1C",'Riesgos de gestión'!$O$12),"")</f>
        <v/>
      </c>
      <c r="AK46" s="50" t="str">
        <f>IF(AND('Riesgos de gestión'!$Y$13="Muy Baja",'Riesgos de gestión'!$AA$13="Catastrófico"),CONCATENATE("R1C",'Riesgos de gestión'!$O$13),"")</f>
        <v/>
      </c>
      <c r="AL46" s="50" t="str">
        <f>IF(AND('Riesgos de gestión'!$Y$14="Muy Baja",'Riesgos de gestión'!$AA$14="Catastrófico"),CONCATENATE("R1C",'Riesgos de gestión'!$O$14),"")</f>
        <v/>
      </c>
      <c r="AM46" s="51" t="str">
        <f>IF(AND('Riesgos de gestión'!$Y$15="Muy Baja",'Riesgos de gestión'!$AA$15="Catastrófico"),CONCATENATE("R1C",'Riesgos de gestión'!$O$15),"")</f>
        <v/>
      </c>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row>
    <row r="47" spans="1:80" ht="46.5" customHeight="1" x14ac:dyDescent="0.25">
      <c r="A47" s="83"/>
      <c r="B47" s="1103"/>
      <c r="C47" s="1103"/>
      <c r="D47" s="1104"/>
      <c r="E47" s="1200"/>
      <c r="F47" s="1201"/>
      <c r="G47" s="1201"/>
      <c r="H47" s="1201"/>
      <c r="I47" s="1217"/>
      <c r="J47" s="76" t="str">
        <f>IF(AND('Riesgos de gestión'!$Y$16="Muy Baja",'Riesgos de gestión'!$AA$16="Leve"),CONCATENATE("R2C",'Riesgos de gestión'!$O$16),"")</f>
        <v/>
      </c>
      <c r="K47" s="77" t="str">
        <f>IF(AND('Riesgos de gestión'!$Y$17="Muy Baja",'Riesgos de gestión'!$AA$17="Leve"),CONCATENATE("R2C",'Riesgos de gestión'!$O$17),"")</f>
        <v/>
      </c>
      <c r="L47" s="77" t="str">
        <f>IF(AND('Riesgos de gestión'!$Y$18="Muy Baja",'Riesgos de gestión'!$AA$18="Leve"),CONCATENATE("R2C",'Riesgos de gestión'!$O$18),"")</f>
        <v/>
      </c>
      <c r="M47" s="77" t="str">
        <f>IF(AND('Riesgos de gestión'!$Y$19="Muy Baja",'Riesgos de gestión'!$AA$19="Leve"),CONCATENATE("R2C",'Riesgos de gestión'!$O$19),"")</f>
        <v/>
      </c>
      <c r="N47" s="77" t="str">
        <f>IF(AND('Riesgos de gestión'!$Y$20="Muy Baja",'Riesgos de gestión'!$AA$20="Leve"),CONCATENATE("R2C",'Riesgos de gestión'!$O$20),"")</f>
        <v/>
      </c>
      <c r="O47" s="78" t="str">
        <f>IF(AND('Riesgos de gestión'!$Y$21="Muy Baja",'Riesgos de gestión'!$AA$21="Leve"),CONCATENATE("R2C",'Riesgos de gestión'!$O$21),"")</f>
        <v/>
      </c>
      <c r="P47" s="76" t="str">
        <f>IF(AND('Riesgos de gestión'!$Y$16="Muy Baja",'Riesgos de gestión'!$AA$16="Menor"),CONCATENATE("R2C",'Riesgos de gestión'!$O$16),"")</f>
        <v/>
      </c>
      <c r="Q47" s="77" t="str">
        <f>IF(AND('Riesgos de gestión'!$Y$17="Muy Baja",'Riesgos de gestión'!$AA$17="Menor"),CONCATENATE("R2C",'Riesgos de gestión'!$O$17),"")</f>
        <v/>
      </c>
      <c r="R47" s="77" t="str">
        <f>IF(AND('Riesgos de gestión'!$Y$18="Muy Baja",'Riesgos de gestión'!$AA$18="Menor"),CONCATENATE("R2C",'Riesgos de gestión'!$O$18),"")</f>
        <v/>
      </c>
      <c r="S47" s="77" t="str">
        <f>IF(AND('Riesgos de gestión'!$Y$19="Muy Baja",'Riesgos de gestión'!$AA$19="Menor"),CONCATENATE("R2C",'Riesgos de gestión'!$O$19),"")</f>
        <v/>
      </c>
      <c r="T47" s="77" t="str">
        <f>IF(AND('Riesgos de gestión'!$Y$20="Muy Baja",'Riesgos de gestión'!$AA$20="Menor"),CONCATENATE("R2C",'Riesgos de gestión'!$O$20),"")</f>
        <v/>
      </c>
      <c r="U47" s="78" t="str">
        <f>IF(AND('Riesgos de gestión'!$Y$21="Muy Baja",'Riesgos de gestión'!$AA$21="Menor"),CONCATENATE("R2C",'Riesgos de gestión'!$O$21),"")</f>
        <v/>
      </c>
      <c r="V47" s="67" t="str">
        <f>IF(AND('Riesgos de gestión'!$Y$16="Muy Baja",'Riesgos de gestión'!$AA$16="Moderado"),CONCATENATE("R2C",'Riesgos de gestión'!$O$16),"")</f>
        <v/>
      </c>
      <c r="W47" s="68" t="str">
        <f>IF(AND('Riesgos de gestión'!$Y$17="Muy Baja",'Riesgos de gestión'!$AA$17="Moderado"),CONCATENATE("R2C",'Riesgos de gestión'!$O$17),"")</f>
        <v/>
      </c>
      <c r="X47" s="68" t="str">
        <f>IF(AND('Riesgos de gestión'!$Y$18="Muy Baja",'Riesgos de gestión'!$AA$18="Moderado"),CONCATENATE("R2C",'Riesgos de gestión'!$O$18),"")</f>
        <v/>
      </c>
      <c r="Y47" s="68" t="str">
        <f>IF(AND('Riesgos de gestión'!$Y$19="Muy Baja",'Riesgos de gestión'!$AA$19="Moderado"),CONCATENATE("R2C",'Riesgos de gestión'!$O$19),"")</f>
        <v/>
      </c>
      <c r="Z47" s="68" t="str">
        <f>IF(AND('Riesgos de gestión'!$Y$20="Muy Baja",'Riesgos de gestión'!$AA$20="Moderado"),CONCATENATE("R2C",'Riesgos de gestión'!$O$20),"")</f>
        <v/>
      </c>
      <c r="AA47" s="69" t="str">
        <f>IF(AND('Riesgos de gestión'!$Y$21="Muy Baja",'Riesgos de gestión'!$AA$21="Moderado"),CONCATENATE("R2C",'Riesgos de gestión'!$O$21),"")</f>
        <v/>
      </c>
      <c r="AB47" s="52" t="str">
        <f>IF(AND('Riesgos de gestión'!$Y$16="Muy Baja",'Riesgos de gestión'!$AA$16="Mayor"),CONCATENATE("R2C",'Riesgos de gestión'!$O$16),"")</f>
        <v/>
      </c>
      <c r="AC47" s="53" t="str">
        <f>IF(AND('Riesgos de gestión'!$Y$17="Muy Baja",'Riesgos de gestión'!$AA$17="Mayor"),CONCATENATE("R2C",'Riesgos de gestión'!$O$17),"")</f>
        <v/>
      </c>
      <c r="AD47" s="53" t="str">
        <f>IF(AND('Riesgos de gestión'!$Y$18="Muy Baja",'Riesgos de gestión'!$AA$18="Mayor"),CONCATENATE("R2C",'Riesgos de gestión'!$O$18),"")</f>
        <v/>
      </c>
      <c r="AE47" s="53" t="str">
        <f>IF(AND('Riesgos de gestión'!$Y$19="Muy Baja",'Riesgos de gestión'!$AA$19="Mayor"),CONCATENATE("R2C",'Riesgos de gestión'!$O$19),"")</f>
        <v/>
      </c>
      <c r="AF47" s="53" t="str">
        <f>IF(AND('Riesgos de gestión'!$Y$20="Muy Baja",'Riesgos de gestión'!$AA$20="Mayor"),CONCATENATE("R2C",'Riesgos de gestión'!$O$20),"")</f>
        <v/>
      </c>
      <c r="AG47" s="54" t="str">
        <f>IF(AND('Riesgos de gestión'!$Y$21="Muy Baja",'Riesgos de gestión'!$AA$21="Mayor"),CONCATENATE("R2C",'Riesgos de gestión'!$O$21),"")</f>
        <v/>
      </c>
      <c r="AH47" s="55" t="str">
        <f>IF(AND('Riesgos de gestión'!$Y$16="Muy Baja",'Riesgos de gestión'!$AA$16="Catastrófico"),CONCATENATE("R2C",'Riesgos de gestión'!$O$16),"")</f>
        <v/>
      </c>
      <c r="AI47" s="56" t="str">
        <f>IF(AND('Riesgos de gestión'!$Y$17="Muy Baja",'Riesgos de gestión'!$AA$17="Catastrófico"),CONCATENATE("R2C",'Riesgos de gestión'!$O$17),"")</f>
        <v/>
      </c>
      <c r="AJ47" s="56" t="str">
        <f>IF(AND('Riesgos de gestión'!$Y$18="Muy Baja",'Riesgos de gestión'!$AA$18="Catastrófico"),CONCATENATE("R2C",'Riesgos de gestión'!$O$18),"")</f>
        <v/>
      </c>
      <c r="AK47" s="56" t="str">
        <f>IF(AND('Riesgos de gestión'!$Y$19="Muy Baja",'Riesgos de gestión'!$AA$19="Catastrófico"),CONCATENATE("R2C",'Riesgos de gestión'!$O$19),"")</f>
        <v/>
      </c>
      <c r="AL47" s="56" t="str">
        <f>IF(AND('Riesgos de gestión'!$Y$20="Muy Baja",'Riesgos de gestión'!$AA$20="Catastrófico"),CONCATENATE("R2C",'Riesgos de gestión'!$O$20),"")</f>
        <v/>
      </c>
      <c r="AM47" s="57" t="str">
        <f>IF(AND('Riesgos de gestión'!$Y$21="Muy Baja",'Riesgos de gestión'!$AA$21="Catastrófico"),CONCATENATE("R2C",'Riesgos de gestión'!$O$21),"")</f>
        <v/>
      </c>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ht="15" customHeight="1" x14ac:dyDescent="0.25">
      <c r="A48" s="83"/>
      <c r="B48" s="1103"/>
      <c r="C48" s="1103"/>
      <c r="D48" s="1104"/>
      <c r="E48" s="1200"/>
      <c r="F48" s="1201"/>
      <c r="G48" s="1201"/>
      <c r="H48" s="1201"/>
      <c r="I48" s="1217"/>
      <c r="J48" s="76" t="str">
        <f>IF(AND('Riesgos de gestión'!$Y$22="Muy Baja",'Riesgos de gestión'!$AA$22="Leve"),CONCATENATE("R3C",'Riesgos de gestión'!$O$22),"")</f>
        <v/>
      </c>
      <c r="K48" s="77" t="str">
        <f>IF(AND('Riesgos de gestión'!$Y$23="Muy Baja",'Riesgos de gestión'!$AA$23="Leve"),CONCATENATE("R3C",'Riesgos de gestión'!$O$23),"")</f>
        <v/>
      </c>
      <c r="L48" s="77" t="str">
        <f>IF(AND('Riesgos de gestión'!$Y$24="Muy Baja",'Riesgos de gestión'!$AA$24="Leve"),CONCATENATE("R3C",'Riesgos de gestión'!$O$24),"")</f>
        <v/>
      </c>
      <c r="M48" s="77" t="str">
        <f>IF(AND('Riesgos de gestión'!$Y$25="Muy Baja",'Riesgos de gestión'!$AA$25="Leve"),CONCATENATE("R3C",'Riesgos de gestión'!$O$25),"")</f>
        <v/>
      </c>
      <c r="N48" s="77" t="str">
        <f>IF(AND('Riesgos de gestión'!$Y$26="Muy Baja",'Riesgos de gestión'!$AA$26="Leve"),CONCATENATE("R3C",'Riesgos de gestión'!$O$26),"")</f>
        <v/>
      </c>
      <c r="O48" s="78" t="str">
        <f>IF(AND('Riesgos de gestión'!$Y$27="Muy Baja",'Riesgos de gestión'!$AA$27="Leve"),CONCATENATE("R3C",'Riesgos de gestión'!$O$27),"")</f>
        <v/>
      </c>
      <c r="P48" s="76" t="str">
        <f>IF(AND('Riesgos de gestión'!$Y$22="Muy Baja",'Riesgos de gestión'!$AA$22="Menor"),CONCATENATE("R3C",'Riesgos de gestión'!$O$22),"")</f>
        <v/>
      </c>
      <c r="Q48" s="77" t="str">
        <f>IF(AND('Riesgos de gestión'!$Y$23="Muy Baja",'Riesgos de gestión'!$AA$23="Menor"),CONCATENATE("R3C",'Riesgos de gestión'!$O$23),"")</f>
        <v/>
      </c>
      <c r="R48" s="77" t="str">
        <f>IF(AND('Riesgos de gestión'!$Y$24="Muy Baja",'Riesgos de gestión'!$AA$24="Menor"),CONCATENATE("R3C",'Riesgos de gestión'!$O$24),"")</f>
        <v/>
      </c>
      <c r="S48" s="77" t="str">
        <f>IF(AND('Riesgos de gestión'!$Y$25="Muy Baja",'Riesgos de gestión'!$AA$25="Menor"),CONCATENATE("R3C",'Riesgos de gestión'!$O$25),"")</f>
        <v/>
      </c>
      <c r="T48" s="77" t="str">
        <f>IF(AND('Riesgos de gestión'!$Y$26="Muy Baja",'Riesgos de gestión'!$AA$26="Menor"),CONCATENATE("R3C",'Riesgos de gestión'!$O$26),"")</f>
        <v/>
      </c>
      <c r="U48" s="78" t="str">
        <f>IF(AND('Riesgos de gestión'!$Y$27="Muy Baja",'Riesgos de gestión'!$AA$27="Menor"),CONCATENATE("R3C",'Riesgos de gestión'!$O$27),"")</f>
        <v/>
      </c>
      <c r="V48" s="67" t="str">
        <f>IF(AND('Riesgos de gestión'!$Y$22="Muy Baja",'Riesgos de gestión'!$AA$22="Moderado"),CONCATENATE("R3C",'Riesgos de gestión'!$O$22),"")</f>
        <v/>
      </c>
      <c r="W48" s="68" t="str">
        <f>IF(AND('Riesgos de gestión'!$Y$23="Muy Baja",'Riesgos de gestión'!$AA$23="Moderado"),CONCATENATE("R3C",'Riesgos de gestión'!$O$23),"")</f>
        <v/>
      </c>
      <c r="X48" s="68" t="str">
        <f>IF(AND('Riesgos de gestión'!$Y$24="Muy Baja",'Riesgos de gestión'!$AA$24="Moderado"),CONCATENATE("R3C",'Riesgos de gestión'!$O$24),"")</f>
        <v/>
      </c>
      <c r="Y48" s="68" t="str">
        <f>IF(AND('Riesgos de gestión'!$Y$25="Muy Baja",'Riesgos de gestión'!$AA$25="Moderado"),CONCATENATE("R3C",'Riesgos de gestión'!$O$25),"")</f>
        <v/>
      </c>
      <c r="Z48" s="68" t="str">
        <f>IF(AND('Riesgos de gestión'!$Y$26="Muy Baja",'Riesgos de gestión'!$AA$26="Moderado"),CONCATENATE("R3C",'Riesgos de gestión'!$O$26),"")</f>
        <v/>
      </c>
      <c r="AA48" s="69" t="str">
        <f>IF(AND('Riesgos de gestión'!$Y$27="Muy Baja",'Riesgos de gestión'!$AA$27="Moderado"),CONCATENATE("R3C",'Riesgos de gestión'!$O$27),"")</f>
        <v/>
      </c>
      <c r="AB48" s="52" t="str">
        <f>IF(AND('Riesgos de gestión'!$Y$22="Muy Baja",'Riesgos de gestión'!$AA$22="Mayor"),CONCATENATE("R3C",'Riesgos de gestión'!$O$22),"")</f>
        <v/>
      </c>
      <c r="AC48" s="53" t="str">
        <f>IF(AND('Riesgos de gestión'!$Y$23="Muy Baja",'Riesgos de gestión'!$AA$23="Mayor"),CONCATENATE("R3C",'Riesgos de gestión'!$O$23),"")</f>
        <v/>
      </c>
      <c r="AD48" s="53" t="str">
        <f>IF(AND('Riesgos de gestión'!$Y$24="Muy Baja",'Riesgos de gestión'!$AA$24="Mayor"),CONCATENATE("R3C",'Riesgos de gestión'!$O$24),"")</f>
        <v/>
      </c>
      <c r="AE48" s="53" t="str">
        <f>IF(AND('Riesgos de gestión'!$Y$25="Muy Baja",'Riesgos de gestión'!$AA$25="Mayor"),CONCATENATE("R3C",'Riesgos de gestión'!$O$25),"")</f>
        <v/>
      </c>
      <c r="AF48" s="53" t="str">
        <f>IF(AND('Riesgos de gestión'!$Y$26="Muy Baja",'Riesgos de gestión'!$AA$26="Mayor"),CONCATENATE("R3C",'Riesgos de gestión'!$O$26),"")</f>
        <v/>
      </c>
      <c r="AG48" s="54" t="str">
        <f>IF(AND('Riesgos de gestión'!$Y$27="Muy Baja",'Riesgos de gestión'!$AA$27="Mayor"),CONCATENATE("R3C",'Riesgos de gestión'!$O$27),"")</f>
        <v/>
      </c>
      <c r="AH48" s="55" t="str">
        <f>IF(AND('Riesgos de gestión'!$Y$22="Muy Baja",'Riesgos de gestión'!$AA$22="Catastrófico"),CONCATENATE("R3C",'Riesgos de gestión'!$O$22),"")</f>
        <v/>
      </c>
      <c r="AI48" s="56" t="str">
        <f>IF(AND('Riesgos de gestión'!$Y$23="Muy Baja",'Riesgos de gestión'!$AA$23="Catastrófico"),CONCATENATE("R3C",'Riesgos de gestión'!$O$23),"")</f>
        <v/>
      </c>
      <c r="AJ48" s="56" t="str">
        <f>IF(AND('Riesgos de gestión'!$Y$24="Muy Baja",'Riesgos de gestión'!$AA$24="Catastrófico"),CONCATENATE("R3C",'Riesgos de gestión'!$O$24),"")</f>
        <v/>
      </c>
      <c r="AK48" s="56" t="str">
        <f>IF(AND('Riesgos de gestión'!$Y$25="Muy Baja",'Riesgos de gestión'!$AA$25="Catastrófico"),CONCATENATE("R3C",'Riesgos de gestión'!$O$25),"")</f>
        <v/>
      </c>
      <c r="AL48" s="56" t="str">
        <f>IF(AND('Riesgos de gestión'!$Y$26="Muy Baja",'Riesgos de gestión'!$AA$26="Catastrófico"),CONCATENATE("R3C",'Riesgos de gestión'!$O$26),"")</f>
        <v/>
      </c>
      <c r="AM48" s="57" t="str">
        <f>IF(AND('Riesgos de gestión'!$Y$27="Muy Baja",'Riesgos de gestión'!$AA$27="Catastrófico"),CONCATENATE("R3C",'Riesgos de gestión'!$O$27),"")</f>
        <v/>
      </c>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row>
    <row r="49" spans="1:80" ht="15" customHeight="1" x14ac:dyDescent="0.25">
      <c r="A49" s="83"/>
      <c r="B49" s="1103"/>
      <c r="C49" s="1103"/>
      <c r="D49" s="1104"/>
      <c r="E49" s="1202"/>
      <c r="F49" s="1201"/>
      <c r="G49" s="1201"/>
      <c r="H49" s="1201"/>
      <c r="I49" s="1217"/>
      <c r="J49" s="76" t="str">
        <f>IF(AND('Riesgos de gestión'!$Y$28="Muy Baja",'Riesgos de gestión'!$AA$28="Leve"),CONCATENATE("R4C",'Riesgos de gestión'!$O$28),"")</f>
        <v/>
      </c>
      <c r="K49" s="77" t="str">
        <f>IF(AND('Riesgos de gestión'!$Y$29="Muy Baja",'Riesgos de gestión'!$AA$29="Leve"),CONCATENATE("R4C",'Riesgos de gestión'!$O$29),"")</f>
        <v/>
      </c>
      <c r="L49" s="77" t="str">
        <f>IF(AND('Riesgos de gestión'!$Y$30="Muy Baja",'Riesgos de gestión'!$AA$30="Leve"),CONCATENATE("R4C",'Riesgos de gestión'!$O$30),"")</f>
        <v/>
      </c>
      <c r="M49" s="77" t="str">
        <f>IF(AND('Riesgos de gestión'!$Y$31="Muy Baja",'Riesgos de gestión'!$AA$31="Leve"),CONCATENATE("R4C",'Riesgos de gestión'!$O$31),"")</f>
        <v/>
      </c>
      <c r="N49" s="77" t="str">
        <f>IF(AND('Riesgos de gestión'!$Y$32="Muy Baja",'Riesgos de gestión'!$AA$32="Leve"),CONCATENATE("R4C",'Riesgos de gestión'!$O$32),"")</f>
        <v/>
      </c>
      <c r="O49" s="78" t="str">
        <f>IF(AND('Riesgos de gestión'!$Y$33="Muy Baja",'Riesgos de gestión'!$AA$33="Leve"),CONCATENATE("R4C",'Riesgos de gestión'!$O$33),"")</f>
        <v/>
      </c>
      <c r="P49" s="76" t="str">
        <f>IF(AND('Riesgos de gestión'!$Y$28="Muy Baja",'Riesgos de gestión'!$AA$28="Menor"),CONCATENATE("R4C",'Riesgos de gestión'!$O$28),"")</f>
        <v/>
      </c>
      <c r="Q49" s="77" t="str">
        <f>IF(AND('Riesgos de gestión'!$Y$29="Muy Baja",'Riesgos de gestión'!$AA$29="Menor"),CONCATENATE("R4C",'Riesgos de gestión'!$O$29),"")</f>
        <v/>
      </c>
      <c r="R49" s="77" t="str">
        <f>IF(AND('Riesgos de gestión'!$Y$30="Muy Baja",'Riesgos de gestión'!$AA$30="Menor"),CONCATENATE("R4C",'Riesgos de gestión'!$O$30),"")</f>
        <v/>
      </c>
      <c r="S49" s="77" t="str">
        <f>IF(AND('Riesgos de gestión'!$Y$31="Muy Baja",'Riesgos de gestión'!$AA$31="Menor"),CONCATENATE("R4C",'Riesgos de gestión'!$O$31),"")</f>
        <v/>
      </c>
      <c r="T49" s="77" t="str">
        <f>IF(AND('Riesgos de gestión'!$Y$32="Muy Baja",'Riesgos de gestión'!$AA$32="Menor"),CONCATENATE("R4C",'Riesgos de gestión'!$O$32),"")</f>
        <v/>
      </c>
      <c r="U49" s="78" t="str">
        <f>IF(AND('Riesgos de gestión'!$Y$33="Muy Baja",'Riesgos de gestión'!$AA$33="Menor"),CONCATENATE("R4C",'Riesgos de gestión'!$O$33),"")</f>
        <v/>
      </c>
      <c r="V49" s="67" t="str">
        <f>IF(AND('Riesgos de gestión'!$Y$28="Muy Baja",'Riesgos de gestión'!$AA$28="Moderado"),CONCATENATE("R4C",'Riesgos de gestión'!$O$28),"")</f>
        <v/>
      </c>
      <c r="W49" s="68" t="str">
        <f>IF(AND('Riesgos de gestión'!$Y$29="Muy Baja",'Riesgos de gestión'!$AA$29="Moderado"),CONCATENATE("R4C",'Riesgos de gestión'!$O$29),"")</f>
        <v/>
      </c>
      <c r="X49" s="68" t="str">
        <f>IF(AND('Riesgos de gestión'!$Y$30="Muy Baja",'Riesgos de gestión'!$AA$30="Moderado"),CONCATENATE("R4C",'Riesgos de gestión'!$O$30),"")</f>
        <v/>
      </c>
      <c r="Y49" s="68" t="str">
        <f>IF(AND('Riesgos de gestión'!$Y$31="Muy Baja",'Riesgos de gestión'!$AA$31="Moderado"),CONCATENATE("R4C",'Riesgos de gestión'!$O$31),"")</f>
        <v/>
      </c>
      <c r="Z49" s="68" t="str">
        <f>IF(AND('Riesgos de gestión'!$Y$32="Muy Baja",'Riesgos de gestión'!$AA$32="Moderado"),CONCATENATE("R4C",'Riesgos de gestión'!$O$32),"")</f>
        <v/>
      </c>
      <c r="AA49" s="69" t="str">
        <f>IF(AND('Riesgos de gestión'!$Y$33="Muy Baja",'Riesgos de gestión'!$AA$33="Moderado"),CONCATENATE("R4C",'Riesgos de gestión'!$O$33),"")</f>
        <v/>
      </c>
      <c r="AB49" s="52" t="str">
        <f>IF(AND('Riesgos de gestión'!$Y$28="Muy Baja",'Riesgos de gestión'!$AA$28="Mayor"),CONCATENATE("R4C",'Riesgos de gestión'!$O$28),"")</f>
        <v/>
      </c>
      <c r="AC49" s="53" t="str">
        <f>IF(AND('Riesgos de gestión'!$Y$29="Muy Baja",'Riesgos de gestión'!$AA$29="Mayor"),CONCATENATE("R4C",'Riesgos de gestión'!$O$29),"")</f>
        <v/>
      </c>
      <c r="AD49" s="53" t="str">
        <f>IF(AND('Riesgos de gestión'!$Y$30="Muy Baja",'Riesgos de gestión'!$AA$30="Mayor"),CONCATENATE("R4C",'Riesgos de gestión'!$O$30),"")</f>
        <v/>
      </c>
      <c r="AE49" s="53" t="str">
        <f>IF(AND('Riesgos de gestión'!$Y$31="Muy Baja",'Riesgos de gestión'!$AA$31="Mayor"),CONCATENATE("R4C",'Riesgos de gestión'!$O$31),"")</f>
        <v/>
      </c>
      <c r="AF49" s="53" t="str">
        <f>IF(AND('Riesgos de gestión'!$Y$32="Muy Baja",'Riesgos de gestión'!$AA$32="Mayor"),CONCATENATE("R4C",'Riesgos de gestión'!$O$32),"")</f>
        <v/>
      </c>
      <c r="AG49" s="54" t="str">
        <f>IF(AND('Riesgos de gestión'!$Y$33="Muy Baja",'Riesgos de gestión'!$AA$33="Mayor"),CONCATENATE("R4C",'Riesgos de gestión'!$O$33),"")</f>
        <v/>
      </c>
      <c r="AH49" s="55" t="str">
        <f>IF(AND('Riesgos de gestión'!$Y$28="Muy Baja",'Riesgos de gestión'!$AA$28="Catastrófico"),CONCATENATE("R4C",'Riesgos de gestión'!$O$28),"")</f>
        <v/>
      </c>
      <c r="AI49" s="56" t="str">
        <f>IF(AND('Riesgos de gestión'!$Y$29="Muy Baja",'Riesgos de gestión'!$AA$29="Catastrófico"),CONCATENATE("R4C",'Riesgos de gestión'!$O$29),"")</f>
        <v/>
      </c>
      <c r="AJ49" s="56" t="str">
        <f>IF(AND('Riesgos de gestión'!$Y$30="Muy Baja",'Riesgos de gestión'!$AA$30="Catastrófico"),CONCATENATE("R4C",'Riesgos de gestión'!$O$30),"")</f>
        <v/>
      </c>
      <c r="AK49" s="56" t="str">
        <f>IF(AND('Riesgos de gestión'!$Y$31="Muy Baja",'Riesgos de gestión'!$AA$31="Catastrófico"),CONCATENATE("R4C",'Riesgos de gestión'!$O$31),"")</f>
        <v/>
      </c>
      <c r="AL49" s="56" t="str">
        <f>IF(AND('Riesgos de gestión'!$Y$32="Muy Baja",'Riesgos de gestión'!$AA$32="Catastrófico"),CONCATENATE("R4C",'Riesgos de gestión'!$O$32),"")</f>
        <v/>
      </c>
      <c r="AM49" s="57" t="str">
        <f>IF(AND('Riesgos de gestión'!$Y$33="Muy Baja",'Riesgos de gestión'!$AA$33="Catastrófico"),CONCATENATE("R4C",'Riesgos de gestión'!$O$33),"")</f>
        <v/>
      </c>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ht="15" customHeight="1" x14ac:dyDescent="0.25">
      <c r="A50" s="83"/>
      <c r="B50" s="1103"/>
      <c r="C50" s="1103"/>
      <c r="D50" s="1104"/>
      <c r="E50" s="1202"/>
      <c r="F50" s="1201"/>
      <c r="G50" s="1201"/>
      <c r="H50" s="1201"/>
      <c r="I50" s="1217"/>
      <c r="J50" s="76" t="str">
        <f>IF(AND('Riesgos de gestión'!$Y$34="Muy Baja",'Riesgos de gestión'!$AA$34="Leve"),CONCATENATE("R5C",'Riesgos de gestión'!$O$34),"")</f>
        <v/>
      </c>
      <c r="K50" s="77" t="str">
        <f>IF(AND('Riesgos de gestión'!$Y$35="Muy Baja",'Riesgos de gestión'!$AA$35="Leve"),CONCATENATE("R5C",'Riesgos de gestión'!$O$35),"")</f>
        <v/>
      </c>
      <c r="L50" s="77" t="str">
        <f>IF(AND('Riesgos de gestión'!$Y$36="Muy Baja",'Riesgos de gestión'!$AA$36="Leve"),CONCATENATE("R5C",'Riesgos de gestión'!$O$36),"")</f>
        <v/>
      </c>
      <c r="M50" s="77" t="str">
        <f>IF(AND('Riesgos de gestión'!$Y$37="Muy Baja",'Riesgos de gestión'!$AA$37="Leve"),CONCATENATE("R5C",'Riesgos de gestión'!$O$37),"")</f>
        <v/>
      </c>
      <c r="N50" s="77" t="str">
        <f>IF(AND('Riesgos de gestión'!$Y$38="Muy Baja",'Riesgos de gestión'!$AA$38="Leve"),CONCATENATE("R5C",'Riesgos de gestión'!$O$38),"")</f>
        <v/>
      </c>
      <c r="O50" s="78" t="str">
        <f>IF(AND('Riesgos de gestión'!$Y$39="Muy Baja",'Riesgos de gestión'!$AA$39="Leve"),CONCATENATE("R5C",'Riesgos de gestión'!$O$39),"")</f>
        <v/>
      </c>
      <c r="P50" s="76" t="str">
        <f>IF(AND('Riesgos de gestión'!$Y$34="Muy Baja",'Riesgos de gestión'!$AA$34="Menor"),CONCATENATE("R5C",'Riesgos de gestión'!$O$34),"")</f>
        <v/>
      </c>
      <c r="Q50" s="77" t="str">
        <f>IF(AND('Riesgos de gestión'!$Y$35="Muy Baja",'Riesgos de gestión'!$AA$35="Menor"),CONCATENATE("R5C",'Riesgos de gestión'!$O$35),"")</f>
        <v/>
      </c>
      <c r="R50" s="77" t="str">
        <f>IF(AND('Riesgos de gestión'!$Y$36="Muy Baja",'Riesgos de gestión'!$AA$36="Menor"),CONCATENATE("R5C",'Riesgos de gestión'!$O$36),"")</f>
        <v/>
      </c>
      <c r="S50" s="77" t="str">
        <f>IF(AND('Riesgos de gestión'!$Y$37="Muy Baja",'Riesgos de gestión'!$AA$37="Menor"),CONCATENATE("R5C",'Riesgos de gestión'!$O$37),"")</f>
        <v/>
      </c>
      <c r="T50" s="77" t="str">
        <f>IF(AND('Riesgos de gestión'!$Y$38="Muy Baja",'Riesgos de gestión'!$AA$38="Menor"),CONCATENATE("R5C",'Riesgos de gestión'!$O$38),"")</f>
        <v/>
      </c>
      <c r="U50" s="78" t="str">
        <f>IF(AND('Riesgos de gestión'!$Y$39="Muy Baja",'Riesgos de gestión'!$AA$39="Menor"),CONCATENATE("R5C",'Riesgos de gestión'!$O$39),"")</f>
        <v/>
      </c>
      <c r="V50" s="67" t="str">
        <f>IF(AND('Riesgos de gestión'!$Y$34="Muy Baja",'Riesgos de gestión'!$AA$34="Moderado"),CONCATENATE("R5C",'Riesgos de gestión'!$O$34),"")</f>
        <v/>
      </c>
      <c r="W50" s="68" t="str">
        <f>IF(AND('Riesgos de gestión'!$Y$35="Muy Baja",'Riesgos de gestión'!$AA$35="Moderado"),CONCATENATE("R5C",'Riesgos de gestión'!$O$35),"")</f>
        <v/>
      </c>
      <c r="X50" s="68" t="str">
        <f>IF(AND('Riesgos de gestión'!$Y$36="Muy Baja",'Riesgos de gestión'!$AA$36="Moderado"),CONCATENATE("R5C",'Riesgos de gestión'!$O$36),"")</f>
        <v/>
      </c>
      <c r="Y50" s="68" t="str">
        <f>IF(AND('Riesgos de gestión'!$Y$37="Muy Baja",'Riesgos de gestión'!$AA$37="Moderado"),CONCATENATE("R5C",'Riesgos de gestión'!$O$37),"")</f>
        <v/>
      </c>
      <c r="Z50" s="68" t="str">
        <f>IF(AND('Riesgos de gestión'!$Y$38="Muy Baja",'Riesgos de gestión'!$AA$38="Moderado"),CONCATENATE("R5C",'Riesgos de gestión'!$O$38),"")</f>
        <v/>
      </c>
      <c r="AA50" s="69" t="str">
        <f>IF(AND('Riesgos de gestión'!$Y$39="Muy Baja",'Riesgos de gestión'!$AA$39="Moderado"),CONCATENATE("R5C",'Riesgos de gestión'!$O$39),"")</f>
        <v/>
      </c>
      <c r="AB50" s="52" t="str">
        <f>IF(AND('Riesgos de gestión'!$Y$34="Muy Baja",'Riesgos de gestión'!$AA$34="Mayor"),CONCATENATE("R5C",'Riesgos de gestión'!$O$34),"")</f>
        <v/>
      </c>
      <c r="AC50" s="53" t="str">
        <f>IF(AND('Riesgos de gestión'!$Y$35="Muy Baja",'Riesgos de gestión'!$AA$35="Mayor"),CONCATENATE("R5C",'Riesgos de gestión'!$O$35),"")</f>
        <v/>
      </c>
      <c r="AD50" s="53" t="str">
        <f>IF(AND('Riesgos de gestión'!$Y$36="Muy Baja",'Riesgos de gestión'!$AA$36="Mayor"),CONCATENATE("R5C",'Riesgos de gestión'!$O$36),"")</f>
        <v/>
      </c>
      <c r="AE50" s="53" t="str">
        <f>IF(AND('Riesgos de gestión'!$Y$37="Muy Baja",'Riesgos de gestión'!$AA$37="Mayor"),CONCATENATE("R5C",'Riesgos de gestión'!$O$37),"")</f>
        <v/>
      </c>
      <c r="AF50" s="53" t="str">
        <f>IF(AND('Riesgos de gestión'!$Y$38="Muy Baja",'Riesgos de gestión'!$AA$38="Mayor"),CONCATENATE("R5C",'Riesgos de gestión'!$O$38),"")</f>
        <v/>
      </c>
      <c r="AG50" s="54" t="str">
        <f>IF(AND('Riesgos de gestión'!$Y$39="Muy Baja",'Riesgos de gestión'!$AA$39="Mayor"),CONCATENATE("R5C",'Riesgos de gestión'!$O$39),"")</f>
        <v/>
      </c>
      <c r="AH50" s="55" t="str">
        <f>IF(AND('Riesgos de gestión'!$Y$34="Muy Baja",'Riesgos de gestión'!$AA$34="Catastrófico"),CONCATENATE("R5C",'Riesgos de gestión'!$O$34),"")</f>
        <v/>
      </c>
      <c r="AI50" s="56" t="str">
        <f>IF(AND('Riesgos de gestión'!$Y$35="Muy Baja",'Riesgos de gestión'!$AA$35="Catastrófico"),CONCATENATE("R5C",'Riesgos de gestión'!$O$35),"")</f>
        <v/>
      </c>
      <c r="AJ50" s="56" t="str">
        <f>IF(AND('Riesgos de gestión'!$Y$36="Muy Baja",'Riesgos de gestión'!$AA$36="Catastrófico"),CONCATENATE("R5C",'Riesgos de gestión'!$O$36),"")</f>
        <v/>
      </c>
      <c r="AK50" s="56" t="str">
        <f>IF(AND('Riesgos de gestión'!$Y$37="Muy Baja",'Riesgos de gestión'!$AA$37="Catastrófico"),CONCATENATE("R5C",'Riesgos de gestión'!$O$37),"")</f>
        <v/>
      </c>
      <c r="AL50" s="56" t="str">
        <f>IF(AND('Riesgos de gestión'!$Y$38="Muy Baja",'Riesgos de gestión'!$AA$38="Catastrófico"),CONCATENATE("R5C",'Riesgos de gestión'!$O$38),"")</f>
        <v/>
      </c>
      <c r="AM50" s="57" t="str">
        <f>IF(AND('Riesgos de gestión'!$Y$39="Muy Baja",'Riesgos de gestión'!$AA$39="Catastrófico"),CONCATENATE("R5C",'Riesgos de gestión'!$O$39),"")</f>
        <v/>
      </c>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row>
    <row r="51" spans="1:80" ht="15" customHeight="1" x14ac:dyDescent="0.25">
      <c r="A51" s="83"/>
      <c r="B51" s="1103"/>
      <c r="C51" s="1103"/>
      <c r="D51" s="1104"/>
      <c r="E51" s="1202"/>
      <c r="F51" s="1201"/>
      <c r="G51" s="1201"/>
      <c r="H51" s="1201"/>
      <c r="I51" s="1217"/>
      <c r="J51" s="76" t="str">
        <f>IF(AND('Riesgos de gestión'!$Y$40="Muy Baja",'Riesgos de gestión'!$AA$40="Leve"),CONCATENATE("R6C",'Riesgos de gestión'!$O$40),"")</f>
        <v/>
      </c>
      <c r="K51" s="77" t="str">
        <f>IF(AND('Riesgos de gestión'!$Y$41="Muy Baja",'Riesgos de gestión'!$AA$41="Leve"),CONCATENATE("R6C",'Riesgos de gestión'!$O$41),"")</f>
        <v/>
      </c>
      <c r="L51" s="77" t="str">
        <f>IF(AND('Riesgos de gestión'!$Y$42="Muy Baja",'Riesgos de gestión'!$AA$42="Leve"),CONCATENATE("R6C",'Riesgos de gestión'!$O$42),"")</f>
        <v/>
      </c>
      <c r="M51" s="77" t="str">
        <f>IF(AND('Riesgos de gestión'!$Y$43="Muy Baja",'Riesgos de gestión'!$AA$43="Leve"),CONCATENATE("R6C",'Riesgos de gestión'!$O$43),"")</f>
        <v/>
      </c>
      <c r="N51" s="77" t="str">
        <f>IF(AND('Riesgos de gestión'!$Y$44="Muy Baja",'Riesgos de gestión'!$AA$44="Leve"),CONCATENATE("R6C",'Riesgos de gestión'!$O$44),"")</f>
        <v/>
      </c>
      <c r="O51" s="78" t="str">
        <f>IF(AND('Riesgos de gestión'!$Y$45="Muy Baja",'Riesgos de gestión'!$AA$45="Leve"),CONCATENATE("R6C",'Riesgos de gestión'!$O$45),"")</f>
        <v/>
      </c>
      <c r="P51" s="76" t="str">
        <f>IF(AND('Riesgos de gestión'!$Y$40="Muy Baja",'Riesgos de gestión'!$AA$40="Menor"),CONCATENATE("R6C",'Riesgos de gestión'!$O$40),"")</f>
        <v/>
      </c>
      <c r="Q51" s="77" t="str">
        <f>IF(AND('Riesgos de gestión'!$Y$41="Muy Baja",'Riesgos de gestión'!$AA$41="Menor"),CONCATENATE("R6C",'Riesgos de gestión'!$O$41),"")</f>
        <v/>
      </c>
      <c r="R51" s="77" t="str">
        <f>IF(AND('Riesgos de gestión'!$Y$42="Muy Baja",'Riesgos de gestión'!$AA$42="Menor"),CONCATENATE("R6C",'Riesgos de gestión'!$O$42),"")</f>
        <v/>
      </c>
      <c r="S51" s="77" t="str">
        <f>IF(AND('Riesgos de gestión'!$Y$43="Muy Baja",'Riesgos de gestión'!$AA$43="Menor"),CONCATENATE("R6C",'Riesgos de gestión'!$O$43),"")</f>
        <v/>
      </c>
      <c r="T51" s="77" t="str">
        <f>IF(AND('Riesgos de gestión'!$Y$44="Muy Baja",'Riesgos de gestión'!$AA$44="Menor"),CONCATENATE("R6C",'Riesgos de gestión'!$O$44),"")</f>
        <v/>
      </c>
      <c r="U51" s="78" t="str">
        <f>IF(AND('Riesgos de gestión'!$Y$45="Muy Baja",'Riesgos de gestión'!$AA$45="Menor"),CONCATENATE("R6C",'Riesgos de gestión'!$O$45),"")</f>
        <v/>
      </c>
      <c r="V51" s="67" t="str">
        <f>IF(AND('Riesgos de gestión'!$Y$40="Muy Baja",'Riesgos de gestión'!$AA$40="Moderado"),CONCATENATE("R6C",'Riesgos de gestión'!$O$40),"")</f>
        <v/>
      </c>
      <c r="W51" s="68" t="str">
        <f>IF(AND('Riesgos de gestión'!$Y$41="Muy Baja",'Riesgos de gestión'!$AA$41="Moderado"),CONCATENATE("R6C",'Riesgos de gestión'!$O$41),"")</f>
        <v/>
      </c>
      <c r="X51" s="68" t="str">
        <f>IF(AND('Riesgos de gestión'!$Y$42="Muy Baja",'Riesgos de gestión'!$AA$42="Moderado"),CONCATENATE("R6C",'Riesgos de gestión'!$O$42),"")</f>
        <v/>
      </c>
      <c r="Y51" s="68" t="str">
        <f>IF(AND('Riesgos de gestión'!$Y$43="Muy Baja",'Riesgos de gestión'!$AA$43="Moderado"),CONCATENATE("R6C",'Riesgos de gestión'!$O$43),"")</f>
        <v/>
      </c>
      <c r="Z51" s="68" t="str">
        <f>IF(AND('Riesgos de gestión'!$Y$44="Muy Baja",'Riesgos de gestión'!$AA$44="Moderado"),CONCATENATE("R6C",'Riesgos de gestión'!$O$44),"")</f>
        <v/>
      </c>
      <c r="AA51" s="69" t="str">
        <f>IF(AND('Riesgos de gestión'!$Y$45="Muy Baja",'Riesgos de gestión'!$AA$45="Moderado"),CONCATENATE("R6C",'Riesgos de gestión'!$O$45),"")</f>
        <v/>
      </c>
      <c r="AB51" s="52" t="str">
        <f>IF(AND('Riesgos de gestión'!$Y$40="Muy Baja",'Riesgos de gestión'!$AA$40="Mayor"),CONCATENATE("R6C",'Riesgos de gestión'!$O$40),"")</f>
        <v/>
      </c>
      <c r="AC51" s="53" t="str">
        <f>IF(AND('Riesgos de gestión'!$Y$41="Muy Baja",'Riesgos de gestión'!$AA$41="Mayor"),CONCATENATE("R6C",'Riesgos de gestión'!$O$41),"")</f>
        <v/>
      </c>
      <c r="AD51" s="53" t="str">
        <f>IF(AND('Riesgos de gestión'!$Y$42="Muy Baja",'Riesgos de gestión'!$AA$42="Mayor"),CONCATENATE("R6C",'Riesgos de gestión'!$O$42),"")</f>
        <v/>
      </c>
      <c r="AE51" s="53" t="str">
        <f>IF(AND('Riesgos de gestión'!$Y$43="Muy Baja",'Riesgos de gestión'!$AA$43="Mayor"),CONCATENATE("R6C",'Riesgos de gestión'!$O$43),"")</f>
        <v/>
      </c>
      <c r="AF51" s="53" t="str">
        <f>IF(AND('Riesgos de gestión'!$Y$44="Muy Baja",'Riesgos de gestión'!$AA$44="Mayor"),CONCATENATE("R6C",'Riesgos de gestión'!$O$44),"")</f>
        <v/>
      </c>
      <c r="AG51" s="54" t="str">
        <f>IF(AND('Riesgos de gestión'!$Y$45="Muy Baja",'Riesgos de gestión'!$AA$45="Mayor"),CONCATENATE("R6C",'Riesgos de gestión'!$O$45),"")</f>
        <v/>
      </c>
      <c r="AH51" s="55" t="str">
        <f>IF(AND('Riesgos de gestión'!$Y$40="Muy Baja",'Riesgos de gestión'!$AA$40="Catastrófico"),CONCATENATE("R6C",'Riesgos de gestión'!$O$40),"")</f>
        <v/>
      </c>
      <c r="AI51" s="56" t="str">
        <f>IF(AND('Riesgos de gestión'!$Y$41="Muy Baja",'Riesgos de gestión'!$AA$41="Catastrófico"),CONCATENATE("R6C",'Riesgos de gestión'!$O$41),"")</f>
        <v/>
      </c>
      <c r="AJ51" s="56" t="str">
        <f>IF(AND('Riesgos de gestión'!$Y$42="Muy Baja",'Riesgos de gestión'!$AA$42="Catastrófico"),CONCATENATE("R6C",'Riesgos de gestión'!$O$42),"")</f>
        <v/>
      </c>
      <c r="AK51" s="56" t="str">
        <f>IF(AND('Riesgos de gestión'!$Y$43="Muy Baja",'Riesgos de gestión'!$AA$43="Catastrófico"),CONCATENATE("R6C",'Riesgos de gestión'!$O$43),"")</f>
        <v/>
      </c>
      <c r="AL51" s="56" t="str">
        <f>IF(AND('Riesgos de gestión'!$Y$44="Muy Baja",'Riesgos de gestión'!$AA$44="Catastrófico"),CONCATENATE("R6C",'Riesgos de gestión'!$O$44),"")</f>
        <v/>
      </c>
      <c r="AM51" s="57" t="str">
        <f>IF(AND('Riesgos de gestión'!$Y$45="Muy Baja",'Riesgos de gestión'!$AA$45="Catastrófico"),CONCATENATE("R6C",'Riesgos de gestión'!$O$45),"")</f>
        <v/>
      </c>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row>
    <row r="52" spans="1:80" ht="15" customHeight="1" x14ac:dyDescent="0.25">
      <c r="A52" s="83"/>
      <c r="B52" s="1103"/>
      <c r="C52" s="1103"/>
      <c r="D52" s="1104"/>
      <c r="E52" s="1202"/>
      <c r="F52" s="1201"/>
      <c r="G52" s="1201"/>
      <c r="H52" s="1201"/>
      <c r="I52" s="1217"/>
      <c r="J52" s="76" t="str">
        <f>IF(AND('Riesgos de gestión'!$Y$46="Muy Baja",'Riesgos de gestión'!$AA$46="Leve"),CONCATENATE("R7C",'Riesgos de gestión'!$O$46),"")</f>
        <v/>
      </c>
      <c r="K52" s="77" t="str">
        <f>IF(AND('Riesgos de gestión'!$Y$47="Muy Baja",'Riesgos de gestión'!$AA$47="Leve"),CONCATENATE("R7C",'Riesgos de gestión'!$O$47),"")</f>
        <v/>
      </c>
      <c r="L52" s="77" t="str">
        <f>IF(AND('Riesgos de gestión'!$Y$48="Muy Baja",'Riesgos de gestión'!$AA$48="Leve"),CONCATENATE("R7C",'Riesgos de gestión'!$O$48),"")</f>
        <v/>
      </c>
      <c r="M52" s="77" t="str">
        <f>IF(AND('Riesgos de gestión'!$Y$49="Muy Baja",'Riesgos de gestión'!$AA$49="Leve"),CONCATENATE("R7C",'Riesgos de gestión'!$O$49),"")</f>
        <v/>
      </c>
      <c r="N52" s="77" t="str">
        <f>IF(AND('Riesgos de gestión'!$Y$50="Muy Baja",'Riesgos de gestión'!$AA$50="Leve"),CONCATENATE("R7C",'Riesgos de gestión'!$O$50),"")</f>
        <v/>
      </c>
      <c r="O52" s="78" t="str">
        <f>IF(AND('Riesgos de gestión'!$Y$51="Muy Baja",'Riesgos de gestión'!$AA$51="Leve"),CONCATENATE("R7C",'Riesgos de gestión'!$O$51),"")</f>
        <v/>
      </c>
      <c r="P52" s="76" t="str">
        <f>IF(AND('Riesgos de gestión'!$Y$46="Muy Baja",'Riesgos de gestión'!$AA$46="Menor"),CONCATENATE("R7C",'Riesgos de gestión'!$O$46),"")</f>
        <v/>
      </c>
      <c r="Q52" s="77" t="str">
        <f>IF(AND('Riesgos de gestión'!$Y$47="Muy Baja",'Riesgos de gestión'!$AA$47="Menor"),CONCATENATE("R7C",'Riesgos de gestión'!$O$47),"")</f>
        <v/>
      </c>
      <c r="R52" s="77" t="str">
        <f>IF(AND('Riesgos de gestión'!$Y$48="Muy Baja",'Riesgos de gestión'!$AA$48="Menor"),CONCATENATE("R7C",'Riesgos de gestión'!$O$48),"")</f>
        <v/>
      </c>
      <c r="S52" s="77" t="str">
        <f>IF(AND('Riesgos de gestión'!$Y$49="Muy Baja",'Riesgos de gestión'!$AA$49="Menor"),CONCATENATE("R7C",'Riesgos de gestión'!$O$49),"")</f>
        <v/>
      </c>
      <c r="T52" s="77" t="str">
        <f>IF(AND('Riesgos de gestión'!$Y$50="Muy Baja",'Riesgos de gestión'!$AA$50="Menor"),CONCATENATE("R7C",'Riesgos de gestión'!$O$50),"")</f>
        <v/>
      </c>
      <c r="U52" s="78" t="str">
        <f>IF(AND('Riesgos de gestión'!$Y$51="Muy Baja",'Riesgos de gestión'!$AA$51="Menor"),CONCATENATE("R7C",'Riesgos de gestión'!$O$51),"")</f>
        <v/>
      </c>
      <c r="V52" s="67" t="str">
        <f>IF(AND('Riesgos de gestión'!$Y$46="Muy Baja",'Riesgos de gestión'!$AA$46="Moderado"),CONCATENATE("R7C",'Riesgos de gestión'!$O$46),"")</f>
        <v/>
      </c>
      <c r="W52" s="68" t="str">
        <f>IF(AND('Riesgos de gestión'!$Y$47="Muy Baja",'Riesgos de gestión'!$AA$47="Moderado"),CONCATENATE("R7C",'Riesgos de gestión'!$O$47),"")</f>
        <v/>
      </c>
      <c r="X52" s="68" t="str">
        <f>IF(AND('Riesgos de gestión'!$Y$48="Muy Baja",'Riesgos de gestión'!$AA$48="Moderado"),CONCATENATE("R7C",'Riesgos de gestión'!$O$48),"")</f>
        <v/>
      </c>
      <c r="Y52" s="68" t="str">
        <f>IF(AND('Riesgos de gestión'!$Y$49="Muy Baja",'Riesgos de gestión'!$AA$49="Moderado"),CONCATENATE("R7C",'Riesgos de gestión'!$O$49),"")</f>
        <v/>
      </c>
      <c r="Z52" s="68" t="str">
        <f>IF(AND('Riesgos de gestión'!$Y$50="Muy Baja",'Riesgos de gestión'!$AA$50="Moderado"),CONCATENATE("R7C",'Riesgos de gestión'!$O$50),"")</f>
        <v/>
      </c>
      <c r="AA52" s="69" t="str">
        <f>IF(AND('Riesgos de gestión'!$Y$51="Muy Baja",'Riesgos de gestión'!$AA$51="Moderado"),CONCATENATE("R7C",'Riesgos de gestión'!$O$51),"")</f>
        <v/>
      </c>
      <c r="AB52" s="52" t="str">
        <f>IF(AND('Riesgos de gestión'!$Y$46="Muy Baja",'Riesgos de gestión'!$AA$46="Mayor"),CONCATENATE("R7C",'Riesgos de gestión'!$O$46),"")</f>
        <v/>
      </c>
      <c r="AC52" s="53" t="str">
        <f>IF(AND('Riesgos de gestión'!$Y$47="Muy Baja",'Riesgos de gestión'!$AA$47="Mayor"),CONCATENATE("R7C",'Riesgos de gestión'!$O$47),"")</f>
        <v/>
      </c>
      <c r="AD52" s="53" t="str">
        <f>IF(AND('Riesgos de gestión'!$Y$48="Muy Baja",'Riesgos de gestión'!$AA$48="Mayor"),CONCATENATE("R7C",'Riesgos de gestión'!$O$48),"")</f>
        <v/>
      </c>
      <c r="AE52" s="53" t="str">
        <f>IF(AND('Riesgos de gestión'!$Y$49="Muy Baja",'Riesgos de gestión'!$AA$49="Mayor"),CONCATENATE("R7C",'Riesgos de gestión'!$O$49),"")</f>
        <v/>
      </c>
      <c r="AF52" s="53" t="str">
        <f>IF(AND('Riesgos de gestión'!$Y$50="Muy Baja",'Riesgos de gestión'!$AA$50="Mayor"),CONCATENATE("R7C",'Riesgos de gestión'!$O$50),"")</f>
        <v/>
      </c>
      <c r="AG52" s="54" t="str">
        <f>IF(AND('Riesgos de gestión'!$Y$51="Muy Baja",'Riesgos de gestión'!$AA$51="Mayor"),CONCATENATE("R7C",'Riesgos de gestión'!$O$51),"")</f>
        <v/>
      </c>
      <c r="AH52" s="55" t="str">
        <f>IF(AND('Riesgos de gestión'!$Y$46="Muy Baja",'Riesgos de gestión'!$AA$46="Catastrófico"),CONCATENATE("R7C",'Riesgos de gestión'!$O$46),"")</f>
        <v/>
      </c>
      <c r="AI52" s="56" t="str">
        <f>IF(AND('Riesgos de gestión'!$Y$47="Muy Baja",'Riesgos de gestión'!$AA$47="Catastrófico"),CONCATENATE("R7C",'Riesgos de gestión'!$O$47),"")</f>
        <v/>
      </c>
      <c r="AJ52" s="56" t="str">
        <f>IF(AND('Riesgos de gestión'!$Y$48="Muy Baja",'Riesgos de gestión'!$AA$48="Catastrófico"),CONCATENATE("R7C",'Riesgos de gestión'!$O$48),"")</f>
        <v/>
      </c>
      <c r="AK52" s="56" t="str">
        <f>IF(AND('Riesgos de gestión'!$Y$49="Muy Baja",'Riesgos de gestión'!$AA$49="Catastrófico"),CONCATENATE("R7C",'Riesgos de gestión'!$O$49),"")</f>
        <v/>
      </c>
      <c r="AL52" s="56" t="str">
        <f>IF(AND('Riesgos de gestión'!$Y$50="Muy Baja",'Riesgos de gestión'!$AA$50="Catastrófico"),CONCATENATE("R7C",'Riesgos de gestión'!$O$50),"")</f>
        <v/>
      </c>
      <c r="AM52" s="57" t="str">
        <f>IF(AND('Riesgos de gestión'!$Y$51="Muy Baja",'Riesgos de gestión'!$AA$51="Catastrófico"),CONCATENATE("R7C",'Riesgos de gestión'!$O$51),"")</f>
        <v/>
      </c>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row>
    <row r="53" spans="1:80" ht="15" customHeight="1" x14ac:dyDescent="0.25">
      <c r="A53" s="83"/>
      <c r="B53" s="1103"/>
      <c r="C53" s="1103"/>
      <c r="D53" s="1104"/>
      <c r="E53" s="1202"/>
      <c r="F53" s="1201"/>
      <c r="G53" s="1201"/>
      <c r="H53" s="1201"/>
      <c r="I53" s="1217"/>
      <c r="J53" s="76" t="str">
        <f>IF(AND('Riesgos de gestión'!$Y$52="Muy Baja",'Riesgos de gestión'!$AA$52="Leve"),CONCATENATE("R8C",'Riesgos de gestión'!$O$52),"")</f>
        <v/>
      </c>
      <c r="K53" s="77" t="str">
        <f>IF(AND('Riesgos de gestión'!$Y$53="Muy Baja",'Riesgos de gestión'!$AA$53="Leve"),CONCATENATE("R8C",'Riesgos de gestión'!$O$53),"")</f>
        <v/>
      </c>
      <c r="L53" s="77" t="str">
        <f>IF(AND('Riesgos de gestión'!$Y$54="Muy Baja",'Riesgos de gestión'!$AA$54="Leve"),CONCATENATE("R8C",'Riesgos de gestión'!$O$54),"")</f>
        <v/>
      </c>
      <c r="M53" s="77" t="str">
        <f>IF(AND('Riesgos de gestión'!$Y$55="Muy Baja",'Riesgos de gestión'!$AA$55="Leve"),CONCATENATE("R8C",'Riesgos de gestión'!$O$55),"")</f>
        <v/>
      </c>
      <c r="N53" s="77" t="str">
        <f>IF(AND('Riesgos de gestión'!$Y$56="Muy Baja",'Riesgos de gestión'!$AA$56="Leve"),CONCATENATE("R8C",'Riesgos de gestión'!$O$56),"")</f>
        <v/>
      </c>
      <c r="O53" s="78" t="str">
        <f>IF(AND('Riesgos de gestión'!$Y$57="Muy Baja",'Riesgos de gestión'!$AA$57="Leve"),CONCATENATE("R8C",'Riesgos de gestión'!$O$57),"")</f>
        <v/>
      </c>
      <c r="P53" s="76" t="str">
        <f>IF(AND('Riesgos de gestión'!$Y$52="Muy Baja",'Riesgos de gestión'!$AA$52="Menor"),CONCATENATE("R8C",'Riesgos de gestión'!$O$52),"")</f>
        <v/>
      </c>
      <c r="Q53" s="77" t="str">
        <f>IF(AND('Riesgos de gestión'!$Y$53="Muy Baja",'Riesgos de gestión'!$AA$53="Menor"),CONCATENATE("R8C",'Riesgos de gestión'!$O$53),"")</f>
        <v/>
      </c>
      <c r="R53" s="77" t="str">
        <f>IF(AND('Riesgos de gestión'!$Y$54="Muy Baja",'Riesgos de gestión'!$AA$54="Menor"),CONCATENATE("R8C",'Riesgos de gestión'!$O$54),"")</f>
        <v/>
      </c>
      <c r="S53" s="77" t="str">
        <f>IF(AND('Riesgos de gestión'!$Y$55="Muy Baja",'Riesgos de gestión'!$AA$55="Menor"),CONCATENATE("R8C",'Riesgos de gestión'!$O$55),"")</f>
        <v/>
      </c>
      <c r="T53" s="77" t="str">
        <f>IF(AND('Riesgos de gestión'!$Y$56="Muy Baja",'Riesgos de gestión'!$AA$56="Menor"),CONCATENATE("R8C",'Riesgos de gestión'!$O$56),"")</f>
        <v/>
      </c>
      <c r="U53" s="78" t="str">
        <f>IF(AND('Riesgos de gestión'!$Y$57="Muy Baja",'Riesgos de gestión'!$AA$57="Menor"),CONCATENATE("R8C",'Riesgos de gestión'!$O$57),"")</f>
        <v/>
      </c>
      <c r="V53" s="67" t="str">
        <f>IF(AND('Riesgos de gestión'!$Y$52="Muy Baja",'Riesgos de gestión'!$AA$52="Moderado"),CONCATENATE("R8C",'Riesgos de gestión'!$O$52),"")</f>
        <v/>
      </c>
      <c r="W53" s="68" t="str">
        <f>IF(AND('Riesgos de gestión'!$Y$53="Muy Baja",'Riesgos de gestión'!$AA$53="Moderado"),CONCATENATE("R8C",'Riesgos de gestión'!$O$53),"")</f>
        <v/>
      </c>
      <c r="X53" s="68" t="str">
        <f>IF(AND('Riesgos de gestión'!$Y$54="Muy Baja",'Riesgos de gestión'!$AA$54="Moderado"),CONCATENATE("R8C",'Riesgos de gestión'!$O$54),"")</f>
        <v/>
      </c>
      <c r="Y53" s="68" t="str">
        <f>IF(AND('Riesgos de gestión'!$Y$55="Muy Baja",'Riesgos de gestión'!$AA$55="Moderado"),CONCATENATE("R8C",'Riesgos de gestión'!$O$55),"")</f>
        <v/>
      </c>
      <c r="Z53" s="68" t="str">
        <f>IF(AND('Riesgos de gestión'!$Y$56="Muy Baja",'Riesgos de gestión'!$AA$56="Moderado"),CONCATENATE("R8C",'Riesgos de gestión'!$O$56),"")</f>
        <v/>
      </c>
      <c r="AA53" s="69" t="str">
        <f>IF(AND('Riesgos de gestión'!$Y$57="Muy Baja",'Riesgos de gestión'!$AA$57="Moderado"),CONCATENATE("R8C",'Riesgos de gestión'!$O$57),"")</f>
        <v/>
      </c>
      <c r="AB53" s="52" t="str">
        <f>IF(AND('Riesgos de gestión'!$Y$52="Muy Baja",'Riesgos de gestión'!$AA$52="Mayor"),CONCATENATE("R8C",'Riesgos de gestión'!$O$52),"")</f>
        <v/>
      </c>
      <c r="AC53" s="53" t="str">
        <f>IF(AND('Riesgos de gestión'!$Y$53="Muy Baja",'Riesgos de gestión'!$AA$53="Mayor"),CONCATENATE("R8C",'Riesgos de gestión'!$O$53),"")</f>
        <v/>
      </c>
      <c r="AD53" s="53" t="str">
        <f>IF(AND('Riesgos de gestión'!$Y$54="Muy Baja",'Riesgos de gestión'!$AA$54="Mayor"),CONCATENATE("R8C",'Riesgos de gestión'!$O$54),"")</f>
        <v/>
      </c>
      <c r="AE53" s="53" t="str">
        <f>IF(AND('Riesgos de gestión'!$Y$55="Muy Baja",'Riesgos de gestión'!$AA$55="Mayor"),CONCATENATE("R8C",'Riesgos de gestión'!$O$55),"")</f>
        <v/>
      </c>
      <c r="AF53" s="53" t="str">
        <f>IF(AND('Riesgos de gestión'!$Y$56="Muy Baja",'Riesgos de gestión'!$AA$56="Mayor"),CONCATENATE("R8C",'Riesgos de gestión'!$O$56),"")</f>
        <v/>
      </c>
      <c r="AG53" s="54" t="str">
        <f>IF(AND('Riesgos de gestión'!$Y$57="Muy Baja",'Riesgos de gestión'!$AA$57="Mayor"),CONCATENATE("R8C",'Riesgos de gestión'!$O$57),"")</f>
        <v/>
      </c>
      <c r="AH53" s="55" t="str">
        <f>IF(AND('Riesgos de gestión'!$Y$52="Muy Baja",'Riesgos de gestión'!$AA$52="Catastrófico"),CONCATENATE("R8C",'Riesgos de gestión'!$O$52),"")</f>
        <v/>
      </c>
      <c r="AI53" s="56" t="str">
        <f>IF(AND('Riesgos de gestión'!$Y$53="Muy Baja",'Riesgos de gestión'!$AA$53="Catastrófico"),CONCATENATE("R8C",'Riesgos de gestión'!$O$53),"")</f>
        <v/>
      </c>
      <c r="AJ53" s="56" t="str">
        <f>IF(AND('Riesgos de gestión'!$Y$54="Muy Baja",'Riesgos de gestión'!$AA$54="Catastrófico"),CONCATENATE("R8C",'Riesgos de gestión'!$O$54),"")</f>
        <v/>
      </c>
      <c r="AK53" s="56" t="str">
        <f>IF(AND('Riesgos de gestión'!$Y$55="Muy Baja",'Riesgos de gestión'!$AA$55="Catastrófico"),CONCATENATE("R8C",'Riesgos de gestión'!$O$55),"")</f>
        <v/>
      </c>
      <c r="AL53" s="56" t="str">
        <f>IF(AND('Riesgos de gestión'!$Y$56="Muy Baja",'Riesgos de gestión'!$AA$56="Catastrófico"),CONCATENATE("R8C",'Riesgos de gestión'!$O$56),"")</f>
        <v/>
      </c>
      <c r="AM53" s="57" t="str">
        <f>IF(AND('Riesgos de gestión'!$Y$57="Muy Baja",'Riesgos de gestión'!$AA$57="Catastrófico"),CONCATENATE("R8C",'Riesgos de gestión'!$O$57),"")</f>
        <v/>
      </c>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row>
    <row r="54" spans="1:80" ht="15" customHeight="1" x14ac:dyDescent="0.25">
      <c r="A54" s="83"/>
      <c r="B54" s="1103"/>
      <c r="C54" s="1103"/>
      <c r="D54" s="1104"/>
      <c r="E54" s="1202"/>
      <c r="F54" s="1201"/>
      <c r="G54" s="1201"/>
      <c r="H54" s="1201"/>
      <c r="I54" s="1217"/>
      <c r="J54" s="76" t="str">
        <f>IF(AND('Riesgos de gestión'!$Y$58="Muy Baja",'Riesgos de gestión'!$AA$58="Leve"),CONCATENATE("R9C",'Riesgos de gestión'!$O$58),"")</f>
        <v/>
      </c>
      <c r="K54" s="77" t="str">
        <f>IF(AND('Riesgos de gestión'!$Y$59="Muy Baja",'Riesgos de gestión'!$AA$59="Leve"),CONCATENATE("R9C",'Riesgos de gestión'!$O$59),"")</f>
        <v/>
      </c>
      <c r="L54" s="77" t="str">
        <f>IF(AND('Riesgos de gestión'!$Y$60="Muy Baja",'Riesgos de gestión'!$AA$60="Leve"),CONCATENATE("R9C",'Riesgos de gestión'!$O$60),"")</f>
        <v/>
      </c>
      <c r="M54" s="77" t="str">
        <f>IF(AND('Riesgos de gestión'!$Y$61="Muy Baja",'Riesgos de gestión'!$AA$61="Leve"),CONCATENATE("R9C",'Riesgos de gestión'!$O$61),"")</f>
        <v/>
      </c>
      <c r="N54" s="77" t="str">
        <f>IF(AND('Riesgos de gestión'!$Y$62="Muy Baja",'Riesgos de gestión'!$AA$62="Leve"),CONCATENATE("R9C",'Riesgos de gestión'!$O$62),"")</f>
        <v/>
      </c>
      <c r="O54" s="78" t="str">
        <f>IF(AND('Riesgos de gestión'!$Y$63="Muy Baja",'Riesgos de gestión'!$AA$63="Leve"),CONCATENATE("R9C",'Riesgos de gestión'!$O$63),"")</f>
        <v/>
      </c>
      <c r="P54" s="76" t="str">
        <f>IF(AND('Riesgos de gestión'!$Y$58="Muy Baja",'Riesgos de gestión'!$AA$58="Menor"),CONCATENATE("R9C",'Riesgos de gestión'!$O$58),"")</f>
        <v/>
      </c>
      <c r="Q54" s="77" t="str">
        <f>IF(AND('Riesgos de gestión'!$Y$59="Muy Baja",'Riesgos de gestión'!$AA$59="Menor"),CONCATENATE("R9C",'Riesgos de gestión'!$O$59),"")</f>
        <v/>
      </c>
      <c r="R54" s="77" t="str">
        <f>IF(AND('Riesgos de gestión'!$Y$60="Muy Baja",'Riesgos de gestión'!$AA$60="Menor"),CONCATENATE("R9C",'Riesgos de gestión'!$O$60),"")</f>
        <v/>
      </c>
      <c r="S54" s="77" t="str">
        <f>IF(AND('Riesgos de gestión'!$Y$61="Muy Baja",'Riesgos de gestión'!$AA$61="Menor"),CONCATENATE("R9C",'Riesgos de gestión'!$O$61),"")</f>
        <v/>
      </c>
      <c r="T54" s="77" t="str">
        <f>IF(AND('Riesgos de gestión'!$Y$62="Muy Baja",'Riesgos de gestión'!$AA$62="Menor"),CONCATENATE("R9C",'Riesgos de gestión'!$O$62),"")</f>
        <v/>
      </c>
      <c r="U54" s="78" t="str">
        <f>IF(AND('Riesgos de gestión'!$Y$63="Muy Baja",'Riesgos de gestión'!$AA$63="Menor"),CONCATENATE("R9C",'Riesgos de gestión'!$O$63),"")</f>
        <v/>
      </c>
      <c r="V54" s="67" t="str">
        <f>IF(AND('Riesgos de gestión'!$Y$58="Muy Baja",'Riesgos de gestión'!$AA$58="Moderado"),CONCATENATE("R9C",'Riesgos de gestión'!$O$58),"")</f>
        <v/>
      </c>
      <c r="W54" s="68" t="str">
        <f>IF(AND('Riesgos de gestión'!$Y$59="Muy Baja",'Riesgos de gestión'!$AA$59="Moderado"),CONCATENATE("R9C",'Riesgos de gestión'!$O$59),"")</f>
        <v/>
      </c>
      <c r="X54" s="68" t="str">
        <f>IF(AND('Riesgos de gestión'!$Y$60="Muy Baja",'Riesgos de gestión'!$AA$60="Moderado"),CONCATENATE("R9C",'Riesgos de gestión'!$O$60),"")</f>
        <v/>
      </c>
      <c r="Y54" s="68" t="str">
        <f>IF(AND('Riesgos de gestión'!$Y$61="Muy Baja",'Riesgos de gestión'!$AA$61="Moderado"),CONCATENATE("R9C",'Riesgos de gestión'!$O$61),"")</f>
        <v/>
      </c>
      <c r="Z54" s="68" t="str">
        <f>IF(AND('Riesgos de gestión'!$Y$62="Muy Baja",'Riesgos de gestión'!$AA$62="Moderado"),CONCATENATE("R9C",'Riesgos de gestión'!$O$62),"")</f>
        <v/>
      </c>
      <c r="AA54" s="69" t="str">
        <f>IF(AND('Riesgos de gestión'!$Y$63="Muy Baja",'Riesgos de gestión'!$AA$63="Moderado"),CONCATENATE("R9C",'Riesgos de gestión'!$O$63),"")</f>
        <v/>
      </c>
      <c r="AB54" s="52" t="str">
        <f>IF(AND('Riesgos de gestión'!$Y$58="Muy Baja",'Riesgos de gestión'!$AA$58="Mayor"),CONCATENATE("R9C",'Riesgos de gestión'!$O$58),"")</f>
        <v/>
      </c>
      <c r="AC54" s="53" t="str">
        <f>IF(AND('Riesgos de gestión'!$Y$59="Muy Baja",'Riesgos de gestión'!$AA$59="Mayor"),CONCATENATE("R9C",'Riesgos de gestión'!$O$59),"")</f>
        <v/>
      </c>
      <c r="AD54" s="53" t="str">
        <f>IF(AND('Riesgos de gestión'!$Y$60="Muy Baja",'Riesgos de gestión'!$AA$60="Mayor"),CONCATENATE("R9C",'Riesgos de gestión'!$O$60),"")</f>
        <v/>
      </c>
      <c r="AE54" s="53" t="str">
        <f>IF(AND('Riesgos de gestión'!$Y$61="Muy Baja",'Riesgos de gestión'!$AA$61="Mayor"),CONCATENATE("R9C",'Riesgos de gestión'!$O$61),"")</f>
        <v/>
      </c>
      <c r="AF54" s="53" t="str">
        <f>IF(AND('Riesgos de gestión'!$Y$62="Muy Baja",'Riesgos de gestión'!$AA$62="Mayor"),CONCATENATE("R9C",'Riesgos de gestión'!$O$62),"")</f>
        <v/>
      </c>
      <c r="AG54" s="54" t="str">
        <f>IF(AND('Riesgos de gestión'!$Y$63="Muy Baja",'Riesgos de gestión'!$AA$63="Mayor"),CONCATENATE("R9C",'Riesgos de gestión'!$O$63),"")</f>
        <v/>
      </c>
      <c r="AH54" s="55" t="str">
        <f>IF(AND('Riesgos de gestión'!$Y$58="Muy Baja",'Riesgos de gestión'!$AA$58="Catastrófico"),CONCATENATE("R9C",'Riesgos de gestión'!$O$58),"")</f>
        <v/>
      </c>
      <c r="AI54" s="56" t="str">
        <f>IF(AND('Riesgos de gestión'!$Y$59="Muy Baja",'Riesgos de gestión'!$AA$59="Catastrófico"),CONCATENATE("R9C",'Riesgos de gestión'!$O$59),"")</f>
        <v/>
      </c>
      <c r="AJ54" s="56" t="str">
        <f>IF(AND('Riesgos de gestión'!$Y$60="Muy Baja",'Riesgos de gestión'!$AA$60="Catastrófico"),CONCATENATE("R9C",'Riesgos de gestión'!$O$60),"")</f>
        <v/>
      </c>
      <c r="AK54" s="56" t="str">
        <f>IF(AND('Riesgos de gestión'!$Y$61="Muy Baja",'Riesgos de gestión'!$AA$61="Catastrófico"),CONCATENATE("R9C",'Riesgos de gestión'!$O$61),"")</f>
        <v/>
      </c>
      <c r="AL54" s="56" t="str">
        <f>IF(AND('Riesgos de gestión'!$Y$62="Muy Baja",'Riesgos de gestión'!$AA$62="Catastrófico"),CONCATENATE("R9C",'Riesgos de gestión'!$O$62),"")</f>
        <v/>
      </c>
      <c r="AM54" s="57" t="str">
        <f>IF(AND('Riesgos de gestión'!$Y$63="Muy Baja",'Riesgos de gestión'!$AA$63="Catastrófico"),CONCATENATE("R9C",'Riesgos de gestión'!$O$63),"")</f>
        <v/>
      </c>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row>
    <row r="55" spans="1:80" ht="15.75" customHeight="1" thickBot="1" x14ac:dyDescent="0.3">
      <c r="A55" s="83"/>
      <c r="B55" s="1103"/>
      <c r="C55" s="1103"/>
      <c r="D55" s="1104"/>
      <c r="E55" s="1203"/>
      <c r="F55" s="1204"/>
      <c r="G55" s="1204"/>
      <c r="H55" s="1204"/>
      <c r="I55" s="1218"/>
      <c r="J55" s="79" t="str">
        <f>IF(AND('Riesgos de gestión'!$Y$64="Muy Baja",'Riesgos de gestión'!$AA$64="Leve"),CONCATENATE("R10C",'Riesgos de gestión'!$O$64),"")</f>
        <v/>
      </c>
      <c r="K55" s="80" t="str">
        <f>IF(AND('Riesgos de gestión'!$Y$65="Muy Baja",'Riesgos de gestión'!$AA$65="Leve"),CONCATENATE("R10C",'Riesgos de gestión'!$O$65),"")</f>
        <v/>
      </c>
      <c r="L55" s="80" t="str">
        <f>IF(AND('Riesgos de gestión'!$Y$66="Muy Baja",'Riesgos de gestión'!$AA$66="Leve"),CONCATENATE("R10C",'Riesgos de gestión'!$O$66),"")</f>
        <v/>
      </c>
      <c r="M55" s="80" t="str">
        <f>IF(AND('Riesgos de gestión'!$Y$67="Muy Baja",'Riesgos de gestión'!$AA$67="Leve"),CONCATENATE("R10C",'Riesgos de gestión'!$O$67),"")</f>
        <v/>
      </c>
      <c r="N55" s="80" t="str">
        <f>IF(AND('Riesgos de gestión'!$Y$68="Muy Baja",'Riesgos de gestión'!$AA$68="Leve"),CONCATENATE("R10C",'Riesgos de gestión'!$O$68),"")</f>
        <v/>
      </c>
      <c r="O55" s="81" t="str">
        <f>IF(AND('Riesgos de gestión'!$Y$69="Muy Baja",'Riesgos de gestión'!$AA$69="Leve"),CONCATENATE("R10C",'Riesgos de gestión'!$O$69),"")</f>
        <v/>
      </c>
      <c r="P55" s="79" t="str">
        <f>IF(AND('Riesgos de gestión'!$Y$64="Muy Baja",'Riesgos de gestión'!$AA$64="Menor"),CONCATENATE("R10C",'Riesgos de gestión'!$O$64),"")</f>
        <v/>
      </c>
      <c r="Q55" s="80" t="str">
        <f>IF(AND('Riesgos de gestión'!$Y$65="Muy Baja",'Riesgos de gestión'!$AA$65="Menor"),CONCATENATE("R10C",'Riesgos de gestión'!$O$65),"")</f>
        <v/>
      </c>
      <c r="R55" s="80" t="str">
        <f>IF(AND('Riesgos de gestión'!$Y$66="Muy Baja",'Riesgos de gestión'!$AA$66="Menor"),CONCATENATE("R10C",'Riesgos de gestión'!$O$66),"")</f>
        <v/>
      </c>
      <c r="S55" s="80" t="str">
        <f>IF(AND('Riesgos de gestión'!$Y$67="Muy Baja",'Riesgos de gestión'!$AA$67="Menor"),CONCATENATE("R10C",'Riesgos de gestión'!$O$67),"")</f>
        <v/>
      </c>
      <c r="T55" s="80" t="str">
        <f>IF(AND('Riesgos de gestión'!$Y$68="Muy Baja",'Riesgos de gestión'!$AA$68="Menor"),CONCATENATE("R10C",'Riesgos de gestión'!$O$68),"")</f>
        <v/>
      </c>
      <c r="U55" s="81" t="str">
        <f>IF(AND('Riesgos de gestión'!$Y$69="Muy Baja",'Riesgos de gestión'!$AA$69="Menor"),CONCATENATE("R10C",'Riesgos de gestión'!$O$69),"")</f>
        <v/>
      </c>
      <c r="V55" s="70" t="str">
        <f>IF(AND('Riesgos de gestión'!$Y$64="Muy Baja",'Riesgos de gestión'!$AA$64="Moderado"),CONCATENATE("R10C",'Riesgos de gestión'!$O$64),"")</f>
        <v/>
      </c>
      <c r="W55" s="71" t="str">
        <f>IF(AND('Riesgos de gestión'!$Y$65="Muy Baja",'Riesgos de gestión'!$AA$65="Moderado"),CONCATENATE("R10C",'Riesgos de gestión'!$O$65),"")</f>
        <v/>
      </c>
      <c r="X55" s="71" t="str">
        <f>IF(AND('Riesgos de gestión'!$Y$66="Muy Baja",'Riesgos de gestión'!$AA$66="Moderado"),CONCATENATE("R10C",'Riesgos de gestión'!$O$66),"")</f>
        <v/>
      </c>
      <c r="Y55" s="71" t="str">
        <f>IF(AND('Riesgos de gestión'!$Y$67="Muy Baja",'Riesgos de gestión'!$AA$67="Moderado"),CONCATENATE("R10C",'Riesgos de gestión'!$O$67),"")</f>
        <v/>
      </c>
      <c r="Z55" s="71" t="str">
        <f>IF(AND('Riesgos de gestión'!$Y$68="Muy Baja",'Riesgos de gestión'!$AA$68="Moderado"),CONCATENATE("R10C",'Riesgos de gestión'!$O$68),"")</f>
        <v/>
      </c>
      <c r="AA55" s="72" t="str">
        <f>IF(AND('Riesgos de gestión'!$Y$69="Muy Baja",'Riesgos de gestión'!$AA$69="Moderado"),CONCATENATE("R10C",'Riesgos de gestión'!$O$69),"")</f>
        <v/>
      </c>
      <c r="AB55" s="58" t="str">
        <f>IF(AND('Riesgos de gestión'!$Y$64="Muy Baja",'Riesgos de gestión'!$AA$64="Mayor"),CONCATENATE("R10C",'Riesgos de gestión'!$O$64),"")</f>
        <v/>
      </c>
      <c r="AC55" s="59" t="str">
        <f>IF(AND('Riesgos de gestión'!$Y$65="Muy Baja",'Riesgos de gestión'!$AA$65="Mayor"),CONCATENATE("R10C",'Riesgos de gestión'!$O$65),"")</f>
        <v/>
      </c>
      <c r="AD55" s="59" t="str">
        <f>IF(AND('Riesgos de gestión'!$Y$66="Muy Baja",'Riesgos de gestión'!$AA$66="Mayor"),CONCATENATE("R10C",'Riesgos de gestión'!$O$66),"")</f>
        <v/>
      </c>
      <c r="AE55" s="59" t="str">
        <f>IF(AND('Riesgos de gestión'!$Y$67="Muy Baja",'Riesgos de gestión'!$AA$67="Mayor"),CONCATENATE("R10C",'Riesgos de gestión'!$O$67),"")</f>
        <v/>
      </c>
      <c r="AF55" s="59" t="str">
        <f>IF(AND('Riesgos de gestión'!$Y$68="Muy Baja",'Riesgos de gestión'!$AA$68="Mayor"),CONCATENATE("R10C",'Riesgos de gestión'!$O$68),"")</f>
        <v/>
      </c>
      <c r="AG55" s="60" t="str">
        <f>IF(AND('Riesgos de gestión'!$Y$69="Muy Baja",'Riesgos de gestión'!$AA$69="Mayor"),CONCATENATE("R10C",'Riesgos de gestión'!$O$69),"")</f>
        <v/>
      </c>
      <c r="AH55" s="61" t="str">
        <f>IF(AND('Riesgos de gestión'!$Y$64="Muy Baja",'Riesgos de gestión'!$AA$64="Catastrófico"),CONCATENATE("R10C",'Riesgos de gestión'!$O$64),"")</f>
        <v/>
      </c>
      <c r="AI55" s="62" t="str">
        <f>IF(AND('Riesgos de gestión'!$Y$65="Muy Baja",'Riesgos de gestión'!$AA$65="Catastrófico"),CONCATENATE("R10C",'Riesgos de gestión'!$O$65),"")</f>
        <v/>
      </c>
      <c r="AJ55" s="62" t="str">
        <f>IF(AND('Riesgos de gestión'!$Y$66="Muy Baja",'Riesgos de gestión'!$AA$66="Catastrófico"),CONCATENATE("R10C",'Riesgos de gestión'!$O$66),"")</f>
        <v/>
      </c>
      <c r="AK55" s="62" t="str">
        <f>IF(AND('Riesgos de gestión'!$Y$67="Muy Baja",'Riesgos de gestión'!$AA$67="Catastrófico"),CONCATENATE("R10C",'Riesgos de gestión'!$O$67),"")</f>
        <v/>
      </c>
      <c r="AL55" s="62" t="str">
        <f>IF(AND('Riesgos de gestión'!$Y$68="Muy Baja",'Riesgos de gestión'!$AA$68="Catastrófico"),CONCATENATE("R10C",'Riesgos de gestión'!$O$68),"")</f>
        <v/>
      </c>
      <c r="AM55" s="63" t="str">
        <f>IF(AND('Riesgos de gestión'!$Y$69="Muy Baja",'Riesgos de gestión'!$AA$69="Catastrófico"),CONCATENATE("R10C",'Riesgos de gestión'!$O$69),"")</f>
        <v/>
      </c>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x14ac:dyDescent="0.25">
      <c r="A56" s="83"/>
      <c r="B56" s="83"/>
      <c r="C56" s="83"/>
      <c r="D56" s="83"/>
      <c r="E56" s="83"/>
      <c r="F56" s="83"/>
      <c r="G56" s="83"/>
      <c r="H56" s="83"/>
      <c r="I56" s="83"/>
      <c r="J56" s="1198" t="s">
        <v>112</v>
      </c>
      <c r="K56" s="1199"/>
      <c r="L56" s="1199"/>
      <c r="M56" s="1199"/>
      <c r="N56" s="1199"/>
      <c r="O56" s="1216"/>
      <c r="P56" s="1198" t="s">
        <v>111</v>
      </c>
      <c r="Q56" s="1199"/>
      <c r="R56" s="1199"/>
      <c r="S56" s="1199"/>
      <c r="T56" s="1199"/>
      <c r="U56" s="1216"/>
      <c r="V56" s="1198" t="s">
        <v>110</v>
      </c>
      <c r="W56" s="1199"/>
      <c r="X56" s="1199"/>
      <c r="Y56" s="1199"/>
      <c r="Z56" s="1199"/>
      <c r="AA56" s="1216"/>
      <c r="AB56" s="1198" t="s">
        <v>109</v>
      </c>
      <c r="AC56" s="1237"/>
      <c r="AD56" s="1199"/>
      <c r="AE56" s="1199"/>
      <c r="AF56" s="1199"/>
      <c r="AG56" s="1216"/>
      <c r="AH56" s="1198" t="s">
        <v>108</v>
      </c>
      <c r="AI56" s="1199"/>
      <c r="AJ56" s="1199"/>
      <c r="AK56" s="1199"/>
      <c r="AL56" s="1199"/>
      <c r="AM56" s="1216"/>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row>
    <row r="57" spans="1:80" x14ac:dyDescent="0.25">
      <c r="A57" s="83"/>
      <c r="B57" s="83"/>
      <c r="C57" s="83"/>
      <c r="D57" s="83"/>
      <c r="E57" s="83"/>
      <c r="F57" s="83"/>
      <c r="G57" s="83"/>
      <c r="H57" s="83"/>
      <c r="I57" s="83"/>
      <c r="J57" s="1202"/>
      <c r="K57" s="1201"/>
      <c r="L57" s="1201"/>
      <c r="M57" s="1201"/>
      <c r="N57" s="1201"/>
      <c r="O57" s="1217"/>
      <c r="P57" s="1202"/>
      <c r="Q57" s="1201"/>
      <c r="R57" s="1201"/>
      <c r="S57" s="1201"/>
      <c r="T57" s="1201"/>
      <c r="U57" s="1217"/>
      <c r="V57" s="1202"/>
      <c r="W57" s="1201"/>
      <c r="X57" s="1201"/>
      <c r="Y57" s="1201"/>
      <c r="Z57" s="1201"/>
      <c r="AA57" s="1217"/>
      <c r="AB57" s="1202"/>
      <c r="AC57" s="1201"/>
      <c r="AD57" s="1201"/>
      <c r="AE57" s="1201"/>
      <c r="AF57" s="1201"/>
      <c r="AG57" s="1217"/>
      <c r="AH57" s="1202"/>
      <c r="AI57" s="1201"/>
      <c r="AJ57" s="1201"/>
      <c r="AK57" s="1201"/>
      <c r="AL57" s="1201"/>
      <c r="AM57" s="1217"/>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x14ac:dyDescent="0.25">
      <c r="A58" s="83"/>
      <c r="B58" s="83"/>
      <c r="C58" s="83"/>
      <c r="D58" s="83"/>
      <c r="E58" s="83"/>
      <c r="F58" s="83"/>
      <c r="G58" s="83"/>
      <c r="H58" s="83"/>
      <c r="I58" s="83"/>
      <c r="J58" s="1202"/>
      <c r="K58" s="1201"/>
      <c r="L58" s="1201"/>
      <c r="M58" s="1201"/>
      <c r="N58" s="1201"/>
      <c r="O58" s="1217"/>
      <c r="P58" s="1202"/>
      <c r="Q58" s="1201"/>
      <c r="R58" s="1201"/>
      <c r="S58" s="1201"/>
      <c r="T58" s="1201"/>
      <c r="U58" s="1217"/>
      <c r="V58" s="1202"/>
      <c r="W58" s="1201"/>
      <c r="X58" s="1201"/>
      <c r="Y58" s="1201"/>
      <c r="Z58" s="1201"/>
      <c r="AA58" s="1217"/>
      <c r="AB58" s="1202"/>
      <c r="AC58" s="1201"/>
      <c r="AD58" s="1201"/>
      <c r="AE58" s="1201"/>
      <c r="AF58" s="1201"/>
      <c r="AG58" s="1217"/>
      <c r="AH58" s="1202"/>
      <c r="AI58" s="1201"/>
      <c r="AJ58" s="1201"/>
      <c r="AK58" s="1201"/>
      <c r="AL58" s="1201"/>
      <c r="AM58" s="1217"/>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x14ac:dyDescent="0.25">
      <c r="A59" s="83"/>
      <c r="B59" s="83"/>
      <c r="C59" s="83"/>
      <c r="D59" s="83"/>
      <c r="E59" s="83"/>
      <c r="F59" s="83"/>
      <c r="G59" s="83"/>
      <c r="H59" s="83"/>
      <c r="I59" s="83"/>
      <c r="J59" s="1202"/>
      <c r="K59" s="1201"/>
      <c r="L59" s="1201"/>
      <c r="M59" s="1201"/>
      <c r="N59" s="1201"/>
      <c r="O59" s="1217"/>
      <c r="P59" s="1202"/>
      <c r="Q59" s="1201"/>
      <c r="R59" s="1201"/>
      <c r="S59" s="1201"/>
      <c r="T59" s="1201"/>
      <c r="U59" s="1217"/>
      <c r="V59" s="1202"/>
      <c r="W59" s="1201"/>
      <c r="X59" s="1201"/>
      <c r="Y59" s="1201"/>
      <c r="Z59" s="1201"/>
      <c r="AA59" s="1217"/>
      <c r="AB59" s="1202"/>
      <c r="AC59" s="1201"/>
      <c r="AD59" s="1201"/>
      <c r="AE59" s="1201"/>
      <c r="AF59" s="1201"/>
      <c r="AG59" s="1217"/>
      <c r="AH59" s="1202"/>
      <c r="AI59" s="1201"/>
      <c r="AJ59" s="1201"/>
      <c r="AK59" s="1201"/>
      <c r="AL59" s="1201"/>
      <c r="AM59" s="1217"/>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x14ac:dyDescent="0.25">
      <c r="A60" s="83"/>
      <c r="B60" s="83"/>
      <c r="C60" s="83"/>
      <c r="D60" s="83"/>
      <c r="E60" s="83"/>
      <c r="F60" s="83"/>
      <c r="G60" s="83"/>
      <c r="H60" s="83"/>
      <c r="I60" s="83"/>
      <c r="J60" s="1202"/>
      <c r="K60" s="1201"/>
      <c r="L60" s="1201"/>
      <c r="M60" s="1201"/>
      <c r="N60" s="1201"/>
      <c r="O60" s="1217"/>
      <c r="P60" s="1202"/>
      <c r="Q60" s="1201"/>
      <c r="R60" s="1201"/>
      <c r="S60" s="1201"/>
      <c r="T60" s="1201"/>
      <c r="U60" s="1217"/>
      <c r="V60" s="1202"/>
      <c r="W60" s="1201"/>
      <c r="X60" s="1201"/>
      <c r="Y60" s="1201"/>
      <c r="Z60" s="1201"/>
      <c r="AA60" s="1217"/>
      <c r="AB60" s="1202"/>
      <c r="AC60" s="1201"/>
      <c r="AD60" s="1201"/>
      <c r="AE60" s="1201"/>
      <c r="AF60" s="1201"/>
      <c r="AG60" s="1217"/>
      <c r="AH60" s="1202"/>
      <c r="AI60" s="1201"/>
      <c r="AJ60" s="1201"/>
      <c r="AK60" s="1201"/>
      <c r="AL60" s="1201"/>
      <c r="AM60" s="1217"/>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row>
    <row r="61" spans="1:80" ht="15.75" thickBot="1" x14ac:dyDescent="0.3">
      <c r="A61" s="83"/>
      <c r="B61" s="83"/>
      <c r="C61" s="83"/>
      <c r="D61" s="83"/>
      <c r="E61" s="83"/>
      <c r="F61" s="83"/>
      <c r="G61" s="83"/>
      <c r="H61" s="83"/>
      <c r="I61" s="83"/>
      <c r="J61" s="1203"/>
      <c r="K61" s="1204"/>
      <c r="L61" s="1204"/>
      <c r="M61" s="1204"/>
      <c r="N61" s="1204"/>
      <c r="O61" s="1218"/>
      <c r="P61" s="1203"/>
      <c r="Q61" s="1204"/>
      <c r="R61" s="1204"/>
      <c r="S61" s="1204"/>
      <c r="T61" s="1204"/>
      <c r="U61" s="1218"/>
      <c r="V61" s="1203"/>
      <c r="W61" s="1204"/>
      <c r="X61" s="1204"/>
      <c r="Y61" s="1204"/>
      <c r="Z61" s="1204"/>
      <c r="AA61" s="1218"/>
      <c r="AB61" s="1203"/>
      <c r="AC61" s="1204"/>
      <c r="AD61" s="1204"/>
      <c r="AE61" s="1204"/>
      <c r="AF61" s="1204"/>
      <c r="AG61" s="1218"/>
      <c r="AH61" s="1203"/>
      <c r="AI61" s="1204"/>
      <c r="AJ61" s="1204"/>
      <c r="AK61" s="1204"/>
      <c r="AL61" s="1204"/>
      <c r="AM61" s="1218"/>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row>
    <row r="62" spans="1:80" x14ac:dyDescent="0.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row>
    <row r="63" spans="1:80" ht="15" customHeight="1" x14ac:dyDescent="0.25">
      <c r="A63" s="83"/>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3"/>
      <c r="AV63" s="83"/>
      <c r="AW63" s="83"/>
      <c r="AX63" s="83"/>
      <c r="AY63" s="83"/>
      <c r="AZ63" s="83"/>
      <c r="BA63" s="83"/>
      <c r="BB63" s="83"/>
      <c r="BC63" s="83"/>
      <c r="BD63" s="83"/>
      <c r="BE63" s="83"/>
      <c r="BF63" s="83"/>
      <c r="BG63" s="83"/>
      <c r="BH63" s="83"/>
    </row>
    <row r="64" spans="1:80" ht="15" customHeight="1" x14ac:dyDescent="0.25">
      <c r="A64" s="8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3"/>
      <c r="AV64" s="83"/>
      <c r="AW64" s="83"/>
      <c r="AX64" s="83"/>
      <c r="AY64" s="83"/>
      <c r="AZ64" s="83"/>
      <c r="BA64" s="83"/>
      <c r="BB64" s="83"/>
      <c r="BC64" s="83"/>
      <c r="BD64" s="83"/>
      <c r="BE64" s="83"/>
      <c r="BF64" s="83"/>
      <c r="BG64" s="83"/>
      <c r="BH64" s="83"/>
    </row>
    <row r="65" spans="1:60"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row>
    <row r="66" spans="1:60"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row>
    <row r="67" spans="1:60" x14ac:dyDescent="0.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row>
    <row r="68" spans="1:60" x14ac:dyDescent="0.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row>
    <row r="69" spans="1:60"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row>
    <row r="70" spans="1:60" x14ac:dyDescent="0.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row>
    <row r="71" spans="1:60" x14ac:dyDescent="0.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row>
    <row r="72" spans="1:60"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row>
    <row r="73" spans="1:60" x14ac:dyDescent="0.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row>
    <row r="74" spans="1:60"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row>
    <row r="75" spans="1:60" x14ac:dyDescent="0.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row>
    <row r="76" spans="1:60" x14ac:dyDescent="0.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row>
    <row r="77" spans="1:60"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row>
    <row r="78" spans="1:60"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row>
    <row r="79" spans="1:60" x14ac:dyDescent="0.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row>
    <row r="80" spans="1:60"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row>
    <row r="81" spans="1:60"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row>
    <row r="82" spans="1:60" x14ac:dyDescent="0.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row>
    <row r="83" spans="1:60"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row>
    <row r="84" spans="1:60" x14ac:dyDescent="0.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row>
    <row r="85" spans="1:60" x14ac:dyDescent="0.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row>
    <row r="86" spans="1:60" x14ac:dyDescent="0.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row>
    <row r="87" spans="1:60" x14ac:dyDescent="0.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row>
    <row r="88" spans="1:60" x14ac:dyDescent="0.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row>
    <row r="89" spans="1:60" x14ac:dyDescent="0.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row>
    <row r="90" spans="1:60" x14ac:dyDescent="0.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row>
    <row r="91" spans="1:60"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row>
    <row r="92" spans="1:60" x14ac:dyDescent="0.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row>
    <row r="93" spans="1:60" x14ac:dyDescent="0.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row>
    <row r="94" spans="1:60"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row>
    <row r="95" spans="1:60"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row>
    <row r="96" spans="1:60" x14ac:dyDescent="0.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row>
    <row r="97" spans="1:60" x14ac:dyDescent="0.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row>
    <row r="98" spans="1:60" x14ac:dyDescent="0.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row>
    <row r="99" spans="1:60" x14ac:dyDescent="0.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row>
    <row r="100" spans="1:60"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row>
    <row r="101" spans="1:60"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row>
    <row r="102" spans="1:60"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row>
    <row r="103" spans="1:60"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row>
    <row r="104" spans="1:60"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row>
    <row r="105" spans="1:60"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row>
    <row r="106" spans="1:60"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row>
    <row r="107" spans="1:60"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row>
    <row r="108" spans="1:60"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row>
    <row r="109" spans="1:60"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row>
    <row r="110" spans="1:60"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row>
    <row r="111" spans="1:60"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row>
    <row r="112" spans="1:60"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row>
    <row r="113" spans="1:60"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row>
    <row r="114" spans="1:60"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row>
    <row r="115" spans="1:60"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row>
    <row r="116" spans="1:60"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row>
    <row r="117" spans="1:60"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row>
    <row r="118" spans="1:60"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row>
    <row r="119" spans="1:60"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row>
    <row r="120" spans="1:60"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row>
    <row r="121" spans="1:60"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row>
    <row r="122" spans="1:60"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row>
    <row r="123" spans="1:60"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row>
    <row r="124" spans="1:60"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row>
    <row r="125" spans="1:60"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row>
    <row r="126" spans="1:60"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row>
    <row r="127" spans="1:60"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row>
    <row r="128" spans="1:60"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row>
    <row r="129" spans="1:60"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row>
    <row r="130" spans="1:60"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row>
    <row r="131" spans="1:60"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row>
    <row r="132" spans="1:60"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row>
    <row r="133" spans="1:60"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row>
    <row r="134" spans="1:60"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row>
    <row r="135" spans="1:60"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row>
    <row r="136" spans="1:60"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row>
    <row r="137" spans="1:60"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row>
    <row r="138" spans="1:60"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row>
    <row r="139" spans="1:60"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row>
    <row r="140" spans="1:60"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row>
    <row r="141" spans="1:60"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row>
    <row r="142" spans="1:60"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row>
    <row r="143" spans="1:60"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row>
    <row r="144" spans="1:60"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row>
    <row r="145" spans="1:60"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row>
    <row r="146" spans="1:60"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row>
    <row r="147" spans="1:60"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row>
    <row r="148" spans="1:60"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row>
    <row r="149" spans="1:60"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row>
    <row r="150" spans="1:60"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row>
    <row r="151" spans="1:60"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row>
    <row r="152" spans="1:60"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row>
    <row r="153" spans="1:60"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row>
    <row r="154" spans="1:60"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row>
    <row r="155" spans="1:60"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row>
    <row r="156" spans="1:60"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row>
    <row r="157" spans="1:60"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row>
    <row r="158" spans="1:60"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row>
    <row r="159" spans="1:60"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row>
    <row r="160" spans="1:60"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row>
    <row r="161" spans="1:60"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row>
    <row r="162" spans="1:60"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row>
    <row r="163" spans="1:60"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row>
    <row r="164" spans="1:60"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row>
    <row r="165" spans="1:60"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row>
    <row r="166" spans="1:60"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row>
    <row r="167" spans="1:60"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row>
    <row r="168" spans="1:60"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row>
    <row r="169" spans="1:60"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row>
    <row r="170" spans="1:60"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row>
    <row r="171" spans="1:60"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row>
    <row r="172" spans="1:60"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row>
    <row r="173" spans="1:60"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row>
    <row r="174" spans="1:60"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row>
    <row r="175" spans="1:60"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row>
    <row r="176" spans="1:60"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row>
    <row r="177" spans="1:60"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row>
    <row r="178" spans="1:60"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row>
    <row r="179" spans="1:60"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row>
    <row r="180" spans="1:60"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row>
    <row r="181" spans="1:60"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row>
    <row r="182" spans="1:60"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row>
    <row r="183" spans="1:60"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row>
    <row r="184" spans="1:60"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row>
    <row r="185" spans="1:60"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row>
    <row r="186" spans="1:60"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row>
    <row r="187" spans="1:60"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row>
    <row r="188" spans="1:60"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row>
    <row r="189" spans="1:60"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row>
    <row r="190" spans="1:60"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row>
    <row r="191" spans="1:60" x14ac:dyDescent="0.25">
      <c r="A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row>
    <row r="192" spans="1:60" x14ac:dyDescent="0.25">
      <c r="A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row>
    <row r="193" spans="1:60" x14ac:dyDescent="0.25">
      <c r="A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row>
    <row r="194" spans="1:60" x14ac:dyDescent="0.25">
      <c r="A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row>
    <row r="195" spans="1:60" x14ac:dyDescent="0.25">
      <c r="A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row>
    <row r="196" spans="1:60" x14ac:dyDescent="0.25">
      <c r="A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row>
    <row r="197" spans="1:60" x14ac:dyDescent="0.25">
      <c r="A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row>
    <row r="198" spans="1:60" x14ac:dyDescent="0.25">
      <c r="A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row>
    <row r="199" spans="1:60" x14ac:dyDescent="0.25">
      <c r="A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row>
    <row r="200" spans="1:60" x14ac:dyDescent="0.25">
      <c r="A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row>
    <row r="201" spans="1:60" x14ac:dyDescent="0.25">
      <c r="A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row>
    <row r="202" spans="1:60" x14ac:dyDescent="0.25">
      <c r="A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row>
    <row r="203" spans="1:60" x14ac:dyDescent="0.25">
      <c r="A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row>
    <row r="204" spans="1:60" x14ac:dyDescent="0.25">
      <c r="A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row>
    <row r="205" spans="1:60" x14ac:dyDescent="0.25">
      <c r="A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row>
    <row r="206" spans="1:60" x14ac:dyDescent="0.25">
      <c r="A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row>
    <row r="207" spans="1:60" x14ac:dyDescent="0.25">
      <c r="A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row>
    <row r="208" spans="1:60" x14ac:dyDescent="0.25">
      <c r="A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row>
    <row r="209" spans="1:60" x14ac:dyDescent="0.25">
      <c r="A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row>
    <row r="210" spans="1:60" x14ac:dyDescent="0.25">
      <c r="A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row>
    <row r="211" spans="1:60" x14ac:dyDescent="0.25">
      <c r="A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row>
    <row r="212" spans="1:60" x14ac:dyDescent="0.25">
      <c r="A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row>
    <row r="213" spans="1:60" x14ac:dyDescent="0.25">
      <c r="A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row>
    <row r="214" spans="1:60" x14ac:dyDescent="0.25">
      <c r="A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row>
    <row r="215" spans="1:60" x14ac:dyDescent="0.25">
      <c r="A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row>
    <row r="216" spans="1:60" x14ac:dyDescent="0.25">
      <c r="A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row>
    <row r="217" spans="1:60" x14ac:dyDescent="0.25">
      <c r="A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row>
    <row r="218" spans="1:60" x14ac:dyDescent="0.25">
      <c r="A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row>
    <row r="219" spans="1:60" x14ac:dyDescent="0.25">
      <c r="A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row>
    <row r="220" spans="1:60" x14ac:dyDescent="0.25">
      <c r="A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row>
    <row r="221" spans="1:60" x14ac:dyDescent="0.25">
      <c r="A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row>
    <row r="222" spans="1:60" x14ac:dyDescent="0.25">
      <c r="A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row>
    <row r="223" spans="1:60" x14ac:dyDescent="0.25">
      <c r="A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row>
    <row r="224" spans="1:60" x14ac:dyDescent="0.25">
      <c r="A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row>
    <row r="225" spans="1:60" x14ac:dyDescent="0.25">
      <c r="A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row>
    <row r="226" spans="1:60" x14ac:dyDescent="0.25">
      <c r="A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row>
    <row r="227" spans="1:60" x14ac:dyDescent="0.25">
      <c r="A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row>
    <row r="228" spans="1:60" x14ac:dyDescent="0.25">
      <c r="A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row>
    <row r="229" spans="1:60" x14ac:dyDescent="0.25">
      <c r="A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row>
    <row r="230" spans="1:60" x14ac:dyDescent="0.25">
      <c r="A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row>
    <row r="231" spans="1:60" x14ac:dyDescent="0.25">
      <c r="A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row>
    <row r="232" spans="1:60" x14ac:dyDescent="0.25">
      <c r="A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row>
    <row r="233" spans="1:60" x14ac:dyDescent="0.25">
      <c r="A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row>
    <row r="234" spans="1:60" x14ac:dyDescent="0.25">
      <c r="A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row>
    <row r="235" spans="1:60" x14ac:dyDescent="0.25">
      <c r="A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row>
    <row r="236" spans="1:60" x14ac:dyDescent="0.25">
      <c r="A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row>
    <row r="237" spans="1:60" x14ac:dyDescent="0.25">
      <c r="A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row>
    <row r="238" spans="1:60" x14ac:dyDescent="0.25">
      <c r="A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row>
    <row r="239" spans="1:60" x14ac:dyDescent="0.25">
      <c r="A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row>
    <row r="240" spans="1:60" x14ac:dyDescent="0.25">
      <c r="A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83"/>
      <c r="BH240" s="83"/>
    </row>
    <row r="241" spans="1:60" x14ac:dyDescent="0.25">
      <c r="A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83"/>
      <c r="BH241" s="83"/>
    </row>
    <row r="242" spans="1:60" x14ac:dyDescent="0.25">
      <c r="A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83"/>
      <c r="BH242" s="83"/>
    </row>
    <row r="243" spans="1:60" x14ac:dyDescent="0.25">
      <c r="A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83"/>
      <c r="BH243" s="83"/>
    </row>
    <row r="244" spans="1:60" x14ac:dyDescent="0.25">
      <c r="A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3"/>
      <c r="BG244" s="83"/>
      <c r="BH244" s="83"/>
    </row>
    <row r="245" spans="1:60" x14ac:dyDescent="0.25">
      <c r="A245" s="83"/>
    </row>
    <row r="246" spans="1:60" x14ac:dyDescent="0.25">
      <c r="A246" s="83"/>
    </row>
    <row r="247" spans="1:60" x14ac:dyDescent="0.25">
      <c r="A247" s="83"/>
    </row>
    <row r="248" spans="1:60" x14ac:dyDescent="0.25">
      <c r="A248" s="83"/>
    </row>
  </sheetData>
  <sheetProtection algorithmName="SHA-512" hashValue="pk41qPkreGaIienBHjYN6qHrG0CgO529+BqkFfOkTGgU8ieLIk2ly7oHCkTe6nIJwtUs4b/6dT5t6eEiLeXG7Q==" saltValue="1Vg2zxH2JXOw6ZLmo/E9SA==" spinCount="100000" sheet="1" objects="1" scenarios="1"/>
  <mergeCells count="17">
    <mergeCell ref="J56:O61"/>
    <mergeCell ref="P56:U61"/>
    <mergeCell ref="V56:AA61"/>
    <mergeCell ref="AB56:AG61"/>
    <mergeCell ref="AH56:AM61"/>
    <mergeCell ref="AO16:AT25"/>
    <mergeCell ref="E16:I25"/>
    <mergeCell ref="AO6:AT15"/>
    <mergeCell ref="B2:I4"/>
    <mergeCell ref="J2:AM4"/>
    <mergeCell ref="B6:D55"/>
    <mergeCell ref="E6:I15"/>
    <mergeCell ref="E46:I55"/>
    <mergeCell ref="AO36:AT45"/>
    <mergeCell ref="E36:I45"/>
    <mergeCell ref="AO26:AT35"/>
    <mergeCell ref="E26:I3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E19"/>
  <sheetViews>
    <sheetView topLeftCell="A4" workbookViewId="0">
      <selection activeCell="B13" sqref="B13:B19"/>
    </sheetView>
  </sheetViews>
  <sheetFormatPr baseColWidth="10" defaultRowHeight="15" x14ac:dyDescent="0.25"/>
  <sheetData>
    <row r="2" spans="2:5" x14ac:dyDescent="0.25">
      <c r="B2" t="s">
        <v>31</v>
      </c>
      <c r="E2" t="s">
        <v>133</v>
      </c>
    </row>
    <row r="3" spans="2:5" x14ac:dyDescent="0.25">
      <c r="B3" t="s">
        <v>32</v>
      </c>
      <c r="E3" t="s">
        <v>132</v>
      </c>
    </row>
    <row r="4" spans="2:5" x14ac:dyDescent="0.25">
      <c r="B4" t="s">
        <v>137</v>
      </c>
      <c r="E4" t="s">
        <v>134</v>
      </c>
    </row>
    <row r="5" spans="2:5" x14ac:dyDescent="0.25">
      <c r="B5" t="s">
        <v>136</v>
      </c>
    </row>
    <row r="8" spans="2:5" x14ac:dyDescent="0.25">
      <c r="B8" t="s">
        <v>86</v>
      </c>
    </row>
    <row r="9" spans="2:5" x14ac:dyDescent="0.25">
      <c r="B9" t="s">
        <v>40</v>
      </c>
    </row>
    <row r="10" spans="2:5" x14ac:dyDescent="0.25">
      <c r="B10" t="s">
        <v>41</v>
      </c>
    </row>
    <row r="13" spans="2:5" x14ac:dyDescent="0.25">
      <c r="B13" t="s">
        <v>129</v>
      </c>
    </row>
    <row r="14" spans="2:5" x14ac:dyDescent="0.25">
      <c r="B14" t="s">
        <v>123</v>
      </c>
    </row>
    <row r="15" spans="2:5" x14ac:dyDescent="0.25">
      <c r="B15" t="s">
        <v>126</v>
      </c>
    </row>
    <row r="16" spans="2:5" x14ac:dyDescent="0.25">
      <c r="B16" t="s">
        <v>124</v>
      </c>
    </row>
    <row r="17" spans="2:2" x14ac:dyDescent="0.25">
      <c r="B17" t="s">
        <v>125</v>
      </c>
    </row>
    <row r="18" spans="2:2" x14ac:dyDescent="0.25">
      <c r="B18" t="s">
        <v>127</v>
      </c>
    </row>
    <row r="19" spans="2:2" x14ac:dyDescent="0.25">
      <c r="B19" t="s">
        <v>128</v>
      </c>
    </row>
  </sheetData>
  <sortState xmlns:xlrd2="http://schemas.microsoft.com/office/spreadsheetml/2017/richdata2" ref="B2:B5">
    <sortCondition ref="B2:B5"/>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A21"/>
  <sheetViews>
    <sheetView workbookViewId="0">
      <selection activeCell="A19" sqref="A19"/>
    </sheetView>
  </sheetViews>
  <sheetFormatPr baseColWidth="10" defaultColWidth="11.42578125" defaultRowHeight="12.75" x14ac:dyDescent="0.2"/>
  <cols>
    <col min="1" max="1" width="32.85546875" style="9" customWidth="1"/>
    <col min="2" max="16384" width="11.42578125" style="9"/>
  </cols>
  <sheetData>
    <row r="3" spans="1:1" x14ac:dyDescent="0.2">
      <c r="A3" s="10" t="s">
        <v>14</v>
      </c>
    </row>
    <row r="4" spans="1:1" x14ac:dyDescent="0.2">
      <c r="A4" s="10" t="s">
        <v>15</v>
      </c>
    </row>
    <row r="5" spans="1:1" x14ac:dyDescent="0.2">
      <c r="A5" s="10" t="s">
        <v>16</v>
      </c>
    </row>
    <row r="6" spans="1:1" x14ac:dyDescent="0.2">
      <c r="A6" s="10" t="s">
        <v>10</v>
      </c>
    </row>
    <row r="7" spans="1:1" x14ac:dyDescent="0.2">
      <c r="A7" s="10" t="s">
        <v>9</v>
      </c>
    </row>
    <row r="8" spans="1:1" x14ac:dyDescent="0.2">
      <c r="A8" s="10" t="s">
        <v>19</v>
      </c>
    </row>
    <row r="9" spans="1:1" x14ac:dyDescent="0.2">
      <c r="A9" s="10" t="s">
        <v>20</v>
      </c>
    </row>
    <row r="10" spans="1:1" x14ac:dyDescent="0.2">
      <c r="A10" s="10" t="s">
        <v>22</v>
      </c>
    </row>
    <row r="11" spans="1:1" x14ac:dyDescent="0.2">
      <c r="A11" s="10" t="s">
        <v>23</v>
      </c>
    </row>
    <row r="12" spans="1:1" x14ac:dyDescent="0.2">
      <c r="A12" s="10" t="s">
        <v>25</v>
      </c>
    </row>
    <row r="13" spans="1:1" x14ac:dyDescent="0.2">
      <c r="A13" s="10" t="s">
        <v>26</v>
      </c>
    </row>
    <row r="14" spans="1:1" x14ac:dyDescent="0.2">
      <c r="A14" s="10" t="s">
        <v>27</v>
      </c>
    </row>
    <row r="16" spans="1:1" x14ac:dyDescent="0.2">
      <c r="A16" s="10" t="s">
        <v>30</v>
      </c>
    </row>
    <row r="17" spans="1:1" x14ac:dyDescent="0.2">
      <c r="A17" s="10" t="s">
        <v>31</v>
      </c>
    </row>
    <row r="18" spans="1:1" x14ac:dyDescent="0.2">
      <c r="A18" s="10" t="s">
        <v>32</v>
      </c>
    </row>
    <row r="20" spans="1:1" x14ac:dyDescent="0.2">
      <c r="A20" s="10" t="s">
        <v>40</v>
      </c>
    </row>
    <row r="21" spans="1:1" x14ac:dyDescent="0.2">
      <c r="A21" s="10"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0C907-D4B3-45B6-A633-53B44E549FD3}">
  <dimension ref="A1:N126"/>
  <sheetViews>
    <sheetView topLeftCell="D2" zoomScale="48" zoomScaleNormal="48" workbookViewId="0">
      <selection activeCell="L6" sqref="L6"/>
    </sheetView>
  </sheetViews>
  <sheetFormatPr baseColWidth="10" defaultRowHeight="15" x14ac:dyDescent="0.25"/>
  <cols>
    <col min="1" max="1" width="24" style="138" customWidth="1"/>
    <col min="2" max="2" width="27.7109375" style="138" customWidth="1"/>
    <col min="3" max="3" width="49.28515625" style="138" customWidth="1"/>
    <col min="4" max="4" width="27.85546875" customWidth="1"/>
    <col min="5" max="5" width="24.5703125" customWidth="1"/>
    <col min="6" max="6" width="31" customWidth="1"/>
    <col min="7" max="7" width="31.140625" customWidth="1"/>
    <col min="8" max="8" width="40.85546875" customWidth="1"/>
    <col min="9" max="9" width="74.42578125" customWidth="1"/>
    <col min="10" max="11" width="21.7109375" customWidth="1"/>
    <col min="12" max="12" width="23.5703125" customWidth="1"/>
    <col min="13" max="13" width="24.28515625" customWidth="1"/>
    <col min="14" max="14" width="27.85546875" customWidth="1"/>
  </cols>
  <sheetData>
    <row r="1" spans="1:14" ht="117" customHeight="1" thickBot="1" x14ac:dyDescent="0.3"/>
    <row r="2" spans="1:14" ht="49.5" customHeight="1" thickBot="1" x14ac:dyDescent="0.3">
      <c r="E2" s="473" t="s">
        <v>461</v>
      </c>
      <c r="F2" s="474"/>
      <c r="G2" s="474"/>
      <c r="H2" s="475"/>
    </row>
    <row r="3" spans="1:14" ht="26.25" customHeight="1" thickBot="1" x14ac:dyDescent="0.3">
      <c r="B3"/>
      <c r="E3" s="481" t="s">
        <v>465</v>
      </c>
      <c r="F3" s="482"/>
      <c r="G3" s="482" t="s">
        <v>462</v>
      </c>
      <c r="H3" s="483"/>
    </row>
    <row r="4" spans="1:14" ht="84.75" customHeight="1" thickBot="1" x14ac:dyDescent="0.3">
      <c r="B4"/>
      <c r="E4" s="479" t="s">
        <v>463</v>
      </c>
      <c r="F4" s="480"/>
      <c r="G4" s="480" t="s">
        <v>464</v>
      </c>
      <c r="H4" s="484"/>
    </row>
    <row r="5" spans="1:14" ht="26.25" customHeight="1" x14ac:dyDescent="0.25">
      <c r="B5"/>
    </row>
    <row r="6" spans="1:14" ht="27.75" customHeight="1" thickBot="1" x14ac:dyDescent="0.3"/>
    <row r="7" spans="1:14" s="179" customFormat="1" ht="27" customHeight="1" thickBot="1" x14ac:dyDescent="0.4">
      <c r="A7" s="485" t="s">
        <v>371</v>
      </c>
      <c r="B7" s="486"/>
      <c r="C7" s="486"/>
      <c r="D7" s="486"/>
      <c r="E7" s="486"/>
      <c r="F7" s="486"/>
      <c r="G7" s="486"/>
      <c r="H7" s="486"/>
      <c r="I7" s="487"/>
      <c r="J7" s="305"/>
      <c r="K7" s="305"/>
      <c r="L7" s="305"/>
      <c r="M7" s="305"/>
      <c r="N7" s="305"/>
    </row>
    <row r="8" spans="1:14" s="179" customFormat="1" ht="27" customHeight="1" thickBot="1" x14ac:dyDescent="0.4">
      <c r="A8" s="476" t="s">
        <v>459</v>
      </c>
      <c r="B8" s="477"/>
      <c r="C8" s="478"/>
      <c r="D8" s="468" t="s">
        <v>370</v>
      </c>
      <c r="E8" s="469"/>
      <c r="F8" s="469"/>
      <c r="G8" s="469"/>
      <c r="H8" s="469"/>
      <c r="I8" s="470"/>
    </row>
    <row r="9" spans="1:14" s="139" customFormat="1" ht="57.75" customHeight="1" thickBot="1" x14ac:dyDescent="0.3">
      <c r="A9" s="265" t="s">
        <v>344</v>
      </c>
      <c r="B9" s="265" t="s">
        <v>345</v>
      </c>
      <c r="C9" s="266" t="s">
        <v>363</v>
      </c>
      <c r="D9" s="267" t="s">
        <v>541</v>
      </c>
      <c r="E9" s="267" t="s">
        <v>539</v>
      </c>
      <c r="F9" s="267" t="s">
        <v>542</v>
      </c>
      <c r="G9" s="267" t="s">
        <v>543</v>
      </c>
      <c r="H9" s="267" t="s">
        <v>540</v>
      </c>
      <c r="I9" s="265" t="s">
        <v>194</v>
      </c>
    </row>
    <row r="10" spans="1:14" ht="129" customHeight="1" thickBot="1" x14ac:dyDescent="0.3">
      <c r="A10" s="264" t="s">
        <v>354</v>
      </c>
      <c r="B10" s="264" t="s">
        <v>359</v>
      </c>
      <c r="C10" s="316" t="s">
        <v>368</v>
      </c>
      <c r="D10" s="425" t="s">
        <v>629</v>
      </c>
      <c r="E10" s="425" t="s">
        <v>582</v>
      </c>
      <c r="F10" s="425" t="s">
        <v>583</v>
      </c>
      <c r="G10" s="425" t="s">
        <v>630</v>
      </c>
      <c r="H10" s="425" t="s">
        <v>631</v>
      </c>
      <c r="I10" s="433" t="s">
        <v>632</v>
      </c>
    </row>
    <row r="11" spans="1:14" ht="88.5" customHeight="1" thickBot="1" x14ac:dyDescent="0.3">
      <c r="A11" s="309"/>
      <c r="B11" s="309"/>
      <c r="C11" s="310"/>
      <c r="D11" s="308"/>
      <c r="E11" s="308"/>
      <c r="F11" s="308"/>
      <c r="G11" s="308"/>
      <c r="H11" s="308"/>
      <c r="I11" s="306"/>
    </row>
    <row r="12" spans="1:14" ht="43.5" customHeight="1" thickBot="1" x14ac:dyDescent="0.3">
      <c r="I12" s="306"/>
    </row>
    <row r="13" spans="1:14" ht="36.75" customHeight="1" x14ac:dyDescent="0.25">
      <c r="A13" s="449" t="s">
        <v>467</v>
      </c>
      <c r="B13" s="449"/>
      <c r="D13" s="471" t="s">
        <v>466</v>
      </c>
      <c r="E13" s="472"/>
      <c r="F13" s="472"/>
      <c r="G13" s="472"/>
      <c r="H13" s="472"/>
      <c r="I13" s="312"/>
    </row>
    <row r="14" spans="1:14" ht="43.5" customHeight="1" x14ac:dyDescent="0.25">
      <c r="D14" s="467" t="s">
        <v>466</v>
      </c>
      <c r="E14" s="467"/>
      <c r="F14" s="467" t="s">
        <v>546</v>
      </c>
      <c r="G14" s="467"/>
      <c r="H14" s="313" t="s">
        <v>547</v>
      </c>
    </row>
    <row r="15" spans="1:14" ht="39" customHeight="1" x14ac:dyDescent="0.25">
      <c r="D15" s="459" t="s">
        <v>193</v>
      </c>
      <c r="E15" s="460"/>
      <c r="F15" s="453"/>
      <c r="G15" s="453"/>
      <c r="H15" s="222"/>
    </row>
    <row r="16" spans="1:14" ht="41.25" customHeight="1" x14ac:dyDescent="0.25">
      <c r="D16" s="461"/>
      <c r="E16" s="462"/>
      <c r="F16" s="456" t="s">
        <v>618</v>
      </c>
      <c r="G16" s="457"/>
      <c r="H16" s="222" t="s">
        <v>548</v>
      </c>
    </row>
    <row r="17" spans="4:8" ht="27.75" customHeight="1" x14ac:dyDescent="0.25">
      <c r="D17" s="461"/>
      <c r="E17" s="462"/>
      <c r="F17" s="458" t="s">
        <v>580</v>
      </c>
      <c r="G17" s="458"/>
      <c r="H17" s="222" t="s">
        <v>549</v>
      </c>
    </row>
    <row r="18" spans="4:8" ht="33.75" customHeight="1" x14ac:dyDescent="0.25">
      <c r="D18" s="463"/>
      <c r="E18" s="464"/>
      <c r="F18" s="458"/>
      <c r="G18" s="458"/>
      <c r="H18" s="222"/>
    </row>
    <row r="19" spans="4:8" ht="28.5" customHeight="1" x14ac:dyDescent="0.25">
      <c r="D19" s="459" t="s">
        <v>584</v>
      </c>
      <c r="E19" s="460"/>
      <c r="F19" s="447" t="s">
        <v>585</v>
      </c>
      <c r="G19" s="447"/>
      <c r="H19" s="222"/>
    </row>
    <row r="20" spans="4:8" ht="33.75" customHeight="1" x14ac:dyDescent="0.25">
      <c r="D20" s="461"/>
      <c r="E20" s="462"/>
      <c r="F20" s="455" t="s">
        <v>586</v>
      </c>
      <c r="G20" s="455"/>
      <c r="H20" s="222"/>
    </row>
    <row r="21" spans="4:8" ht="33" customHeight="1" x14ac:dyDescent="0.25">
      <c r="D21" s="463"/>
      <c r="E21" s="464"/>
      <c r="F21" s="453"/>
      <c r="G21" s="453"/>
      <c r="H21" s="222"/>
    </row>
    <row r="22" spans="4:8" ht="30" customHeight="1" x14ac:dyDescent="0.25">
      <c r="D22" s="459" t="s">
        <v>584</v>
      </c>
      <c r="E22" s="460"/>
      <c r="F22" s="489" t="s">
        <v>587</v>
      </c>
      <c r="G22" s="490"/>
      <c r="H22" s="222"/>
    </row>
    <row r="23" spans="4:8" ht="29.25" customHeight="1" x14ac:dyDescent="0.25">
      <c r="D23" s="461"/>
      <c r="E23" s="462"/>
      <c r="F23" s="453" t="s">
        <v>588</v>
      </c>
      <c r="G23" s="454"/>
      <c r="H23" s="222"/>
    </row>
    <row r="24" spans="4:8" ht="15" customHeight="1" x14ac:dyDescent="0.25">
      <c r="D24" s="461"/>
      <c r="E24" s="462"/>
      <c r="F24" s="453" t="s">
        <v>589</v>
      </c>
      <c r="G24" s="454"/>
      <c r="H24" s="222"/>
    </row>
    <row r="25" spans="4:8" ht="33" customHeight="1" x14ac:dyDescent="0.25">
      <c r="D25" s="463"/>
      <c r="E25" s="464"/>
      <c r="F25" s="489"/>
      <c r="G25" s="490"/>
      <c r="H25" s="222"/>
    </row>
    <row r="26" spans="4:8" ht="33" customHeight="1" x14ac:dyDescent="0.25">
      <c r="D26" s="459" t="s">
        <v>193</v>
      </c>
      <c r="E26" s="460"/>
      <c r="F26" s="455" t="s">
        <v>590</v>
      </c>
      <c r="G26" s="455"/>
      <c r="H26" s="222"/>
    </row>
    <row r="27" spans="4:8" ht="33" customHeight="1" x14ac:dyDescent="0.25">
      <c r="D27" s="463"/>
      <c r="E27" s="464"/>
      <c r="F27" s="447" t="s">
        <v>591</v>
      </c>
      <c r="G27" s="447"/>
      <c r="H27" s="222"/>
    </row>
    <row r="28" spans="4:8" ht="28.5" customHeight="1" x14ac:dyDescent="0.25">
      <c r="D28" s="491" t="s">
        <v>584</v>
      </c>
      <c r="E28" s="492"/>
      <c r="F28" s="451" t="s">
        <v>592</v>
      </c>
      <c r="G28" s="452"/>
      <c r="H28" s="222"/>
    </row>
    <row r="29" spans="4:8" ht="29.25" customHeight="1" x14ac:dyDescent="0.25">
      <c r="D29" s="493"/>
      <c r="E29" s="494"/>
      <c r="F29" s="453" t="s">
        <v>593</v>
      </c>
      <c r="G29" s="454"/>
      <c r="H29" s="222"/>
    </row>
    <row r="30" spans="4:8" ht="33.75" customHeight="1" x14ac:dyDescent="0.25">
      <c r="D30" s="495"/>
      <c r="E30" s="496"/>
      <c r="F30" s="455"/>
      <c r="G30" s="455"/>
      <c r="H30" s="222"/>
    </row>
    <row r="31" spans="4:8" ht="33.75" customHeight="1" x14ac:dyDescent="0.25">
      <c r="D31" s="491"/>
      <c r="E31" s="492"/>
      <c r="F31" s="451"/>
      <c r="G31" s="452"/>
      <c r="H31" s="222"/>
    </row>
    <row r="32" spans="4:8" ht="33.75" customHeight="1" x14ac:dyDescent="0.25">
      <c r="D32" s="493"/>
      <c r="E32" s="494"/>
      <c r="F32" s="451"/>
      <c r="G32" s="452"/>
      <c r="H32" s="222"/>
    </row>
    <row r="33" spans="4:8" ht="33.75" customHeight="1" x14ac:dyDescent="0.25">
      <c r="D33" s="493"/>
      <c r="E33" s="494"/>
      <c r="F33" s="465"/>
      <c r="G33" s="466"/>
      <c r="H33" s="222"/>
    </row>
    <row r="34" spans="4:8" x14ac:dyDescent="0.25">
      <c r="D34" s="448"/>
      <c r="E34" s="448"/>
      <c r="F34" s="447"/>
      <c r="G34" s="447"/>
      <c r="H34" s="222"/>
    </row>
    <row r="35" spans="4:8" x14ac:dyDescent="0.25">
      <c r="D35" s="448"/>
      <c r="E35" s="448"/>
      <c r="F35" s="447"/>
      <c r="G35" s="447"/>
      <c r="H35" s="222"/>
    </row>
    <row r="36" spans="4:8" x14ac:dyDescent="0.25">
      <c r="D36" s="448"/>
      <c r="E36" s="448"/>
      <c r="F36" s="447"/>
      <c r="G36" s="447"/>
      <c r="H36" s="222"/>
    </row>
    <row r="37" spans="4:8" ht="15" customHeight="1" x14ac:dyDescent="0.25">
      <c r="D37" s="488"/>
      <c r="E37" s="488"/>
      <c r="F37" s="488"/>
      <c r="G37" s="488"/>
      <c r="H37" s="447"/>
    </row>
    <row r="38" spans="4:8" x14ac:dyDescent="0.25">
      <c r="D38" s="488"/>
      <c r="E38" s="488"/>
      <c r="F38" s="488"/>
      <c r="G38" s="488"/>
      <c r="H38" s="447"/>
    </row>
    <row r="39" spans="4:8" x14ac:dyDescent="0.25">
      <c r="D39" s="488"/>
      <c r="E39" s="488"/>
      <c r="F39" s="446"/>
      <c r="G39" s="446"/>
      <c r="H39" s="222"/>
    </row>
    <row r="40" spans="4:8" ht="50.25" customHeight="1" x14ac:dyDescent="0.25">
      <c r="D40" s="488"/>
      <c r="E40" s="488"/>
      <c r="F40" s="446"/>
      <c r="G40" s="446"/>
      <c r="H40" s="222"/>
    </row>
    <row r="108" spans="1:3" x14ac:dyDescent="0.25">
      <c r="A108" s="450" t="s">
        <v>468</v>
      </c>
      <c r="B108" s="450"/>
      <c r="C108" s="450"/>
    </row>
    <row r="110" spans="1:3" x14ac:dyDescent="0.25">
      <c r="A110" s="138" t="s">
        <v>358</v>
      </c>
      <c r="B110" s="138" t="s">
        <v>345</v>
      </c>
      <c r="C110" s="138" t="s">
        <v>369</v>
      </c>
    </row>
    <row r="111" spans="1:3" ht="75" x14ac:dyDescent="0.25">
      <c r="A111" s="138" t="s">
        <v>346</v>
      </c>
      <c r="B111" s="138" t="s">
        <v>359</v>
      </c>
      <c r="C111" s="178" t="s">
        <v>364</v>
      </c>
    </row>
    <row r="112" spans="1:3" ht="45" x14ac:dyDescent="0.25">
      <c r="A112" s="138" t="s">
        <v>347</v>
      </c>
      <c r="B112" s="138" t="s">
        <v>360</v>
      </c>
      <c r="C112" s="178" t="s">
        <v>365</v>
      </c>
    </row>
    <row r="113" spans="1:3" ht="75" x14ac:dyDescent="0.25">
      <c r="A113" s="138" t="s">
        <v>348</v>
      </c>
      <c r="B113" s="138" t="s">
        <v>361</v>
      </c>
      <c r="C113" s="178" t="s">
        <v>366</v>
      </c>
    </row>
    <row r="114" spans="1:3" ht="75" x14ac:dyDescent="0.25">
      <c r="A114" s="138" t="s">
        <v>349</v>
      </c>
      <c r="B114" s="138" t="s">
        <v>362</v>
      </c>
      <c r="C114" s="178" t="s">
        <v>367</v>
      </c>
    </row>
    <row r="115" spans="1:3" ht="90" x14ac:dyDescent="0.25">
      <c r="A115" s="138" t="s">
        <v>356</v>
      </c>
      <c r="C115" s="178" t="s">
        <v>368</v>
      </c>
    </row>
    <row r="116" spans="1:3" x14ac:dyDescent="0.25">
      <c r="A116" s="138" t="s">
        <v>357</v>
      </c>
    </row>
    <row r="117" spans="1:3" x14ac:dyDescent="0.25">
      <c r="A117" s="138" t="s">
        <v>350</v>
      </c>
    </row>
    <row r="118" spans="1:3" x14ac:dyDescent="0.25">
      <c r="A118" s="138" t="s">
        <v>351</v>
      </c>
    </row>
    <row r="119" spans="1:3" x14ac:dyDescent="0.25">
      <c r="A119" s="138" t="s">
        <v>352</v>
      </c>
    </row>
    <row r="120" spans="1:3" x14ac:dyDescent="0.25">
      <c r="A120" s="138" t="s">
        <v>353</v>
      </c>
    </row>
    <row r="121" spans="1:3" x14ac:dyDescent="0.25">
      <c r="A121" s="138" t="s">
        <v>354</v>
      </c>
    </row>
    <row r="122" spans="1:3" x14ac:dyDescent="0.25">
      <c r="A122" s="138" t="s">
        <v>355</v>
      </c>
    </row>
    <row r="125" spans="1:3" x14ac:dyDescent="0.25">
      <c r="A125" s="138" t="s">
        <v>548</v>
      </c>
    </row>
    <row r="126" spans="1:3" x14ac:dyDescent="0.25">
      <c r="A126" s="138" t="s">
        <v>549</v>
      </c>
    </row>
  </sheetData>
  <mergeCells count="47">
    <mergeCell ref="H37:H38"/>
    <mergeCell ref="D37:E40"/>
    <mergeCell ref="F22:G22"/>
    <mergeCell ref="F23:G23"/>
    <mergeCell ref="D22:E25"/>
    <mergeCell ref="F25:G25"/>
    <mergeCell ref="F28:G28"/>
    <mergeCell ref="D28:E30"/>
    <mergeCell ref="F40:G40"/>
    <mergeCell ref="F24:G24"/>
    <mergeCell ref="D26:E27"/>
    <mergeCell ref="F26:G26"/>
    <mergeCell ref="F27:G27"/>
    <mergeCell ref="F31:G31"/>
    <mergeCell ref="D31:E33"/>
    <mergeCell ref="F37:G38"/>
    <mergeCell ref="D8:I8"/>
    <mergeCell ref="D13:H13"/>
    <mergeCell ref="E2:H2"/>
    <mergeCell ref="A8:C8"/>
    <mergeCell ref="E4:F4"/>
    <mergeCell ref="E3:F3"/>
    <mergeCell ref="G3:H3"/>
    <mergeCell ref="G4:H4"/>
    <mergeCell ref="A7:I7"/>
    <mergeCell ref="F33:G33"/>
    <mergeCell ref="F34:G34"/>
    <mergeCell ref="F35:G35"/>
    <mergeCell ref="D19:E21"/>
    <mergeCell ref="D14:E14"/>
    <mergeCell ref="F14:G14"/>
    <mergeCell ref="F39:G39"/>
    <mergeCell ref="F36:G36"/>
    <mergeCell ref="D34:E36"/>
    <mergeCell ref="A13:B13"/>
    <mergeCell ref="A108:C108"/>
    <mergeCell ref="F32:G32"/>
    <mergeCell ref="F29:G29"/>
    <mergeCell ref="F30:G30"/>
    <mergeCell ref="F21:G21"/>
    <mergeCell ref="F15:G15"/>
    <mergeCell ref="F20:G20"/>
    <mergeCell ref="F16:G16"/>
    <mergeCell ref="F17:G17"/>
    <mergeCell ref="F18:G18"/>
    <mergeCell ref="F19:G19"/>
    <mergeCell ref="D15:E18"/>
  </mergeCells>
  <dataValidations count="4">
    <dataValidation type="list" allowBlank="1" showInputMessage="1" showErrorMessage="1" sqref="A10:A11" xr:uid="{75C63179-4CC0-4DE1-8413-CB11E097EDE0}">
      <formula1>$A$111:$A$122</formula1>
    </dataValidation>
    <dataValidation type="list" allowBlank="1" showInputMessage="1" showErrorMessage="1" sqref="B10:B11" xr:uid="{119E3A8E-C30E-4FB5-B61B-FDEFA0556B47}">
      <formula1>$B$111:$B$114</formula1>
    </dataValidation>
    <dataValidation type="list" allowBlank="1" showInputMessage="1" showErrorMessage="1" sqref="C10:C11" xr:uid="{DE8D7FCD-EDB2-40D6-98FB-C7C4E7FC50CF}">
      <formula1>$C$111:$C$115</formula1>
    </dataValidation>
    <dataValidation type="list" allowBlank="1" showInputMessage="1" showErrorMessage="1" sqref="H15:H33" xr:uid="{CC37580C-1786-45E8-96A2-12D0647523B3}">
      <formula1>$A$125:$A$126</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43"/>
  <sheetViews>
    <sheetView zoomScale="110" zoomScaleNormal="110" workbookViewId="0">
      <selection activeCell="B1" sqref="B1"/>
    </sheetView>
  </sheetViews>
  <sheetFormatPr baseColWidth="10" defaultColWidth="11.42578125" defaultRowHeight="15" x14ac:dyDescent="0.25"/>
  <cols>
    <col min="1" max="1" width="2.85546875" style="83" customWidth="1"/>
    <col min="2" max="3" width="24.7109375" style="83" customWidth="1"/>
    <col min="4" max="4" width="16" style="83" customWidth="1"/>
    <col min="5" max="5" width="24.7109375" style="83" customWidth="1"/>
    <col min="6" max="6" width="27.7109375" style="83" customWidth="1"/>
    <col min="7" max="8" width="24.7109375" style="83" customWidth="1"/>
    <col min="9" max="16384" width="11.42578125" style="83"/>
  </cols>
  <sheetData>
    <row r="1" spans="2:8" ht="67.5" customHeight="1" x14ac:dyDescent="0.25"/>
    <row r="2" spans="2:8" ht="79.5" customHeight="1" thickBot="1" x14ac:dyDescent="0.3"/>
    <row r="3" spans="2:8" ht="18" x14ac:dyDescent="0.25">
      <c r="B3" s="511" t="s">
        <v>166</v>
      </c>
      <c r="C3" s="512"/>
      <c r="D3" s="512"/>
      <c r="E3" s="512"/>
      <c r="F3" s="512"/>
      <c r="G3" s="512"/>
      <c r="H3" s="513"/>
    </row>
    <row r="4" spans="2:8" x14ac:dyDescent="0.25">
      <c r="B4" s="84"/>
      <c r="C4" s="85"/>
      <c r="D4" s="85"/>
      <c r="E4" s="85"/>
      <c r="F4" s="85"/>
      <c r="G4" s="85"/>
      <c r="H4" s="86"/>
    </row>
    <row r="5" spans="2:8" ht="63" customHeight="1" x14ac:dyDescent="0.25">
      <c r="B5" s="514" t="s">
        <v>534</v>
      </c>
      <c r="C5" s="515"/>
      <c r="D5" s="515"/>
      <c r="E5" s="515"/>
      <c r="F5" s="515"/>
      <c r="G5" s="515"/>
      <c r="H5" s="516"/>
    </row>
    <row r="6" spans="2:8" ht="63" customHeight="1" x14ac:dyDescent="0.25">
      <c r="B6" s="517"/>
      <c r="C6" s="518"/>
      <c r="D6" s="518"/>
      <c r="E6" s="518"/>
      <c r="F6" s="518"/>
      <c r="G6" s="518"/>
      <c r="H6" s="519"/>
    </row>
    <row r="7" spans="2:8" ht="16.5" x14ac:dyDescent="0.25">
      <c r="B7" s="520" t="s">
        <v>164</v>
      </c>
      <c r="C7" s="521"/>
      <c r="D7" s="521"/>
      <c r="E7" s="521"/>
      <c r="F7" s="521"/>
      <c r="G7" s="521"/>
      <c r="H7" s="522"/>
    </row>
    <row r="8" spans="2:8" ht="95.25" customHeight="1" x14ac:dyDescent="0.25">
      <c r="B8" s="530" t="s">
        <v>535</v>
      </c>
      <c r="C8" s="531"/>
      <c r="D8" s="531"/>
      <c r="E8" s="531"/>
      <c r="F8" s="531"/>
      <c r="G8" s="531"/>
      <c r="H8" s="532"/>
    </row>
    <row r="9" spans="2:8" ht="16.5" x14ac:dyDescent="0.25">
      <c r="B9" s="120"/>
      <c r="C9" s="121"/>
      <c r="D9" s="121"/>
      <c r="E9" s="121"/>
      <c r="F9" s="121"/>
      <c r="G9" s="121"/>
      <c r="H9" s="122"/>
    </row>
    <row r="10" spans="2:8" ht="16.5" customHeight="1" x14ac:dyDescent="0.25">
      <c r="B10" s="523" t="s">
        <v>199</v>
      </c>
      <c r="C10" s="524"/>
      <c r="D10" s="524"/>
      <c r="E10" s="524"/>
      <c r="F10" s="524"/>
      <c r="G10" s="524"/>
      <c r="H10" s="525"/>
    </row>
    <row r="11" spans="2:8" ht="44.25" customHeight="1" x14ac:dyDescent="0.25">
      <c r="B11" s="523"/>
      <c r="C11" s="524"/>
      <c r="D11" s="524"/>
      <c r="E11" s="524"/>
      <c r="F11" s="524"/>
      <c r="G11" s="524"/>
      <c r="H11" s="525"/>
    </row>
    <row r="12" spans="2:8" ht="15.75" thickBot="1" x14ac:dyDescent="0.3">
      <c r="B12" s="109"/>
      <c r="C12" s="112"/>
      <c r="D12" s="117"/>
      <c r="E12" s="118"/>
      <c r="F12" s="118"/>
      <c r="G12" s="119"/>
      <c r="H12" s="113"/>
    </row>
    <row r="13" spans="2:8" ht="15.75" thickTop="1" x14ac:dyDescent="0.25">
      <c r="B13" s="109"/>
      <c r="C13" s="526" t="s">
        <v>165</v>
      </c>
      <c r="D13" s="527"/>
      <c r="E13" s="528" t="s">
        <v>200</v>
      </c>
      <c r="F13" s="529"/>
      <c r="G13" s="112"/>
      <c r="H13" s="113"/>
    </row>
    <row r="14" spans="2:8" ht="35.25" customHeight="1" x14ac:dyDescent="0.25">
      <c r="B14" s="109"/>
      <c r="C14" s="497" t="s">
        <v>193</v>
      </c>
      <c r="D14" s="498"/>
      <c r="E14" s="499" t="s">
        <v>198</v>
      </c>
      <c r="F14" s="500"/>
      <c r="G14" s="112"/>
      <c r="H14" s="113"/>
    </row>
    <row r="15" spans="2:8" ht="17.25" customHeight="1" x14ac:dyDescent="0.25">
      <c r="B15" s="109"/>
      <c r="C15" s="497" t="s">
        <v>194</v>
      </c>
      <c r="D15" s="498"/>
      <c r="E15" s="499" t="s">
        <v>196</v>
      </c>
      <c r="F15" s="500"/>
      <c r="G15" s="112"/>
      <c r="H15" s="113"/>
    </row>
    <row r="16" spans="2:8" ht="19.5" customHeight="1" x14ac:dyDescent="0.25">
      <c r="B16" s="109"/>
      <c r="C16" s="497" t="s">
        <v>195</v>
      </c>
      <c r="D16" s="498"/>
      <c r="E16" s="499" t="s">
        <v>197</v>
      </c>
      <c r="F16" s="500"/>
      <c r="G16" s="112"/>
      <c r="H16" s="113"/>
    </row>
    <row r="17" spans="2:8" ht="69.75" customHeight="1" x14ac:dyDescent="0.25">
      <c r="B17" s="109"/>
      <c r="C17" s="497" t="s">
        <v>167</v>
      </c>
      <c r="D17" s="498"/>
      <c r="E17" s="499" t="s">
        <v>168</v>
      </c>
      <c r="F17" s="500"/>
      <c r="G17" s="112"/>
      <c r="H17" s="113"/>
    </row>
    <row r="18" spans="2:8" ht="34.5" customHeight="1" x14ac:dyDescent="0.25">
      <c r="B18" s="109"/>
      <c r="C18" s="503" t="s">
        <v>2</v>
      </c>
      <c r="D18" s="504"/>
      <c r="E18" s="501" t="s">
        <v>201</v>
      </c>
      <c r="F18" s="502"/>
      <c r="G18" s="112"/>
      <c r="H18" s="113"/>
    </row>
    <row r="19" spans="2:8" ht="27.75" customHeight="1" x14ac:dyDescent="0.25">
      <c r="B19" s="109"/>
      <c r="C19" s="503" t="s">
        <v>3</v>
      </c>
      <c r="D19" s="504"/>
      <c r="E19" s="501" t="s">
        <v>202</v>
      </c>
      <c r="F19" s="502"/>
      <c r="G19" s="112"/>
      <c r="H19" s="113"/>
    </row>
    <row r="20" spans="2:8" ht="28.5" customHeight="1" x14ac:dyDescent="0.25">
      <c r="B20" s="109"/>
      <c r="C20" s="503" t="s">
        <v>42</v>
      </c>
      <c r="D20" s="504"/>
      <c r="E20" s="501" t="s">
        <v>203</v>
      </c>
      <c r="F20" s="502"/>
      <c r="G20" s="112"/>
      <c r="H20" s="113"/>
    </row>
    <row r="21" spans="2:8" ht="72.75" customHeight="1" x14ac:dyDescent="0.25">
      <c r="B21" s="109"/>
      <c r="C21" s="503" t="s">
        <v>1</v>
      </c>
      <c r="D21" s="504"/>
      <c r="E21" s="501" t="s">
        <v>536</v>
      </c>
      <c r="F21" s="502"/>
      <c r="G21" s="112"/>
      <c r="H21" s="113"/>
    </row>
    <row r="22" spans="2:8" ht="64.5" customHeight="1" x14ac:dyDescent="0.25">
      <c r="B22" s="109"/>
      <c r="C22" s="503" t="s">
        <v>50</v>
      </c>
      <c r="D22" s="504"/>
      <c r="E22" s="501" t="s">
        <v>170</v>
      </c>
      <c r="F22" s="502"/>
      <c r="G22" s="112"/>
      <c r="H22" s="113"/>
    </row>
    <row r="23" spans="2:8" ht="71.25" customHeight="1" x14ac:dyDescent="0.25">
      <c r="B23" s="109"/>
      <c r="C23" s="503" t="s">
        <v>169</v>
      </c>
      <c r="D23" s="504"/>
      <c r="E23" s="501" t="s">
        <v>171</v>
      </c>
      <c r="F23" s="502"/>
      <c r="G23" s="112"/>
      <c r="H23" s="113"/>
    </row>
    <row r="24" spans="2:8" ht="55.5" customHeight="1" x14ac:dyDescent="0.25">
      <c r="B24" s="109"/>
      <c r="C24" s="505" t="s">
        <v>172</v>
      </c>
      <c r="D24" s="506"/>
      <c r="E24" s="501" t="s">
        <v>173</v>
      </c>
      <c r="F24" s="502"/>
      <c r="G24" s="112"/>
      <c r="H24" s="113"/>
    </row>
    <row r="25" spans="2:8" ht="42" customHeight="1" x14ac:dyDescent="0.25">
      <c r="B25" s="109"/>
      <c r="C25" s="505" t="s">
        <v>48</v>
      </c>
      <c r="D25" s="506"/>
      <c r="E25" s="501" t="s">
        <v>174</v>
      </c>
      <c r="F25" s="502"/>
      <c r="G25" s="112"/>
      <c r="H25" s="113"/>
    </row>
    <row r="26" spans="2:8" ht="59.25" customHeight="1" x14ac:dyDescent="0.25">
      <c r="B26" s="109"/>
      <c r="C26" s="505" t="s">
        <v>163</v>
      </c>
      <c r="D26" s="506"/>
      <c r="E26" s="501" t="s">
        <v>537</v>
      </c>
      <c r="F26" s="502"/>
      <c r="G26" s="112"/>
      <c r="H26" s="113"/>
    </row>
    <row r="27" spans="2:8" ht="23.25" customHeight="1" x14ac:dyDescent="0.25">
      <c r="B27" s="109"/>
      <c r="C27" s="505" t="s">
        <v>12</v>
      </c>
      <c r="D27" s="506"/>
      <c r="E27" s="501" t="s">
        <v>175</v>
      </c>
      <c r="F27" s="502"/>
      <c r="G27" s="112"/>
      <c r="H27" s="113"/>
    </row>
    <row r="28" spans="2:8" ht="30.75" customHeight="1" x14ac:dyDescent="0.25">
      <c r="B28" s="109"/>
      <c r="C28" s="505" t="s">
        <v>179</v>
      </c>
      <c r="D28" s="506"/>
      <c r="E28" s="501" t="s">
        <v>176</v>
      </c>
      <c r="F28" s="502"/>
      <c r="G28" s="112"/>
      <c r="H28" s="113"/>
    </row>
    <row r="29" spans="2:8" ht="35.25" customHeight="1" x14ac:dyDescent="0.25">
      <c r="B29" s="109"/>
      <c r="C29" s="505" t="s">
        <v>180</v>
      </c>
      <c r="D29" s="506"/>
      <c r="E29" s="501" t="s">
        <v>177</v>
      </c>
      <c r="F29" s="502"/>
      <c r="G29" s="112"/>
      <c r="H29" s="113"/>
    </row>
    <row r="30" spans="2:8" ht="33" customHeight="1" x14ac:dyDescent="0.25">
      <c r="B30" s="109"/>
      <c r="C30" s="505" t="s">
        <v>180</v>
      </c>
      <c r="D30" s="506"/>
      <c r="E30" s="501" t="s">
        <v>177</v>
      </c>
      <c r="F30" s="502"/>
      <c r="G30" s="112"/>
      <c r="H30" s="113"/>
    </row>
    <row r="31" spans="2:8" ht="30" customHeight="1" x14ac:dyDescent="0.25">
      <c r="B31" s="109"/>
      <c r="C31" s="505" t="s">
        <v>181</v>
      </c>
      <c r="D31" s="506"/>
      <c r="E31" s="501" t="s">
        <v>178</v>
      </c>
      <c r="F31" s="502"/>
      <c r="G31" s="112"/>
      <c r="H31" s="113"/>
    </row>
    <row r="32" spans="2:8" ht="35.25" customHeight="1" x14ac:dyDescent="0.25">
      <c r="B32" s="109"/>
      <c r="C32" s="505" t="s">
        <v>182</v>
      </c>
      <c r="D32" s="506"/>
      <c r="E32" s="501" t="s">
        <v>183</v>
      </c>
      <c r="F32" s="502"/>
      <c r="G32" s="112"/>
      <c r="H32" s="113"/>
    </row>
    <row r="33" spans="2:8" ht="31.5" customHeight="1" x14ac:dyDescent="0.25">
      <c r="B33" s="109"/>
      <c r="C33" s="505" t="s">
        <v>184</v>
      </c>
      <c r="D33" s="506"/>
      <c r="E33" s="501" t="s">
        <v>185</v>
      </c>
      <c r="F33" s="502"/>
      <c r="G33" s="112"/>
      <c r="H33" s="113"/>
    </row>
    <row r="34" spans="2:8" ht="35.25" customHeight="1" x14ac:dyDescent="0.25">
      <c r="B34" s="109"/>
      <c r="C34" s="505" t="s">
        <v>186</v>
      </c>
      <c r="D34" s="506"/>
      <c r="E34" s="501" t="s">
        <v>187</v>
      </c>
      <c r="F34" s="502"/>
      <c r="G34" s="112"/>
      <c r="H34" s="113"/>
    </row>
    <row r="35" spans="2:8" ht="59.25" customHeight="1" x14ac:dyDescent="0.25">
      <c r="B35" s="109"/>
      <c r="C35" s="505" t="s">
        <v>188</v>
      </c>
      <c r="D35" s="506"/>
      <c r="E35" s="501" t="s">
        <v>538</v>
      </c>
      <c r="F35" s="502"/>
      <c r="G35" s="112"/>
      <c r="H35" s="113"/>
    </row>
    <row r="36" spans="2:8" ht="29.25" customHeight="1" x14ac:dyDescent="0.25">
      <c r="B36" s="109"/>
      <c r="C36" s="505" t="s">
        <v>29</v>
      </c>
      <c r="D36" s="506"/>
      <c r="E36" s="501" t="s">
        <v>189</v>
      </c>
      <c r="F36" s="502"/>
      <c r="G36" s="112"/>
      <c r="H36" s="113"/>
    </row>
    <row r="37" spans="2:8" ht="82.5" customHeight="1" x14ac:dyDescent="0.25">
      <c r="B37" s="109"/>
      <c r="C37" s="505" t="s">
        <v>191</v>
      </c>
      <c r="D37" s="506"/>
      <c r="E37" s="501" t="s">
        <v>190</v>
      </c>
      <c r="F37" s="502"/>
      <c r="G37" s="112"/>
      <c r="H37" s="113"/>
    </row>
    <row r="38" spans="2:8" ht="46.5" customHeight="1" x14ac:dyDescent="0.25">
      <c r="B38" s="109"/>
      <c r="C38" s="505" t="s">
        <v>39</v>
      </c>
      <c r="D38" s="506"/>
      <c r="E38" s="501" t="s">
        <v>192</v>
      </c>
      <c r="F38" s="502"/>
      <c r="G38" s="112"/>
      <c r="H38" s="113"/>
    </row>
    <row r="39" spans="2:8" ht="6.75" customHeight="1" thickBot="1" x14ac:dyDescent="0.3">
      <c r="B39" s="109"/>
      <c r="C39" s="507"/>
      <c r="D39" s="508"/>
      <c r="E39" s="509"/>
      <c r="F39" s="510"/>
      <c r="G39" s="112"/>
      <c r="H39" s="113"/>
    </row>
    <row r="40" spans="2:8" ht="15.75" thickTop="1" x14ac:dyDescent="0.25">
      <c r="B40" s="109"/>
      <c r="C40" s="110"/>
      <c r="D40" s="110"/>
      <c r="E40" s="111"/>
      <c r="F40" s="111"/>
      <c r="G40" s="112"/>
      <c r="H40" s="113"/>
    </row>
    <row r="41" spans="2:8" ht="15.75" thickBot="1" x14ac:dyDescent="0.3">
      <c r="B41" s="114"/>
      <c r="C41" s="115"/>
      <c r="D41" s="115"/>
      <c r="E41" s="115"/>
      <c r="F41" s="115"/>
      <c r="G41" s="115"/>
      <c r="H41" s="116"/>
    </row>
    <row r="42" spans="2:8" x14ac:dyDescent="0.25">
      <c r="B42" s="107"/>
      <c r="C42" s="107"/>
      <c r="D42" s="107"/>
      <c r="E42" s="107"/>
      <c r="F42" s="107"/>
      <c r="G42" s="107"/>
      <c r="H42" s="107"/>
    </row>
    <row r="43" spans="2:8" x14ac:dyDescent="0.25">
      <c r="B43" s="107"/>
      <c r="C43" s="107"/>
      <c r="D43" s="107"/>
      <c r="E43" s="107"/>
      <c r="F43" s="107"/>
      <c r="G43" s="107"/>
      <c r="H43" s="107"/>
    </row>
  </sheetData>
  <mergeCells count="59">
    <mergeCell ref="B3:H3"/>
    <mergeCell ref="B5:H6"/>
    <mergeCell ref="B7:H7"/>
    <mergeCell ref="B10:H11"/>
    <mergeCell ref="C13:D13"/>
    <mergeCell ref="E13:F13"/>
    <mergeCell ref="B8:H8"/>
    <mergeCell ref="C14:D14"/>
    <mergeCell ref="E14:F14"/>
    <mergeCell ref="C18:D18"/>
    <mergeCell ref="E18:F18"/>
    <mergeCell ref="C22:D22"/>
    <mergeCell ref="C19:D19"/>
    <mergeCell ref="C20:D20"/>
    <mergeCell ref="C21:D21"/>
    <mergeCell ref="E19:F19"/>
    <mergeCell ref="E20:F20"/>
    <mergeCell ref="E21:F21"/>
    <mergeCell ref="E22:F22"/>
    <mergeCell ref="C17:D17"/>
    <mergeCell ref="E17:F17"/>
    <mergeCell ref="C15:D15"/>
    <mergeCell ref="E15:F15"/>
    <mergeCell ref="C27:D27"/>
    <mergeCell ref="E27:F27"/>
    <mergeCell ref="E35:F35"/>
    <mergeCell ref="C33:D33"/>
    <mergeCell ref="C32:D32"/>
    <mergeCell ref="E32:F32"/>
    <mergeCell ref="E33:F33"/>
    <mergeCell ref="C28:D28"/>
    <mergeCell ref="E28:F28"/>
    <mergeCell ref="C30:D30"/>
    <mergeCell ref="E30:F30"/>
    <mergeCell ref="C31:D31"/>
    <mergeCell ref="E31:F31"/>
    <mergeCell ref="E34:F34"/>
    <mergeCell ref="E29:F29"/>
    <mergeCell ref="C29:D29"/>
    <mergeCell ref="C39:D39"/>
    <mergeCell ref="E39:F39"/>
    <mergeCell ref="C38:D38"/>
    <mergeCell ref="E38:F38"/>
    <mergeCell ref="C34:D34"/>
    <mergeCell ref="C35:D35"/>
    <mergeCell ref="C36:D36"/>
    <mergeCell ref="E36:F36"/>
    <mergeCell ref="C37:D37"/>
    <mergeCell ref="E37:F37"/>
    <mergeCell ref="C16:D16"/>
    <mergeCell ref="E16:F16"/>
    <mergeCell ref="E23:F23"/>
    <mergeCell ref="C23:D23"/>
    <mergeCell ref="C26:D26"/>
    <mergeCell ref="E26:F26"/>
    <mergeCell ref="E24:F24"/>
    <mergeCell ref="C24:D24"/>
    <mergeCell ref="C25:D25"/>
    <mergeCell ref="E25:F2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25E3-D4A6-47FA-996E-9B1DC6B76879}">
  <sheetPr>
    <tabColor rgb="FF002060"/>
  </sheetPr>
  <dimension ref="A1:BR116"/>
  <sheetViews>
    <sheetView topLeftCell="A14" zoomScale="70" zoomScaleNormal="70" workbookViewId="0">
      <selection activeCell="F15" sqref="F15:F16"/>
    </sheetView>
  </sheetViews>
  <sheetFormatPr baseColWidth="10" defaultColWidth="11.42578125" defaultRowHeight="16.5" x14ac:dyDescent="0.3"/>
  <cols>
    <col min="1" max="1" width="18.140625" style="2" customWidth="1"/>
    <col min="2" max="2" width="14.140625"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9" style="1" customWidth="1"/>
    <col min="10" max="10" width="27.28515625" style="1" bestFit="1" customWidth="1"/>
    <col min="11" max="11" width="30.5703125" style="1" hidden="1" customWidth="1"/>
    <col min="12" max="12" width="17.5703125" style="1" customWidth="1"/>
    <col min="13" max="13" width="9.28515625" style="1" customWidth="1"/>
    <col min="14" max="14" width="16" style="1" customWidth="1"/>
    <col min="15" max="15" width="5.85546875" style="1" customWidth="1"/>
    <col min="16" max="16" width="23.7109375" style="1" customWidth="1"/>
    <col min="17" max="17" width="20.42578125" style="1" customWidth="1"/>
    <col min="18" max="18" width="8.85546875" style="1" customWidth="1"/>
    <col min="19" max="20" width="8.140625" style="1" customWidth="1"/>
    <col min="21" max="23" width="9.5703125" style="1" customWidth="1"/>
    <col min="24" max="24" width="7.28515625" style="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2" width="23" style="1" customWidth="1"/>
    <col min="33" max="33" width="18.85546875" style="1" customWidth="1"/>
    <col min="34" max="35" width="16.85546875" style="1" customWidth="1"/>
    <col min="36" max="36" width="14.85546875" style="1" customWidth="1"/>
    <col min="37" max="37" width="18.5703125" style="1" customWidth="1"/>
    <col min="38" max="38" width="21" style="1" customWidth="1"/>
    <col min="39" max="16384" width="11.42578125" style="1"/>
  </cols>
  <sheetData>
    <row r="1" spans="1:70" ht="88.5" customHeight="1" x14ac:dyDescent="0.3"/>
    <row r="2" spans="1:70" ht="19.5" customHeight="1" thickBot="1" x14ac:dyDescent="0.35"/>
    <row r="3" spans="1:70" ht="16.5" customHeight="1" x14ac:dyDescent="0.3">
      <c r="A3" s="536" t="s">
        <v>507</v>
      </c>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4.25" customHeight="1" thickBot="1" x14ac:dyDescent="0.35">
      <c r="A4" s="539"/>
      <c r="B4" s="540"/>
      <c r="C4" s="540"/>
      <c r="D4" s="540"/>
      <c r="E4" s="540"/>
      <c r="F4" s="540"/>
      <c r="G4" s="540"/>
      <c r="H4" s="540"/>
      <c r="I4" s="540"/>
      <c r="J4" s="540"/>
      <c r="K4" s="540"/>
      <c r="L4" s="540"/>
      <c r="M4" s="540"/>
      <c r="N4" s="540"/>
      <c r="O4" s="541"/>
      <c r="P4" s="541"/>
      <c r="Q4" s="541"/>
      <c r="R4" s="541"/>
      <c r="S4" s="541"/>
      <c r="T4" s="541"/>
      <c r="U4" s="541"/>
      <c r="V4" s="541"/>
      <c r="W4" s="541"/>
      <c r="X4" s="541"/>
      <c r="Y4" s="541"/>
      <c r="Z4" s="541"/>
      <c r="AA4" s="541"/>
      <c r="AB4" s="541"/>
      <c r="AC4" s="541"/>
      <c r="AD4" s="541"/>
      <c r="AE4" s="541"/>
      <c r="AF4" s="541"/>
      <c r="AG4" s="541"/>
      <c r="AH4" s="541"/>
      <c r="AI4" s="541"/>
      <c r="AJ4" s="541"/>
      <c r="AK4" s="541"/>
      <c r="AL4" s="542"/>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26.25" customHeight="1" x14ac:dyDescent="0.3">
      <c r="A5" s="543" t="s">
        <v>43</v>
      </c>
      <c r="B5" s="543"/>
      <c r="C5" s="544" t="str">
        <f>'Datos del proceso'!A10</f>
        <v>GESTIÓN FINANCIERAS</v>
      </c>
      <c r="D5" s="544"/>
      <c r="E5" s="544"/>
      <c r="F5" s="544"/>
      <c r="G5" s="544"/>
      <c r="H5" s="544"/>
      <c r="I5" s="544"/>
      <c r="J5" s="544"/>
      <c r="K5" s="544"/>
      <c r="L5" s="544"/>
      <c r="M5" s="544"/>
      <c r="N5" s="544"/>
      <c r="O5" s="545"/>
      <c r="P5" s="545"/>
      <c r="Q5" s="545"/>
      <c r="R5" s="268"/>
      <c r="S5" s="268"/>
      <c r="T5" s="268"/>
      <c r="U5" s="268"/>
      <c r="V5" s="268"/>
      <c r="W5" s="268"/>
      <c r="X5" s="268"/>
      <c r="Y5" s="268"/>
      <c r="Z5" s="268"/>
      <c r="AA5" s="268"/>
      <c r="AB5" s="268"/>
      <c r="AC5" s="268"/>
      <c r="AD5" s="268"/>
      <c r="AE5" s="268"/>
      <c r="AF5" s="268"/>
      <c r="AG5" s="268"/>
      <c r="AH5" s="268"/>
      <c r="AI5" s="268"/>
      <c r="AJ5" s="268"/>
      <c r="AK5" s="268"/>
      <c r="AL5" s="26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33" customHeight="1" x14ac:dyDescent="0.3">
      <c r="A6" s="543" t="s">
        <v>130</v>
      </c>
      <c r="B6" s="543"/>
      <c r="C6" s="544" t="str">
        <f>'Datos del proceso'!I10</f>
        <v>Administrar las operaciones financieras y económicas de la FUGA de manera eficaz, transparente y oportuna para la toma de decisiones en cumplimiento de su misión durante la ejecución del plan de desarrollo, cumpliendo con el 100% de  las solicitudes internas de acuerdo a los procedimientos establecidos</v>
      </c>
      <c r="D6" s="544"/>
      <c r="E6" s="544"/>
      <c r="F6" s="544"/>
      <c r="G6" s="544"/>
      <c r="H6" s="544"/>
      <c r="I6" s="544"/>
      <c r="J6" s="544"/>
      <c r="K6" s="544"/>
      <c r="L6" s="544"/>
      <c r="M6" s="544"/>
      <c r="N6" s="544"/>
      <c r="O6" s="268"/>
      <c r="P6" s="268"/>
      <c r="Q6" s="268"/>
      <c r="R6" s="268"/>
      <c r="S6" s="268"/>
      <c r="T6" s="268"/>
      <c r="U6" s="268"/>
      <c r="V6" s="268"/>
      <c r="W6" s="268"/>
      <c r="X6" s="268"/>
      <c r="Y6" s="268"/>
      <c r="Z6" s="268"/>
      <c r="AA6" s="268"/>
      <c r="AB6" s="268"/>
      <c r="AC6" s="268"/>
      <c r="AD6" s="268"/>
      <c r="AE6" s="268"/>
      <c r="AF6" s="268"/>
      <c r="AG6" s="268"/>
      <c r="AH6" s="268"/>
      <c r="AI6" s="268"/>
      <c r="AJ6" s="268"/>
      <c r="AK6" s="268"/>
      <c r="AL6" s="26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s="569" customFormat="1" ht="18" customHeight="1" thickBot="1" x14ac:dyDescent="0.3">
      <c r="A7" s="568"/>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8"/>
      <c r="AG7" s="568"/>
      <c r="AH7" s="568"/>
      <c r="AI7" s="568"/>
      <c r="AJ7" s="568"/>
      <c r="AK7" s="568"/>
      <c r="AL7" s="568"/>
      <c r="AM7" s="568"/>
      <c r="AN7" s="568"/>
      <c r="AO7" s="568"/>
      <c r="AP7" s="568"/>
      <c r="AQ7" s="568"/>
      <c r="AR7" s="568"/>
      <c r="AS7" s="568"/>
      <c r="AT7" s="568"/>
      <c r="AU7" s="568"/>
      <c r="AV7" s="568"/>
      <c r="AW7" s="568"/>
      <c r="AX7" s="568"/>
      <c r="AY7" s="568"/>
      <c r="AZ7" s="568"/>
      <c r="BA7" s="568"/>
      <c r="BB7" s="568"/>
      <c r="BC7" s="568"/>
      <c r="BD7" s="568"/>
      <c r="BE7" s="568"/>
      <c r="BF7" s="568"/>
      <c r="BG7" s="568"/>
      <c r="BH7" s="568"/>
      <c r="BI7" s="568"/>
      <c r="BJ7" s="568"/>
      <c r="BK7" s="568"/>
      <c r="BL7" s="568"/>
      <c r="BM7" s="568"/>
      <c r="BN7" s="568"/>
      <c r="BO7" s="568"/>
      <c r="BP7" s="568"/>
      <c r="BQ7" s="568"/>
      <c r="BR7" s="568"/>
    </row>
    <row r="8" spans="1:70" ht="23.25" customHeight="1" x14ac:dyDescent="0.3">
      <c r="A8" s="566" t="s">
        <v>508</v>
      </c>
      <c r="B8" s="567"/>
      <c r="C8" s="567"/>
      <c r="D8" s="567"/>
      <c r="E8" s="567"/>
      <c r="F8" s="567"/>
      <c r="G8" s="567"/>
      <c r="H8" s="567"/>
      <c r="I8" s="567"/>
      <c r="J8" s="567"/>
      <c r="K8" s="567"/>
      <c r="L8" s="567"/>
      <c r="M8" s="567"/>
      <c r="N8" s="567"/>
      <c r="O8" s="567"/>
      <c r="P8" s="567"/>
      <c r="Q8" s="567"/>
      <c r="R8" s="567"/>
      <c r="S8" s="567"/>
      <c r="T8" s="567"/>
      <c r="U8" s="567"/>
      <c r="V8" s="567"/>
      <c r="W8" s="270"/>
      <c r="X8" s="270"/>
      <c r="Y8" s="270"/>
      <c r="Z8" s="270"/>
      <c r="AA8" s="270"/>
      <c r="AB8" s="270"/>
      <c r="AC8" s="270"/>
      <c r="AD8" s="270"/>
      <c r="AE8" s="270"/>
      <c r="AF8" s="270"/>
      <c r="AG8" s="270"/>
      <c r="AH8" s="270"/>
      <c r="AI8" s="270"/>
      <c r="AJ8" s="270"/>
      <c r="AK8" s="270"/>
      <c r="AL8" s="270"/>
    </row>
    <row r="9" spans="1:70" s="570" customFormat="1" ht="9.75" customHeight="1" x14ac:dyDescent="0.25"/>
    <row r="10" spans="1:70" ht="30" customHeight="1" x14ac:dyDescent="0.3">
      <c r="A10" s="534" t="s">
        <v>338</v>
      </c>
      <c r="B10" s="534"/>
      <c r="C10" s="534"/>
      <c r="D10" s="562" t="s">
        <v>339</v>
      </c>
      <c r="E10" s="563"/>
      <c r="F10" s="564"/>
      <c r="G10" s="534" t="s">
        <v>340</v>
      </c>
      <c r="H10" s="534"/>
      <c r="I10" s="534" t="s">
        <v>341</v>
      </c>
      <c r="J10" s="534"/>
      <c r="K10" s="172"/>
      <c r="L10" s="269" t="s">
        <v>218</v>
      </c>
      <c r="M10" s="534" t="s">
        <v>1</v>
      </c>
      <c r="N10" s="534"/>
      <c r="O10" s="533" t="s">
        <v>13</v>
      </c>
      <c r="P10" s="533"/>
      <c r="Q10" s="269" t="s">
        <v>342</v>
      </c>
      <c r="R10" s="533" t="s">
        <v>343</v>
      </c>
      <c r="S10" s="533"/>
      <c r="T10" s="533"/>
      <c r="U10" s="533"/>
      <c r="V10" s="176"/>
      <c r="W10" s="268"/>
      <c r="X10" s="268"/>
      <c r="Y10" s="268"/>
      <c r="Z10" s="268"/>
      <c r="AA10" s="268"/>
      <c r="AB10" s="268"/>
      <c r="AC10" s="268"/>
      <c r="AD10" s="268"/>
      <c r="AE10" s="268"/>
      <c r="AF10" s="268"/>
      <c r="AG10" s="268"/>
      <c r="AH10" s="268"/>
      <c r="AI10" s="268"/>
      <c r="AJ10" s="268"/>
      <c r="AK10" s="268"/>
      <c r="AL10" s="26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row>
    <row r="11" spans="1:70" ht="30" customHeight="1" x14ac:dyDescent="0.3">
      <c r="A11" s="571"/>
      <c r="B11" s="571"/>
      <c r="C11" s="571"/>
      <c r="D11" s="571"/>
      <c r="E11" s="571"/>
      <c r="F11" s="571"/>
      <c r="G11" s="572"/>
      <c r="H11" s="572"/>
      <c r="I11" s="572"/>
      <c r="J11" s="572"/>
      <c r="K11" s="153"/>
      <c r="L11" s="166"/>
      <c r="M11" s="573"/>
      <c r="N11" s="573"/>
      <c r="O11" s="571"/>
      <c r="P11" s="571"/>
      <c r="Q11" s="153"/>
      <c r="R11" s="571"/>
      <c r="S11" s="571"/>
      <c r="T11" s="571"/>
      <c r="U11" s="571"/>
      <c r="V11" s="176"/>
      <c r="W11" s="268"/>
      <c r="X11" s="268"/>
      <c r="Y11" s="268"/>
      <c r="Z11" s="268"/>
      <c r="AA11" s="268"/>
      <c r="AB11" s="268"/>
      <c r="AC11" s="268"/>
      <c r="AD11" s="268"/>
      <c r="AE11" s="268"/>
      <c r="AF11" s="268"/>
      <c r="AG11" s="268"/>
      <c r="AH11" s="268"/>
      <c r="AI11" s="268"/>
      <c r="AJ11" s="268"/>
      <c r="AK11" s="268"/>
      <c r="AL11" s="26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row>
    <row r="12" spans="1:70" ht="30" customHeight="1" x14ac:dyDescent="0.3">
      <c r="A12" s="571"/>
      <c r="B12" s="571"/>
      <c r="C12" s="571"/>
      <c r="D12" s="571"/>
      <c r="E12" s="571"/>
      <c r="F12" s="571"/>
      <c r="G12" s="572"/>
      <c r="H12" s="572"/>
      <c r="I12" s="572"/>
      <c r="J12" s="572"/>
      <c r="K12" s="153"/>
      <c r="L12" s="166"/>
      <c r="M12" s="573"/>
      <c r="N12" s="573"/>
      <c r="O12" s="571"/>
      <c r="P12" s="571"/>
      <c r="Q12" s="153"/>
      <c r="R12" s="571"/>
      <c r="S12" s="571"/>
      <c r="T12" s="571"/>
      <c r="U12" s="571"/>
      <c r="V12" s="176"/>
      <c r="W12" s="268"/>
      <c r="X12" s="268"/>
      <c r="Y12" s="268"/>
      <c r="Z12" s="268"/>
      <c r="AA12" s="268"/>
      <c r="AB12" s="268"/>
      <c r="AC12" s="268"/>
      <c r="AD12" s="268"/>
      <c r="AE12" s="268"/>
      <c r="AF12" s="268"/>
      <c r="AG12" s="268"/>
      <c r="AH12" s="268"/>
      <c r="AI12" s="268"/>
      <c r="AJ12" s="268"/>
      <c r="AK12" s="268"/>
      <c r="AL12" s="26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row>
    <row r="13" spans="1:70" ht="30" customHeight="1" x14ac:dyDescent="0.3">
      <c r="A13" s="561"/>
      <c r="B13" s="561"/>
      <c r="C13" s="561"/>
      <c r="D13" s="561"/>
      <c r="E13" s="561"/>
      <c r="F13" s="561"/>
      <c r="G13" s="572"/>
      <c r="H13" s="572"/>
      <c r="I13" s="574"/>
      <c r="J13" s="575"/>
      <c r="K13" s="175"/>
      <c r="L13" s="175"/>
      <c r="M13" s="578"/>
      <c r="N13" s="579"/>
      <c r="O13" s="576"/>
      <c r="P13" s="577"/>
      <c r="Q13" s="153"/>
      <c r="R13" s="571"/>
      <c r="S13" s="571"/>
      <c r="T13" s="571"/>
      <c r="U13" s="571"/>
      <c r="V13" s="177"/>
      <c r="W13" s="268"/>
      <c r="X13" s="268"/>
      <c r="Y13" s="268"/>
      <c r="Z13" s="268"/>
      <c r="AA13" s="268"/>
      <c r="AB13" s="268"/>
      <c r="AC13" s="268"/>
      <c r="AD13" s="268"/>
      <c r="AE13" s="268"/>
      <c r="AF13" s="268"/>
      <c r="AG13" s="268"/>
      <c r="AH13" s="268"/>
      <c r="AI13" s="268"/>
      <c r="AJ13" s="268"/>
      <c r="AK13" s="268"/>
      <c r="AL13" s="26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row>
    <row r="14" spans="1:70" s="270" customFormat="1" ht="15" x14ac:dyDescent="0.2">
      <c r="A14" s="533" t="s">
        <v>509</v>
      </c>
      <c r="B14" s="533"/>
      <c r="C14" s="533"/>
      <c r="D14" s="533"/>
      <c r="E14" s="533"/>
      <c r="F14" s="533"/>
      <c r="G14" s="533"/>
      <c r="H14" s="533" t="s">
        <v>140</v>
      </c>
      <c r="I14" s="533"/>
      <c r="J14" s="533"/>
      <c r="K14" s="533"/>
      <c r="L14" s="533"/>
      <c r="M14" s="533"/>
      <c r="N14" s="533"/>
      <c r="O14" s="533" t="s">
        <v>141</v>
      </c>
      <c r="P14" s="533"/>
      <c r="Q14" s="533"/>
      <c r="R14" s="533"/>
      <c r="S14" s="533"/>
      <c r="T14" s="533"/>
      <c r="U14" s="533"/>
      <c r="V14" s="533"/>
      <c r="W14" s="533"/>
      <c r="X14" s="533" t="s">
        <v>142</v>
      </c>
      <c r="Y14" s="533"/>
      <c r="Z14" s="533"/>
      <c r="AA14" s="533"/>
      <c r="AB14" s="533"/>
      <c r="AC14" s="533"/>
      <c r="AD14" s="533"/>
      <c r="AE14" s="533" t="s">
        <v>34</v>
      </c>
      <c r="AF14" s="533"/>
      <c r="AG14" s="533"/>
      <c r="AH14" s="533"/>
      <c r="AI14" s="533"/>
      <c r="AJ14" s="533"/>
      <c r="AK14" s="533"/>
      <c r="AL14" s="533"/>
      <c r="AM14" s="268"/>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row>
    <row r="15" spans="1:70" s="270" customFormat="1" ht="16.5" customHeight="1" x14ac:dyDescent="0.2">
      <c r="A15" s="534"/>
      <c r="B15" s="535"/>
      <c r="C15" s="534"/>
      <c r="D15" s="533"/>
      <c r="E15" s="534" t="s">
        <v>478</v>
      </c>
      <c r="F15" s="549" t="s">
        <v>480</v>
      </c>
      <c r="I15" s="546" t="s">
        <v>481</v>
      </c>
      <c r="J15" s="546" t="s">
        <v>479</v>
      </c>
      <c r="K15" s="271" t="s">
        <v>92</v>
      </c>
      <c r="L15" s="546" t="s">
        <v>482</v>
      </c>
      <c r="M15" s="546" t="s">
        <v>483</v>
      </c>
      <c r="N15" s="546" t="s">
        <v>484</v>
      </c>
      <c r="O15" s="534" t="s">
        <v>163</v>
      </c>
      <c r="P15" s="534" t="s">
        <v>503</v>
      </c>
      <c r="Q15" s="534" t="s">
        <v>8</v>
      </c>
      <c r="R15" s="534"/>
      <c r="S15" s="534"/>
      <c r="T15" s="534"/>
      <c r="U15" s="534"/>
      <c r="V15" s="534"/>
      <c r="W15" s="551" t="s">
        <v>502</v>
      </c>
      <c r="X15" s="551" t="s">
        <v>485</v>
      </c>
      <c r="Y15" s="551" t="s">
        <v>488</v>
      </c>
      <c r="Z15" s="551" t="s">
        <v>486</v>
      </c>
      <c r="AA15" s="551" t="s">
        <v>481</v>
      </c>
      <c r="AB15" s="551" t="s">
        <v>489</v>
      </c>
      <c r="AC15" s="551" t="s">
        <v>29</v>
      </c>
      <c r="AD15" s="534" t="s">
        <v>34</v>
      </c>
      <c r="AE15" s="546" t="s">
        <v>496</v>
      </c>
      <c r="AF15" s="534" t="s">
        <v>35</v>
      </c>
      <c r="AG15" s="534" t="s">
        <v>236</v>
      </c>
      <c r="AH15" s="546" t="s">
        <v>506</v>
      </c>
      <c r="AI15" s="548" t="s">
        <v>38</v>
      </c>
      <c r="AJ15" s="548" t="s">
        <v>37</v>
      </c>
      <c r="AK15" s="548" t="s">
        <v>39</v>
      </c>
      <c r="AL15" s="268"/>
      <c r="AM15" s="268"/>
      <c r="AN15" s="268"/>
      <c r="AO15" s="268"/>
      <c r="AP15" s="268"/>
      <c r="AQ15" s="268"/>
      <c r="AR15" s="268"/>
      <c r="AS15" s="268"/>
      <c r="AT15" s="268"/>
      <c r="AU15" s="268"/>
      <c r="AV15" s="268"/>
      <c r="AW15" s="268"/>
      <c r="AX15" s="268"/>
      <c r="AY15" s="268"/>
      <c r="AZ15" s="268"/>
      <c r="BA15" s="268"/>
      <c r="BB15" s="268"/>
      <c r="BC15" s="268"/>
      <c r="BD15" s="268"/>
      <c r="BE15" s="268"/>
      <c r="BF15" s="268"/>
      <c r="BG15" s="268"/>
      <c r="BH15" s="268"/>
      <c r="BI15" s="268"/>
      <c r="BJ15" s="268"/>
      <c r="BK15" s="268"/>
      <c r="BL15" s="268"/>
      <c r="BM15" s="268"/>
      <c r="BN15" s="268"/>
      <c r="BO15" s="268"/>
      <c r="BP15" s="268"/>
      <c r="BQ15" s="268"/>
    </row>
    <row r="16" spans="1:70" s="273" customFormat="1" ht="110.25" customHeight="1" x14ac:dyDescent="0.25">
      <c r="A16" s="534"/>
      <c r="B16" s="535"/>
      <c r="C16" s="534"/>
      <c r="D16" s="533"/>
      <c r="E16" s="534"/>
      <c r="F16" s="550"/>
      <c r="I16" s="547"/>
      <c r="J16" s="547"/>
      <c r="K16" s="271"/>
      <c r="L16" s="547"/>
      <c r="M16" s="547"/>
      <c r="N16" s="547"/>
      <c r="O16" s="534"/>
      <c r="P16" s="534"/>
      <c r="Q16" s="290" t="s">
        <v>490</v>
      </c>
      <c r="R16" s="290" t="s">
        <v>492</v>
      </c>
      <c r="S16" s="290" t="s">
        <v>487</v>
      </c>
      <c r="T16" s="290" t="s">
        <v>499</v>
      </c>
      <c r="U16" s="290" t="s">
        <v>500</v>
      </c>
      <c r="V16" s="290" t="s">
        <v>501</v>
      </c>
      <c r="W16" s="551"/>
      <c r="X16" s="551"/>
      <c r="Y16" s="551"/>
      <c r="Z16" s="551"/>
      <c r="AA16" s="551"/>
      <c r="AB16" s="551"/>
      <c r="AC16" s="551"/>
      <c r="AD16" s="534"/>
      <c r="AE16" s="547"/>
      <c r="AF16" s="534"/>
      <c r="AG16" s="534"/>
      <c r="AH16" s="547"/>
      <c r="AI16" s="548"/>
      <c r="AJ16" s="548"/>
      <c r="AK16" s="548"/>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c r="BM16" s="272"/>
      <c r="BN16" s="272"/>
      <c r="BO16" s="272"/>
      <c r="BP16" s="272"/>
      <c r="BQ16" s="272"/>
    </row>
    <row r="17" spans="1:70" s="287" customFormat="1" ht="83.25" customHeight="1" x14ac:dyDescent="0.25">
      <c r="A17" s="559"/>
      <c r="B17" s="558"/>
      <c r="C17" s="558"/>
      <c r="D17" s="555"/>
      <c r="E17" s="557">
        <v>120</v>
      </c>
      <c r="F17" s="558" t="str">
        <f>IF(E17&lt;=0,"",IF(E17&lt;=2,"Muy Baja",IF(E17&lt;=24,"Baja",IF(E17&lt;=500,"Media",IF(E17&lt;=5000,"Alta","Muy Alta")))))</f>
        <v>Media</v>
      </c>
      <c r="I17" s="553">
        <f>IF(F17="","",IF(F17="Muy Baja",0.2,IF(F17="Baja",0.4,IF(F17="Media",0.6,IF(F17="Alta",0.8,IF(F17="Muy Alta",1,))))))</f>
        <v>0.6</v>
      </c>
      <c r="J17" s="555">
        <v>500</v>
      </c>
      <c r="K17" s="553">
        <f>IF(NOT(ISERROR(MATCH(J17,'[2]Tabla Impacto'!$B$221:$B$223,0))),'[2]Tabla Impacto'!$F$223&amp;"Por favor no seleccionar los criterios de impacto(Afectación Económica o presupuestal y Pérdida Reputacional)",J17)</f>
        <v>500</v>
      </c>
      <c r="L17" s="558" t="str">
        <f>IF(J17&lt;=0,"",IF(J17&lt;=10,"Leve",IF(J17&lt;=50,"Menor",IF(J17&lt;=100,"Moderado",IF(J17&lt;=500,"Mayor","Catastrófico")))))</f>
        <v>Mayor</v>
      </c>
      <c r="M17" s="553">
        <f>IF(L17="","",IF(L17="Leve",0.2,IF(L17="Menor",0.4,IF(L17="Moderado",0.6,IF(L17="Mayor",0.8,IF(L17="Catastrófico",1,))))))</f>
        <v>0.8</v>
      </c>
      <c r="N17" s="552"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274">
        <v>1</v>
      </c>
      <c r="P17" s="275"/>
      <c r="Q17" s="276" t="str">
        <f t="shared" ref="Q17:Q30" si="0">IF(OR(R17="Preventivo",R17="Detectivo"),"Probabilidad",IF(R17="Correctivo","Impacto",""))</f>
        <v>Probabilidad</v>
      </c>
      <c r="R17" s="277" t="s">
        <v>14</v>
      </c>
      <c r="S17" s="277" t="s">
        <v>9</v>
      </c>
      <c r="T17" s="278" t="str">
        <f>IF(AND(R17="Preventivo",S17="Automático"),"50%",IF(AND(R17="Preventivo",S17="Manual"),"40%",IF(AND(R17="Detectivo",S17="Automático"),"40%",IF(AND(R17="Detectivo",S17="Manual"),"30%",IF(AND(R17="Correctivo",S17="Automático"),"35%",IF(AND(R17="Correctivo",S17="Manual"),"25%",""))))))</f>
        <v>40%</v>
      </c>
      <c r="U17" s="277" t="s">
        <v>493</v>
      </c>
      <c r="V17" s="277" t="s">
        <v>22</v>
      </c>
      <c r="W17" s="277" t="s">
        <v>497</v>
      </c>
      <c r="X17" s="279">
        <f>IFERROR(IF(Q17="Probabilidad",(I17-(+I17*T17)),IF(Q17="Impacto",I17,"")),"")</f>
        <v>0.36</v>
      </c>
      <c r="Y17" s="280" t="str">
        <f>IFERROR(IF(X17="","",IF(X17&lt;=0.2,"Muy Baja",IF(X17&lt;=0.4,"Baja",IF(X17&lt;=0.6,"Media",IF(X17&lt;=0.8,"Alta","Muy Alta"))))),"")</f>
        <v>Baja</v>
      </c>
      <c r="Z17" s="278">
        <f>+X17</f>
        <v>0.36</v>
      </c>
      <c r="AA17" s="280" t="str">
        <f>IFERROR(IF(AB17="","",IF(AB17&lt;=0.2,"Leve",IF(AB17&lt;=0.4,"Menor",IF(AB17&lt;=0.6,"Moderado",IF(AB17&lt;=0.8,"Mayor","Catastrófico"))))),"")</f>
        <v>Mayor</v>
      </c>
      <c r="AB17" s="278">
        <f>IFERROR(IF(Q17="Impacto",(M17-(+M17*T17)),IF(Q17="Probabilidad",M17,"")),"")</f>
        <v>0.8</v>
      </c>
      <c r="AC17" s="281" t="str">
        <f>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277" t="s">
        <v>30</v>
      </c>
      <c r="AE17" s="282"/>
      <c r="AF17" s="282"/>
      <c r="AG17" s="283"/>
      <c r="AH17" s="284"/>
      <c r="AI17" s="284"/>
      <c r="AJ17" s="284"/>
      <c r="AK17" s="282"/>
      <c r="AL17" s="285" t="s">
        <v>40</v>
      </c>
      <c r="AM17" s="286"/>
      <c r="AN17" s="286"/>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row>
    <row r="18" spans="1:70" s="289" customFormat="1" ht="60" customHeight="1" x14ac:dyDescent="0.2">
      <c r="A18" s="560"/>
      <c r="B18" s="558"/>
      <c r="C18" s="558"/>
      <c r="D18" s="555"/>
      <c r="E18" s="557"/>
      <c r="F18" s="558"/>
      <c r="I18" s="553"/>
      <c r="J18" s="555"/>
      <c r="K18" s="553">
        <f ca="1">IF(NOT(ISERROR(MATCH(J18,_xlfn.ANCHORARRAY(E21),0))),#REF!&amp;"Por favor no seleccionar los criterios de impacto",J18)</f>
        <v>0</v>
      </c>
      <c r="L18" s="558"/>
      <c r="M18" s="553"/>
      <c r="N18" s="552"/>
      <c r="O18" s="274">
        <v>2</v>
      </c>
      <c r="P18" s="275"/>
      <c r="Q18" s="276" t="str">
        <f t="shared" si="0"/>
        <v>Probabilidad</v>
      </c>
      <c r="R18" s="277" t="s">
        <v>15</v>
      </c>
      <c r="S18" s="277" t="s">
        <v>9</v>
      </c>
      <c r="T18" s="278" t="str">
        <f t="shared" ref="T18" si="1">IF(AND(R18="Preventivo",S18="Automático"),"50%",IF(AND(R18="Preventivo",S18="Manual"),"40%",IF(AND(R18="Detectivo",S18="Automático"),"40%",IF(AND(R18="Detectivo",S18="Manual"),"30%",IF(AND(R18="Correctivo",S18="Automático"),"35%",IF(AND(R18="Correctivo",S18="Manual"),"25%",""))))))</f>
        <v>30%</v>
      </c>
      <c r="U18" s="277" t="s">
        <v>493</v>
      </c>
      <c r="V18" s="277" t="s">
        <v>22</v>
      </c>
      <c r="W18" s="277" t="s">
        <v>497</v>
      </c>
      <c r="X18" s="279">
        <f>IFERROR(IF(AND(Q17="Probabilidad",Q18="Probabilidad"),(Z17-(+Z17*T18)),IF(Q18="Probabilidad",(I17-(+I17*T18)),IF(Q18="Impacto",Z17,""))),"")</f>
        <v>0.252</v>
      </c>
      <c r="Y18" s="280" t="str">
        <f t="shared" ref="Y18:Y30" si="2">IFERROR(IF(X18="","",IF(X18&lt;=0.2,"Muy Baja",IF(X18&lt;=0.4,"Baja",IF(X18&lt;=0.6,"Media",IF(X18&lt;=0.8,"Alta","Muy Alta"))))),"")</f>
        <v>Baja</v>
      </c>
      <c r="Z18" s="278">
        <f t="shared" ref="Z18" si="3">+X18</f>
        <v>0.252</v>
      </c>
      <c r="AA18" s="280" t="str">
        <f t="shared" ref="AA18:AA30" si="4">IFERROR(IF(AB18="","",IF(AB18&lt;=0.2,"Leve",IF(AB18&lt;=0.4,"Menor",IF(AB18&lt;=0.6,"Moderado",IF(AB18&lt;=0.8,"Mayor","Catastrófico"))))),"")</f>
        <v>Mayor</v>
      </c>
      <c r="AB18" s="278">
        <f>IFERROR(IF(AND(Q17="Impacto",Q18="Impacto"),(AB17-(+AB17*T18)),IF(Q18="Impacto",($M$17-(+$M$17*T18)),IF(Q18="Probabilidad",AB17,""))),"")</f>
        <v>0.8</v>
      </c>
      <c r="AC18" s="281" t="str">
        <f t="shared" ref="AC18" si="5">IFERROR(IF(OR(AND(Y18="Muy Baja",AA18="Leve"),AND(Y18="Muy Baja",AA18="Menor"),AND(Y18="Baja",AA18="Leve")),"Bajo",IF(OR(AND(Y18="Muy baja",AA18="Moderado"),AND(Y18="Baja",AA18="Menor"),AND(Y18="Baja",AA18="Moderado"),AND(Y18="Media",AA18="Leve"),AND(Y18="Media",AA18="Menor"),AND(Y18="Media",AA18="Moderado"),AND(Y18="Alta",AA18="Leve"),AND(Y18="Alta",AA18="Menor")),"Moderado",IF(OR(AND(Y18="Muy Baja",AA18="Mayor"),AND(Y18="Baja",AA18="Mayor"),AND(Y18="Media",AA18="Mayor"),AND(Y18="Alta",AA18="Moderado"),AND(Y18="Alta",AA18="Mayor"),AND(Y18="Muy Alta",AA18="Leve"),AND(Y18="Muy Alta",AA18="Menor"),AND(Y18="Muy Alta",AA18="Moderado"),AND(Y18="Muy Alta",AA18="Mayor")),"Alto",IF(OR(AND(Y18="Muy Baja",AA18="Catastrófico"),AND(Y18="Baja",AA18="Catastrófico"),AND(Y18="Media",AA18="Catastrófico"),AND(Y18="Alta",AA18="Catastrófico"),AND(Y18="Muy Alta",AA18="Catastrófico")),"Extremo","")))),"")</f>
        <v>Alto</v>
      </c>
      <c r="AD18" s="277" t="s">
        <v>30</v>
      </c>
      <c r="AE18" s="282"/>
      <c r="AF18" s="282"/>
      <c r="AG18" s="283"/>
      <c r="AH18" s="284"/>
      <c r="AI18" s="284"/>
      <c r="AJ18" s="284"/>
      <c r="AK18" s="282"/>
      <c r="AL18" s="285"/>
      <c r="AM18" s="288"/>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row>
    <row r="19" spans="1:70" s="289" customFormat="1" ht="69" customHeight="1" x14ac:dyDescent="0.2">
      <c r="A19" s="554"/>
      <c r="B19" s="555"/>
      <c r="C19" s="555"/>
      <c r="D19" s="555"/>
      <c r="E19" s="556"/>
      <c r="F19" s="555"/>
      <c r="G19" s="557"/>
      <c r="H19" s="558" t="str">
        <f t="shared" ref="H19" si="6">IF(G19&lt;=0,"",IF(G19&lt;=2,"Muy Baja",IF(G19&lt;=24,"Baja",IF(G19&lt;=500,"Media",IF(G19&lt;=5000,"Alta","Muy Alta")))))</f>
        <v/>
      </c>
      <c r="I19" s="553" t="str">
        <f t="shared" ref="I19" si="7">IF(H19="","",IF(H19="Muy Baja",0.2,IF(H19="Baja",0.4,IF(H19="Media",0.6,IF(H19="Alta",0.8,IF(H19="Muy Alta",1,))))))</f>
        <v/>
      </c>
      <c r="J19" s="555"/>
      <c r="K19" s="553">
        <f>IF(NOT(ISERROR(MATCH(J19,'[2]Tabla Impacto'!$B$221:$B$223,0))),'[2]Tabla Impacto'!$F$223&amp;"Por favor no seleccionar los criterios de impacto(Afectación Económica o presupuestal y Pérdida Reputacional)",J19)</f>
        <v>0</v>
      </c>
      <c r="L19" s="558" t="str">
        <f t="shared" ref="L19" si="8">IF(J19&lt;=0,"",IF(J19&lt;=10,"Leve",IF(J19&lt;=50,"Menor",IF(J19&lt;=100,"Moderado",IF(J19&lt;=500,"Mayor","Catastrófico")))))</f>
        <v/>
      </c>
      <c r="M19" s="553" t="str">
        <f t="shared" ref="M19" si="9">IF(L19="","",IF(L19="Leve",0.2,IF(L19="Menor",0.4,IF(L19="Moderado",0.6,IF(L19="Mayor",0.8,IF(L19="Catastrófico",1,))))))</f>
        <v/>
      </c>
      <c r="N19" s="552" t="str">
        <f t="shared" ref="N19" si="10">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274">
        <v>1</v>
      </c>
      <c r="P19" s="275"/>
      <c r="Q19" s="276" t="str">
        <f t="shared" si="0"/>
        <v/>
      </c>
      <c r="R19" s="277"/>
      <c r="S19" s="277"/>
      <c r="T19" s="278" t="str">
        <f>IF(AND(R19="Preventivo",S19="Automático"),"50%",IF(AND(R19="Preventivo",S19="Manual"),"40%",IF(AND(R19="Detectivo",S19="Automático"),"40%",IF(AND(R19="Detectivo",S19="Manual"),"30%",IF(AND(R19="Correctivo",S19="Automático"),"35%",IF(AND(R19="Correctivo",S19="Manual"),"25%",""))))))</f>
        <v/>
      </c>
      <c r="U19" s="277"/>
      <c r="V19" s="277"/>
      <c r="W19" s="277"/>
      <c r="X19" s="279" t="str">
        <f>IFERROR(IF(Q19="Probabilidad",(I19-(+I19*T19)),IF(Q19="Impacto",I19,"")),"")</f>
        <v/>
      </c>
      <c r="Y19" s="280" t="str">
        <f>IFERROR(IF(X19="","",IF(X19&lt;=0.2,"Muy Baja",IF(X19&lt;=0.4,"Baja",IF(X19&lt;=0.6,"Media",IF(X19&lt;=0.8,"Alta","Muy Alta"))))),"")</f>
        <v/>
      </c>
      <c r="Z19" s="278" t="str">
        <f>+X19</f>
        <v/>
      </c>
      <c r="AA19" s="280" t="str">
        <f>IFERROR(IF(AB19="","",IF(AB19&lt;=0.2,"Leve",IF(AB19&lt;=0.4,"Menor",IF(AB19&lt;=0.6,"Moderado",IF(AB19&lt;=0.8,"Mayor","Catastrófico"))))),"")</f>
        <v/>
      </c>
      <c r="AB19" s="278" t="str">
        <f>IFERROR(IF(Q19="Impacto",(M19-(+M19*T19)),IF(Q19="Probabilidad",M19,"")),"")</f>
        <v/>
      </c>
      <c r="AC19" s="28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77"/>
      <c r="AE19" s="282"/>
      <c r="AF19" s="282"/>
      <c r="AG19" s="283"/>
      <c r="AH19" s="284"/>
      <c r="AI19" s="284"/>
      <c r="AJ19" s="284"/>
      <c r="AK19" s="282"/>
      <c r="AL19" s="285"/>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row>
    <row r="20" spans="1:70" s="289" customFormat="1" ht="69" customHeight="1" x14ac:dyDescent="0.2">
      <c r="A20" s="554"/>
      <c r="B20" s="555"/>
      <c r="C20" s="555"/>
      <c r="D20" s="555"/>
      <c r="E20" s="556"/>
      <c r="F20" s="555"/>
      <c r="G20" s="557"/>
      <c r="H20" s="558"/>
      <c r="I20" s="553"/>
      <c r="J20" s="555"/>
      <c r="K20" s="553">
        <f ca="1">IF(NOT(ISERROR(MATCH(J20,_xlfn.ANCHORARRAY(E23),0))),#REF!&amp;"Por favor no seleccionar los criterios de impacto",J20)</f>
        <v>0</v>
      </c>
      <c r="L20" s="558"/>
      <c r="M20" s="553"/>
      <c r="N20" s="552"/>
      <c r="O20" s="274">
        <v>2</v>
      </c>
      <c r="P20" s="275"/>
      <c r="Q20" s="276" t="str">
        <f t="shared" si="0"/>
        <v/>
      </c>
      <c r="R20" s="277"/>
      <c r="S20" s="277"/>
      <c r="T20" s="278" t="str">
        <f t="shared" ref="T20" si="11">IF(AND(R20="Preventivo",S20="Automático"),"50%",IF(AND(R20="Preventivo",S20="Manual"),"40%",IF(AND(R20="Detectivo",S20="Automático"),"40%",IF(AND(R20="Detectivo",S20="Manual"),"30%",IF(AND(R20="Correctivo",S20="Automático"),"35%",IF(AND(R20="Correctivo",S20="Manual"),"25%",""))))))</f>
        <v/>
      </c>
      <c r="U20" s="277"/>
      <c r="V20" s="277"/>
      <c r="W20" s="277"/>
      <c r="X20" s="279" t="str">
        <f>IFERROR(IF(AND(Q19="Probabilidad",Q20="Probabilidad"),(Z19-(+Z19*T20)),IF(Q20="Probabilidad",(I19-(+I19*T20)),IF(Q20="Impacto",Z19,""))),"")</f>
        <v/>
      </c>
      <c r="Y20" s="280" t="str">
        <f t="shared" si="2"/>
        <v/>
      </c>
      <c r="Z20" s="278" t="str">
        <f t="shared" ref="Z20" si="12">+X20</f>
        <v/>
      </c>
      <c r="AA20" s="280" t="str">
        <f t="shared" si="4"/>
        <v/>
      </c>
      <c r="AB20" s="278" t="str">
        <f>IFERROR(IF(AND(Q19="Impacto",Q20="Impacto"),(AB17-(+AB17*T20)),IF(Q20="Impacto",($M$19-(+$M$19*T20)),IF(Q20="Probabilidad",AB17,""))),"")</f>
        <v/>
      </c>
      <c r="AC20" s="281" t="str">
        <f t="shared" ref="AC20" si="13">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77"/>
      <c r="AE20" s="282"/>
      <c r="AF20" s="282"/>
      <c r="AG20" s="283"/>
      <c r="AH20" s="284"/>
      <c r="AI20" s="284"/>
      <c r="AJ20" s="284"/>
      <c r="AK20" s="282"/>
      <c r="AL20" s="285"/>
      <c r="AM20" s="288"/>
      <c r="AN20" s="288"/>
      <c r="AO20" s="288"/>
      <c r="AP20" s="288"/>
      <c r="AQ20" s="288"/>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Q20" s="288"/>
      <c r="BR20" s="288"/>
    </row>
    <row r="21" spans="1:70" s="289" customFormat="1" ht="69" customHeight="1" x14ac:dyDescent="0.2">
      <c r="A21" s="554"/>
      <c r="B21" s="555"/>
      <c r="C21" s="555"/>
      <c r="D21" s="555"/>
      <c r="E21" s="556"/>
      <c r="F21" s="555"/>
      <c r="G21" s="557"/>
      <c r="H21" s="558" t="str">
        <f t="shared" ref="H21" si="14">IF(G21&lt;=0,"",IF(G21&lt;=2,"Muy Baja",IF(G21&lt;=24,"Baja",IF(G21&lt;=500,"Media",IF(G21&lt;=5000,"Alta","Muy Alta")))))</f>
        <v/>
      </c>
      <c r="I21" s="553" t="str">
        <f t="shared" ref="I21" si="15">IF(H21="","",IF(H21="Muy Baja",0.2,IF(H21="Baja",0.4,IF(H21="Media",0.6,IF(H21="Alta",0.8,IF(H21="Muy Alta",1,))))))</f>
        <v/>
      </c>
      <c r="J21" s="555"/>
      <c r="K21" s="553">
        <f>IF(NOT(ISERROR(MATCH(J21,'[2]Tabla Impacto'!$B$221:$B$223,0))),'[2]Tabla Impacto'!$F$223&amp;"Por favor no seleccionar los criterios de impacto(Afectación Económica o presupuestal y Pérdida Reputacional)",J21)</f>
        <v>0</v>
      </c>
      <c r="L21" s="558" t="str">
        <f t="shared" ref="L21" si="16">IF(J21&lt;=0,"",IF(J21&lt;=10,"Leve",IF(J21&lt;=50,"Menor",IF(J21&lt;=100,"Moderado",IF(J21&lt;=500,"Mayor","Catastrófico")))))</f>
        <v/>
      </c>
      <c r="M21" s="553" t="str">
        <f t="shared" ref="M21" si="17">IF(L21="","",IF(L21="Leve",0.2,IF(L21="Menor",0.4,IF(L21="Moderado",0.6,IF(L21="Mayor",0.8,IF(L21="Catastrófico",1,))))))</f>
        <v/>
      </c>
      <c r="N21" s="552" t="str">
        <f t="shared" ref="N21" si="18">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274">
        <v>1</v>
      </c>
      <c r="P21" s="275"/>
      <c r="Q21" s="276" t="str">
        <f t="shared" si="0"/>
        <v/>
      </c>
      <c r="R21" s="277"/>
      <c r="S21" s="277"/>
      <c r="T21" s="278" t="str">
        <f>IF(AND(R21="Preventivo",S21="Automático"),"50%",IF(AND(R21="Preventivo",S21="Manual"),"40%",IF(AND(R21="Detectivo",S21="Automático"),"40%",IF(AND(R21="Detectivo",S21="Manual"),"30%",IF(AND(R21="Correctivo",S21="Automático"),"35%",IF(AND(R21="Correctivo",S21="Manual"),"25%",""))))))</f>
        <v/>
      </c>
      <c r="U21" s="277"/>
      <c r="V21" s="277"/>
      <c r="W21" s="277"/>
      <c r="X21" s="279" t="str">
        <f>IFERROR(IF(Q21="Probabilidad",(I21-(+I21*T21)),IF(Q21="Impacto",I21,"")),"")</f>
        <v/>
      </c>
      <c r="Y21" s="280" t="str">
        <f>IFERROR(IF(X21="","",IF(X21&lt;=0.2,"Muy Baja",IF(X21&lt;=0.4,"Baja",IF(X21&lt;=0.6,"Media",IF(X21&lt;=0.8,"Alta","Muy Alta"))))),"")</f>
        <v/>
      </c>
      <c r="Z21" s="278" t="str">
        <f>+X21</f>
        <v/>
      </c>
      <c r="AA21" s="280" t="str">
        <f>IFERROR(IF(AB21="","",IF(AB21&lt;=0.2,"Leve",IF(AB21&lt;=0.4,"Menor",IF(AB21&lt;=0.6,"Moderado",IF(AB21&lt;=0.8,"Mayor","Catastrófico"))))),"")</f>
        <v/>
      </c>
      <c r="AB21" s="278" t="str">
        <f>IFERROR(IF(Q21="Impacto",(M21-(+M21*T21)),IF(Q21="Probabilidad",M21,"")),"")</f>
        <v/>
      </c>
      <c r="AC21" s="281" t="str">
        <f>IFERROR(IF(OR(AND(Y21="Muy Baja",AA21="Leve"),AND(Y21="Muy Baja",AA21="Menor"),AND(Y21="Baja",AA21="Leve")),"Bajo",IF(OR(AND(Y21="Muy baja",AA21="Moderado"),AND(Y21="Baja",AA21="Menor"),AND(Y21="Baja",AA21="Moderado"),AND(Y21="Media",AA21="Leve"),AND(Y21="Media",AA21="Menor"),AND(Y21="Media",AA21="Moderado"),AND(Y21="Alta",AA21="Leve"),AND(Y21="Alta",AA21="Menor")),"Moderado",IF(OR(AND(Y21="Muy Baja",AA21="Mayor"),AND(Y21="Baja",AA21="Mayor"),AND(Y21="Media",AA21="Mayor"),AND(Y21="Alta",AA21="Moderado"),AND(Y21="Alta",AA21="Mayor"),AND(Y21="Muy Alta",AA21="Leve"),AND(Y21="Muy Alta",AA21="Menor"),AND(Y21="Muy Alta",AA21="Moderado"),AND(Y21="Muy Alta",AA21="Mayor")),"Alto",IF(OR(AND(Y21="Muy Baja",AA21="Catastrófico"),AND(Y21="Baja",AA21="Catastrófico"),AND(Y21="Media",AA21="Catastrófico"),AND(Y21="Alta",AA21="Catastrófico"),AND(Y21="Muy Alta",AA21="Catastrófico")),"Extremo","")))),"")</f>
        <v/>
      </c>
      <c r="AD21" s="277"/>
      <c r="AE21" s="282"/>
      <c r="AF21" s="282"/>
      <c r="AG21" s="283"/>
      <c r="AH21" s="284"/>
      <c r="AI21" s="284"/>
      <c r="AJ21" s="284"/>
      <c r="AK21" s="282"/>
      <c r="AL21" s="285"/>
      <c r="AM21" s="288"/>
      <c r="AN21" s="288"/>
      <c r="AO21" s="288"/>
      <c r="AP21" s="288"/>
      <c r="AQ21" s="288"/>
      <c r="AR21" s="288"/>
      <c r="AS21" s="288"/>
      <c r="AT21" s="288"/>
      <c r="AU21" s="288"/>
      <c r="AV21" s="288"/>
      <c r="AW21" s="288"/>
      <c r="AX21" s="288"/>
      <c r="AY21" s="288"/>
      <c r="AZ21" s="288"/>
      <c r="BA21" s="288"/>
      <c r="BB21" s="288"/>
      <c r="BC21" s="288"/>
      <c r="BD21" s="288"/>
      <c r="BE21" s="288"/>
      <c r="BF21" s="288"/>
      <c r="BG21" s="288"/>
      <c r="BH21" s="288"/>
      <c r="BI21" s="288"/>
      <c r="BJ21" s="288"/>
      <c r="BK21" s="288"/>
      <c r="BL21" s="288"/>
      <c r="BM21" s="288"/>
      <c r="BN21" s="288"/>
      <c r="BO21" s="288"/>
      <c r="BP21" s="288"/>
      <c r="BQ21" s="288"/>
      <c r="BR21" s="288"/>
    </row>
    <row r="22" spans="1:70" s="289" customFormat="1" ht="69" customHeight="1" x14ac:dyDescent="0.2">
      <c r="A22" s="554"/>
      <c r="B22" s="555"/>
      <c r="C22" s="555"/>
      <c r="D22" s="555"/>
      <c r="E22" s="556"/>
      <c r="F22" s="555"/>
      <c r="G22" s="557"/>
      <c r="H22" s="558"/>
      <c r="I22" s="553"/>
      <c r="J22" s="555"/>
      <c r="K22" s="553">
        <f ca="1">IF(NOT(ISERROR(MATCH(J22,_xlfn.ANCHORARRAY(E25),0))),#REF!&amp;"Por favor no seleccionar los criterios de impacto",J22)</f>
        <v>0</v>
      </c>
      <c r="L22" s="558"/>
      <c r="M22" s="553"/>
      <c r="N22" s="552"/>
      <c r="O22" s="274">
        <v>2</v>
      </c>
      <c r="P22" s="275"/>
      <c r="Q22" s="276" t="str">
        <f t="shared" si="0"/>
        <v/>
      </c>
      <c r="R22" s="277"/>
      <c r="S22" s="277"/>
      <c r="T22" s="278" t="str">
        <f t="shared" ref="T22" si="19">IF(AND(R22="Preventivo",S22="Automático"),"50%",IF(AND(R22="Preventivo",S22="Manual"),"40%",IF(AND(R22="Detectivo",S22="Automático"),"40%",IF(AND(R22="Detectivo",S22="Manual"),"30%",IF(AND(R22="Correctivo",S22="Automático"),"35%",IF(AND(R22="Correctivo",S22="Manual"),"25%",""))))))</f>
        <v/>
      </c>
      <c r="U22" s="277"/>
      <c r="V22" s="277"/>
      <c r="W22" s="277"/>
      <c r="X22" s="279" t="str">
        <f>IFERROR(IF(AND(Q21="Probabilidad",Q22="Probabilidad"),(Z21-(+Z21*T22)),IF(Q22="Probabilidad",(I21-(+I21*T22)),IF(Q22="Impacto",Z21,""))),"")</f>
        <v/>
      </c>
      <c r="Y22" s="280" t="str">
        <f t="shared" si="2"/>
        <v/>
      </c>
      <c r="Z22" s="278" t="str">
        <f t="shared" ref="Z22" si="20">+X22</f>
        <v/>
      </c>
      <c r="AA22" s="280" t="str">
        <f t="shared" si="4"/>
        <v/>
      </c>
      <c r="AB22" s="278" t="str">
        <f>IFERROR(IF(AND(Q21="Impacto",Q22="Impacto"),(AB19-(+AB19*T22)),IF(Q22="Impacto",($M$21-(+$M$21*T22)),IF(Q22="Probabilidad",AB19,""))),"")</f>
        <v/>
      </c>
      <c r="AC22" s="281" t="str">
        <f t="shared" ref="AC22" si="21">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77"/>
      <c r="AE22" s="282"/>
      <c r="AF22" s="282"/>
      <c r="AG22" s="283"/>
      <c r="AH22" s="284"/>
      <c r="AI22" s="284"/>
      <c r="AJ22" s="284"/>
      <c r="AK22" s="282"/>
      <c r="AL22" s="285"/>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row>
    <row r="23" spans="1:70" s="289" customFormat="1" ht="69" customHeight="1" x14ac:dyDescent="0.2">
      <c r="A23" s="554"/>
      <c r="B23" s="555"/>
      <c r="C23" s="555"/>
      <c r="D23" s="555"/>
      <c r="E23" s="556"/>
      <c r="F23" s="555"/>
      <c r="G23" s="557"/>
      <c r="H23" s="558" t="str">
        <f t="shared" ref="H23" si="22">IF(G23&lt;=0,"",IF(G23&lt;=2,"Muy Baja",IF(G23&lt;=24,"Baja",IF(G23&lt;=500,"Media",IF(G23&lt;=5000,"Alta","Muy Alta")))))</f>
        <v/>
      </c>
      <c r="I23" s="553" t="str">
        <f t="shared" ref="I23" si="23">IF(H23="","",IF(H23="Muy Baja",0.2,IF(H23="Baja",0.4,IF(H23="Media",0.6,IF(H23="Alta",0.8,IF(H23="Muy Alta",1,))))))</f>
        <v/>
      </c>
      <c r="J23" s="555"/>
      <c r="K23" s="553">
        <f>IF(NOT(ISERROR(MATCH(J23,'[2]Tabla Impacto'!$B$221:$B$223,0))),'[2]Tabla Impacto'!$F$223&amp;"Por favor no seleccionar los criterios de impacto(Afectación Económica o presupuestal y Pérdida Reputacional)",J23)</f>
        <v>0</v>
      </c>
      <c r="L23" s="558" t="str">
        <f t="shared" ref="L23" si="24">IF(J23&lt;=0,"",IF(J23&lt;=10,"Leve",IF(J23&lt;=50,"Menor",IF(J23&lt;=100,"Moderado",IF(J23&lt;=500,"Mayor","Catastrófico")))))</f>
        <v/>
      </c>
      <c r="M23" s="553" t="str">
        <f t="shared" ref="M23" si="25">IF(L23="","",IF(L23="Leve",0.2,IF(L23="Menor",0.4,IF(L23="Moderado",0.6,IF(L23="Mayor",0.8,IF(L23="Catastrófico",1,))))))</f>
        <v/>
      </c>
      <c r="N23" s="552" t="str">
        <f t="shared" ref="N23" si="26">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274">
        <v>1</v>
      </c>
      <c r="P23" s="275"/>
      <c r="Q23" s="276" t="str">
        <f t="shared" si="0"/>
        <v/>
      </c>
      <c r="R23" s="277"/>
      <c r="S23" s="277"/>
      <c r="T23" s="278" t="str">
        <f>IF(AND(R23="Preventivo",S23="Automático"),"50%",IF(AND(R23="Preventivo",S23="Manual"),"40%",IF(AND(R23="Detectivo",S23="Automático"),"40%",IF(AND(R23="Detectivo",S23="Manual"),"30%",IF(AND(R23="Correctivo",S23="Automático"),"35%",IF(AND(R23="Correctivo",S23="Manual"),"25%",""))))))</f>
        <v/>
      </c>
      <c r="U23" s="277"/>
      <c r="V23" s="277"/>
      <c r="W23" s="277"/>
      <c r="X23" s="279" t="str">
        <f>IFERROR(IF(Q23="Probabilidad",(I23-(+I23*T23)),IF(Q23="Impacto",I23,"")),"")</f>
        <v/>
      </c>
      <c r="Y23" s="280" t="str">
        <f>IFERROR(IF(X23="","",IF(X23&lt;=0.2,"Muy Baja",IF(X23&lt;=0.4,"Baja",IF(X23&lt;=0.6,"Media",IF(X23&lt;=0.8,"Alta","Muy Alta"))))),"")</f>
        <v/>
      </c>
      <c r="Z23" s="278" t="str">
        <f>+X23</f>
        <v/>
      </c>
      <c r="AA23" s="280" t="str">
        <f>IFERROR(IF(AB23="","",IF(AB23&lt;=0.2,"Leve",IF(AB23&lt;=0.4,"Menor",IF(AB23&lt;=0.6,"Moderado",IF(AB23&lt;=0.8,"Mayor","Catastrófico"))))),"")</f>
        <v/>
      </c>
      <c r="AB23" s="278" t="str">
        <f>IFERROR(IF(Q23="Impacto",(M23-(+M23*T23)),IF(Q23="Probabilidad",M23,"")),"")</f>
        <v/>
      </c>
      <c r="AC23" s="281" t="str">
        <f>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77"/>
      <c r="AE23" s="282"/>
      <c r="AF23" s="282"/>
      <c r="AG23" s="283"/>
      <c r="AH23" s="284"/>
      <c r="AI23" s="284"/>
      <c r="AJ23" s="284"/>
      <c r="AK23" s="282"/>
      <c r="AL23" s="285"/>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row>
    <row r="24" spans="1:70" s="289" customFormat="1" ht="69" customHeight="1" x14ac:dyDescent="0.2">
      <c r="A24" s="554"/>
      <c r="B24" s="555"/>
      <c r="C24" s="555"/>
      <c r="D24" s="555"/>
      <c r="E24" s="556"/>
      <c r="F24" s="555"/>
      <c r="G24" s="557"/>
      <c r="H24" s="558"/>
      <c r="I24" s="553"/>
      <c r="J24" s="555"/>
      <c r="K24" s="553">
        <f ca="1">IF(NOT(ISERROR(MATCH(J24,_xlfn.ANCHORARRAY(E27),0))),#REF!&amp;"Por favor no seleccionar los criterios de impacto",J24)</f>
        <v>0</v>
      </c>
      <c r="L24" s="558"/>
      <c r="M24" s="553"/>
      <c r="N24" s="552"/>
      <c r="O24" s="274">
        <v>2</v>
      </c>
      <c r="P24" s="275"/>
      <c r="Q24" s="276" t="str">
        <f t="shared" si="0"/>
        <v/>
      </c>
      <c r="R24" s="277"/>
      <c r="S24" s="277"/>
      <c r="T24" s="278" t="str">
        <f t="shared" ref="T24" si="27">IF(AND(R24="Preventivo",S24="Automático"),"50%",IF(AND(R24="Preventivo",S24="Manual"),"40%",IF(AND(R24="Detectivo",S24="Automático"),"40%",IF(AND(R24="Detectivo",S24="Manual"),"30%",IF(AND(R24="Correctivo",S24="Automático"),"35%",IF(AND(R24="Correctivo",S24="Manual"),"25%",""))))))</f>
        <v/>
      </c>
      <c r="U24" s="277"/>
      <c r="V24" s="277"/>
      <c r="W24" s="277"/>
      <c r="X24" s="279" t="str">
        <f>IFERROR(IF(AND(Q23="Probabilidad",Q24="Probabilidad"),(Z23-(+Z23*T24)),IF(Q24="Probabilidad",(I23-(+I23*T24)),IF(Q24="Impacto",Z23,""))),"")</f>
        <v/>
      </c>
      <c r="Y24" s="280" t="str">
        <f t="shared" si="2"/>
        <v/>
      </c>
      <c r="Z24" s="278" t="str">
        <f t="shared" ref="Z24" si="28">+X24</f>
        <v/>
      </c>
      <c r="AA24" s="280" t="str">
        <f t="shared" si="4"/>
        <v/>
      </c>
      <c r="AB24" s="278" t="str">
        <f>IFERROR(IF(AND(Q23="Impacto",Q24="Impacto"),(AB21-(+AB21*T24)),IF(Q24="Impacto",($M$23-(+$M$23*T24)),IF(Q24="Probabilidad",AB21,""))),"")</f>
        <v/>
      </c>
      <c r="AC24" s="281" t="str">
        <f t="shared" ref="AC24" si="29">IFERROR(IF(OR(AND(Y24="Muy Baja",AA24="Leve"),AND(Y24="Muy Baja",AA24="Menor"),AND(Y24="Baja",AA24="Leve")),"Bajo",IF(OR(AND(Y24="Muy baja",AA24="Moderado"),AND(Y24="Baja",AA24="Menor"),AND(Y24="Baja",AA24="Moderado"),AND(Y24="Media",AA24="Leve"),AND(Y24="Media",AA24="Menor"),AND(Y24="Media",AA24="Moderado"),AND(Y24="Alta",AA24="Leve"),AND(Y24="Alta",AA24="Menor")),"Moderado",IF(OR(AND(Y24="Muy Baja",AA24="Mayor"),AND(Y24="Baja",AA24="Mayor"),AND(Y24="Media",AA24="Mayor"),AND(Y24="Alta",AA24="Moderado"),AND(Y24="Alta",AA24="Mayor"),AND(Y24="Muy Alta",AA24="Leve"),AND(Y24="Muy Alta",AA24="Menor"),AND(Y24="Muy Alta",AA24="Moderado"),AND(Y24="Muy Alta",AA24="Mayor")),"Alto",IF(OR(AND(Y24="Muy Baja",AA24="Catastrófico"),AND(Y24="Baja",AA24="Catastrófico"),AND(Y24="Media",AA24="Catastrófico"),AND(Y24="Alta",AA24="Catastrófico"),AND(Y24="Muy Alta",AA24="Catastrófico")),"Extremo","")))),"")</f>
        <v/>
      </c>
      <c r="AD24" s="277"/>
      <c r="AE24" s="282"/>
      <c r="AF24" s="282"/>
      <c r="AG24" s="283"/>
      <c r="AH24" s="284"/>
      <c r="AI24" s="284"/>
      <c r="AJ24" s="284"/>
      <c r="AK24" s="282"/>
      <c r="AL24" s="285"/>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row>
    <row r="25" spans="1:70" s="289" customFormat="1" ht="69" customHeight="1" x14ac:dyDescent="0.2">
      <c r="A25" s="554"/>
      <c r="B25" s="555"/>
      <c r="C25" s="555"/>
      <c r="D25" s="555"/>
      <c r="E25" s="556"/>
      <c r="F25" s="555"/>
      <c r="G25" s="557"/>
      <c r="H25" s="558" t="str">
        <f t="shared" ref="H25" si="30">IF(G25&lt;=0,"",IF(G25&lt;=2,"Muy Baja",IF(G25&lt;=24,"Baja",IF(G25&lt;=500,"Media",IF(G25&lt;=5000,"Alta","Muy Alta")))))</f>
        <v/>
      </c>
      <c r="I25" s="553" t="str">
        <f t="shared" ref="I25" si="31">IF(H25="","",IF(H25="Muy Baja",0.2,IF(H25="Baja",0.4,IF(H25="Media",0.6,IF(H25="Alta",0.8,IF(H25="Muy Alta",1,))))))</f>
        <v/>
      </c>
      <c r="J25" s="555"/>
      <c r="K25" s="553">
        <f>IF(NOT(ISERROR(MATCH(J25,'[2]Tabla Impacto'!$B$221:$B$223,0))),'[2]Tabla Impacto'!$F$223&amp;"Por favor no seleccionar los criterios de impacto(Afectación Económica o presupuestal y Pérdida Reputacional)",J25)</f>
        <v>0</v>
      </c>
      <c r="L25" s="558" t="str">
        <f t="shared" ref="L25" si="32">IF(J25&lt;=0,"",IF(J25&lt;=10,"Leve",IF(J25&lt;=50,"Menor",IF(J25&lt;=100,"Moderado",IF(J25&lt;=500,"Mayor","Catastrófico")))))</f>
        <v/>
      </c>
      <c r="M25" s="553" t="str">
        <f t="shared" ref="M25" si="33">IF(L25="","",IF(L25="Leve",0.2,IF(L25="Menor",0.4,IF(L25="Moderado",0.6,IF(L25="Mayor",0.8,IF(L25="Catastrófico",1,))))))</f>
        <v/>
      </c>
      <c r="N25" s="552" t="str">
        <f t="shared" ref="N25" si="34">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274">
        <v>1</v>
      </c>
      <c r="P25" s="275"/>
      <c r="Q25" s="276" t="str">
        <f t="shared" si="0"/>
        <v/>
      </c>
      <c r="R25" s="277"/>
      <c r="S25" s="277"/>
      <c r="T25" s="278" t="str">
        <f>IF(AND(R25="Preventivo",S25="Automático"),"50%",IF(AND(R25="Preventivo",S25="Manual"),"40%",IF(AND(R25="Detectivo",S25="Automático"),"40%",IF(AND(R25="Detectivo",S25="Manual"),"30%",IF(AND(R25="Correctivo",S25="Automático"),"35%",IF(AND(R25="Correctivo",S25="Manual"),"25%",""))))))</f>
        <v/>
      </c>
      <c r="U25" s="277"/>
      <c r="V25" s="277"/>
      <c r="W25" s="277"/>
      <c r="X25" s="279" t="str">
        <f>IFERROR(IF(Q25="Probabilidad",(I25-(+I25*T25)),IF(Q25="Impacto",I25,"")),"")</f>
        <v/>
      </c>
      <c r="Y25" s="280" t="str">
        <f>IFERROR(IF(X25="","",IF(X25&lt;=0.2,"Muy Baja",IF(X25&lt;=0.4,"Baja",IF(X25&lt;=0.6,"Media",IF(X25&lt;=0.8,"Alta","Muy Alta"))))),"")</f>
        <v/>
      </c>
      <c r="Z25" s="278" t="str">
        <f>+X25</f>
        <v/>
      </c>
      <c r="AA25" s="280" t="str">
        <f>IFERROR(IF(AB25="","",IF(AB25&lt;=0.2,"Leve",IF(AB25&lt;=0.4,"Menor",IF(AB25&lt;=0.6,"Moderado",IF(AB25&lt;=0.8,"Mayor","Catastrófico"))))),"")</f>
        <v/>
      </c>
      <c r="AB25" s="278" t="str">
        <f>IFERROR(IF(Q25="Impacto",(M25-(+M25*T25)),IF(Q25="Probabilidad",M25,"")),"")</f>
        <v/>
      </c>
      <c r="AC25" s="28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77"/>
      <c r="AE25" s="282"/>
      <c r="AF25" s="282"/>
      <c r="AG25" s="283"/>
      <c r="AH25" s="284"/>
      <c r="AI25" s="284"/>
      <c r="AJ25" s="284"/>
      <c r="AK25" s="282"/>
      <c r="AL25" s="285"/>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row>
    <row r="26" spans="1:70" s="289" customFormat="1" ht="69" customHeight="1" x14ac:dyDescent="0.2">
      <c r="A26" s="554"/>
      <c r="B26" s="555"/>
      <c r="C26" s="555"/>
      <c r="D26" s="555"/>
      <c r="E26" s="556"/>
      <c r="F26" s="555"/>
      <c r="G26" s="557"/>
      <c r="H26" s="558"/>
      <c r="I26" s="553"/>
      <c r="J26" s="555"/>
      <c r="K26" s="553">
        <f ca="1">IF(NOT(ISERROR(MATCH(J26,_xlfn.ANCHORARRAY(E29),0))),#REF!&amp;"Por favor no seleccionar los criterios de impacto",J26)</f>
        <v>0</v>
      </c>
      <c r="L26" s="558"/>
      <c r="M26" s="553"/>
      <c r="N26" s="552"/>
      <c r="O26" s="274">
        <v>2</v>
      </c>
      <c r="P26" s="275"/>
      <c r="Q26" s="276" t="str">
        <f t="shared" si="0"/>
        <v/>
      </c>
      <c r="R26" s="277"/>
      <c r="S26" s="277"/>
      <c r="T26" s="278" t="str">
        <f t="shared" ref="T26" si="35">IF(AND(R26="Preventivo",S26="Automático"),"50%",IF(AND(R26="Preventivo",S26="Manual"),"40%",IF(AND(R26="Detectivo",S26="Automático"),"40%",IF(AND(R26="Detectivo",S26="Manual"),"30%",IF(AND(R26="Correctivo",S26="Automático"),"35%",IF(AND(R26="Correctivo",S26="Manual"),"25%",""))))))</f>
        <v/>
      </c>
      <c r="U26" s="277"/>
      <c r="V26" s="277"/>
      <c r="W26" s="277"/>
      <c r="X26" s="279" t="str">
        <f>IFERROR(IF(AND(Q25="Probabilidad",Q26="Probabilidad"),(Z25-(+Z25*T26)),IF(Q26="Probabilidad",(I25-(+I25*T26)),IF(Q26="Impacto",Z25,""))),"")</f>
        <v/>
      </c>
      <c r="Y26" s="280" t="str">
        <f t="shared" si="2"/>
        <v/>
      </c>
      <c r="Z26" s="278" t="str">
        <f t="shared" ref="Z26" si="36">+X26</f>
        <v/>
      </c>
      <c r="AA26" s="280" t="str">
        <f t="shared" si="4"/>
        <v/>
      </c>
      <c r="AB26" s="278" t="str">
        <f>IFERROR(IF(AND(Q25="Impacto",Q26="Impacto"),(AB23-(+AB23*T26)),IF(Q26="Impacto",($M$25-(+$M$25*T26)),IF(Q26="Probabilidad",AB23,""))),"")</f>
        <v/>
      </c>
      <c r="AC26" s="281" t="str">
        <f t="shared" ref="AC26" si="37">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77"/>
      <c r="AE26" s="282"/>
      <c r="AF26" s="282"/>
      <c r="AG26" s="283"/>
      <c r="AH26" s="284"/>
      <c r="AI26" s="284"/>
      <c r="AJ26" s="284"/>
      <c r="AK26" s="282"/>
      <c r="AL26" s="285"/>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row>
    <row r="27" spans="1:70" s="289" customFormat="1" ht="69" customHeight="1" x14ac:dyDescent="0.2">
      <c r="A27" s="554"/>
      <c r="B27" s="555"/>
      <c r="C27" s="555"/>
      <c r="D27" s="292"/>
      <c r="E27" s="292"/>
      <c r="F27" s="292"/>
      <c r="G27" s="292"/>
      <c r="H27" s="292"/>
      <c r="I27" s="553" t="str">
        <f t="shared" ref="I27" si="38">IF(H27="","",IF(H27="Muy Baja",0.2,IF(H27="Baja",0.4,IF(H27="Media",0.6,IF(H27="Alta",0.8,IF(H27="Muy Alta",1,))))))</f>
        <v/>
      </c>
      <c r="J27" s="555"/>
      <c r="K27" s="553">
        <f>IF(NOT(ISERROR(MATCH(J27,'[2]Tabla Impacto'!$B$221:$B$223,0))),'[2]Tabla Impacto'!$F$223&amp;"Por favor no seleccionar los criterios de impacto(Afectación Económica o presupuestal y Pérdida Reputacional)",J27)</f>
        <v>0</v>
      </c>
      <c r="L27" s="558" t="str">
        <f t="shared" ref="L27" si="39">IF(J27&lt;=0,"",IF(J27&lt;=10,"Leve",IF(J27&lt;=50,"Menor",IF(J27&lt;=100,"Moderado",IF(J27&lt;=500,"Mayor","Catastrófico")))))</f>
        <v/>
      </c>
      <c r="M27" s="553" t="str">
        <f t="shared" ref="M27" si="40">IF(L27="","",IF(L27="Leve",0.2,IF(L27="Menor",0.4,IF(L27="Moderado",0.6,IF(L27="Mayor",0.8,IF(L27="Catastrófico",1,))))))</f>
        <v/>
      </c>
      <c r="N27" s="552" t="str">
        <f t="shared" ref="N27" si="41">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274">
        <v>1</v>
      </c>
      <c r="P27" s="275"/>
      <c r="Q27" s="276" t="str">
        <f t="shared" si="0"/>
        <v/>
      </c>
      <c r="R27" s="277"/>
      <c r="S27" s="277"/>
      <c r="T27" s="278" t="str">
        <f>IF(AND(R27="Preventivo",S27="Automático"),"50%",IF(AND(R27="Preventivo",S27="Manual"),"40%",IF(AND(R27="Detectivo",S27="Automático"),"40%",IF(AND(R27="Detectivo",S27="Manual"),"30%",IF(AND(R27="Correctivo",S27="Automático"),"35%",IF(AND(R27="Correctivo",S27="Manual"),"25%",""))))))</f>
        <v/>
      </c>
      <c r="U27" s="277"/>
      <c r="V27" s="277"/>
      <c r="W27" s="277"/>
      <c r="X27" s="279" t="str">
        <f>IFERROR(IF(Q27="Probabilidad",(I27-(+I27*T27)),IF(Q27="Impacto",I27,"")),"")</f>
        <v/>
      </c>
      <c r="Y27" s="280" t="str">
        <f>IFERROR(IF(X27="","",IF(X27&lt;=0.2,"Muy Baja",IF(X27&lt;=0.4,"Baja",IF(X27&lt;=0.6,"Media",IF(X27&lt;=0.8,"Alta","Muy Alta"))))),"")</f>
        <v/>
      </c>
      <c r="Z27" s="278" t="str">
        <f>+X27</f>
        <v/>
      </c>
      <c r="AA27" s="280" t="str">
        <f>IFERROR(IF(AB27="","",IF(AB27&lt;=0.2,"Leve",IF(AB27&lt;=0.4,"Menor",IF(AB27&lt;=0.6,"Moderado",IF(AB27&lt;=0.8,"Mayor","Catastrófico"))))),"")</f>
        <v/>
      </c>
      <c r="AB27" s="278" t="str">
        <f>IFERROR(IF(Q27="Impacto",(M27-(+M27*T27)),IF(Q27="Probabilidad",M27,"")),"")</f>
        <v/>
      </c>
      <c r="AC27" s="281" t="str">
        <f>IFERROR(IF(OR(AND(Y27="Muy Baja",AA27="Leve"),AND(Y27="Muy Baja",AA27="Menor"),AND(Y27="Baja",AA27="Leve")),"Bajo",IF(OR(AND(Y27="Muy baja",AA27="Moderado"),AND(Y27="Baja",AA27="Menor"),AND(Y27="Baja",AA27="Moderado"),AND(Y27="Media",AA27="Leve"),AND(Y27="Media",AA27="Menor"),AND(Y27="Media",AA27="Moderado"),AND(Y27="Alta",AA27="Leve"),AND(Y27="Alta",AA27="Menor")),"Moderado",IF(OR(AND(Y27="Muy Baja",AA27="Mayor"),AND(Y27="Baja",AA27="Mayor"),AND(Y27="Media",AA27="Mayor"),AND(Y27="Alta",AA27="Moderado"),AND(Y27="Alta",AA27="Mayor"),AND(Y27="Muy Alta",AA27="Leve"),AND(Y27="Muy Alta",AA27="Menor"),AND(Y27="Muy Alta",AA27="Moderado"),AND(Y27="Muy Alta",AA27="Mayor")),"Alto",IF(OR(AND(Y27="Muy Baja",AA27="Catastrófico"),AND(Y27="Baja",AA27="Catastrófico"),AND(Y27="Media",AA27="Catastrófico"),AND(Y27="Alta",AA27="Catastrófico"),AND(Y27="Muy Alta",AA27="Catastrófico")),"Extremo","")))),"")</f>
        <v/>
      </c>
      <c r="AD27" s="277"/>
      <c r="AE27" s="282"/>
      <c r="AF27" s="282"/>
      <c r="AG27" s="283"/>
      <c r="AH27" s="284"/>
      <c r="AI27" s="284"/>
      <c r="AJ27" s="284"/>
      <c r="AK27" s="282"/>
      <c r="AL27" s="285"/>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row>
    <row r="28" spans="1:70" s="289" customFormat="1" ht="69" customHeight="1" x14ac:dyDescent="0.2">
      <c r="A28" s="554"/>
      <c r="B28" s="555"/>
      <c r="C28" s="555"/>
      <c r="D28" s="292"/>
      <c r="E28" s="292"/>
      <c r="F28" s="292"/>
      <c r="G28" s="292"/>
      <c r="H28" s="292"/>
      <c r="I28" s="553"/>
      <c r="J28" s="555"/>
      <c r="K28" s="553">
        <f ca="1">IF(NOT(ISERROR(MATCH(J28,_xlfn.ANCHORARRAY(#REF!),0))),#REF!&amp;"Por favor no seleccionar los criterios de impacto",J28)</f>
        <v>0</v>
      </c>
      <c r="L28" s="558"/>
      <c r="M28" s="553"/>
      <c r="N28" s="552"/>
      <c r="O28" s="274">
        <v>2</v>
      </c>
      <c r="P28" s="275"/>
      <c r="Q28" s="276" t="str">
        <f t="shared" si="0"/>
        <v/>
      </c>
      <c r="R28" s="277"/>
      <c r="S28" s="277"/>
      <c r="T28" s="278" t="str">
        <f t="shared" ref="T28" si="42">IF(AND(R28="Preventivo",S28="Automático"),"50%",IF(AND(R28="Preventivo",S28="Manual"),"40%",IF(AND(R28="Detectivo",S28="Automático"),"40%",IF(AND(R28="Detectivo",S28="Manual"),"30%",IF(AND(R28="Correctivo",S28="Automático"),"35%",IF(AND(R28="Correctivo",S28="Manual"),"25%",""))))))</f>
        <v/>
      </c>
      <c r="U28" s="277"/>
      <c r="V28" s="277"/>
      <c r="W28" s="277"/>
      <c r="X28" s="279" t="str">
        <f>IFERROR(IF(AND(Q27="Probabilidad",Q28="Probabilidad"),(Z27-(+Z27*T28)),IF(Q28="Probabilidad",(I27-(+I27*T28)),IF(Q28="Impacto",Z27,""))),"")</f>
        <v/>
      </c>
      <c r="Y28" s="280" t="str">
        <f t="shared" si="2"/>
        <v/>
      </c>
      <c r="Z28" s="278" t="str">
        <f t="shared" ref="Z28" si="43">+X28</f>
        <v/>
      </c>
      <c r="AA28" s="280" t="str">
        <f t="shared" si="4"/>
        <v/>
      </c>
      <c r="AB28" s="278" t="str">
        <f>IFERROR(IF(AND(Q27="Impacto",Q28="Impacto"),(AB25-(+AB25*T28)),IF(Q28="Impacto",($M$27-(+$M$27*T28)),IF(Q28="Probabilidad",AB25,""))),"")</f>
        <v/>
      </c>
      <c r="AC28" s="281" t="str">
        <f t="shared" ref="AC28" si="44">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77"/>
      <c r="AE28" s="282"/>
      <c r="AF28" s="282"/>
      <c r="AG28" s="283"/>
      <c r="AH28" s="284"/>
      <c r="AI28" s="284"/>
      <c r="AJ28" s="284"/>
      <c r="AK28" s="282"/>
      <c r="AL28" s="285"/>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row>
    <row r="29" spans="1:70" s="289" customFormat="1" ht="69" customHeight="1" x14ac:dyDescent="0.2">
      <c r="A29" s="554"/>
      <c r="B29" s="555"/>
      <c r="C29" s="555"/>
      <c r="D29" s="555"/>
      <c r="E29" s="556"/>
      <c r="F29" s="555"/>
      <c r="G29" s="557"/>
      <c r="H29" s="558" t="str">
        <f t="shared" ref="H29" si="45">IF(G29&lt;=0,"",IF(G29&lt;=2,"Muy Baja",IF(G29&lt;=24,"Baja",IF(G29&lt;=500,"Media",IF(G29&lt;=5000,"Alta","Muy Alta")))))</f>
        <v/>
      </c>
      <c r="I29" s="553" t="str">
        <f t="shared" ref="I29" si="46">IF(H29="","",IF(H29="Muy Baja",0.2,IF(H29="Baja",0.4,IF(H29="Media",0.6,IF(H29="Alta",0.8,IF(H29="Muy Alta",1,))))))</f>
        <v/>
      </c>
      <c r="J29" s="555"/>
      <c r="K29" s="553">
        <f>IF(NOT(ISERROR(MATCH(J29,'[2]Tabla Impacto'!$B$221:$B$223,0))),'[2]Tabla Impacto'!$F$223&amp;"Por favor no seleccionar los criterios de impacto(Afectación Económica o presupuestal y Pérdida Reputacional)",J29)</f>
        <v>0</v>
      </c>
      <c r="L29" s="558" t="str">
        <f t="shared" ref="L29" si="47">IF(J29&lt;=0,"",IF(J29&lt;=10,"Leve",IF(J29&lt;=50,"Menor",IF(J29&lt;=100,"Moderado",IF(J29&lt;=500,"Mayor","Catastrófico")))))</f>
        <v/>
      </c>
      <c r="M29" s="553" t="str">
        <f t="shared" ref="M29" si="48">IF(L29="","",IF(L29="Leve",0.2,IF(L29="Menor",0.4,IF(L29="Moderado",0.6,IF(L29="Mayor",0.8,IF(L29="Catastrófico",1,))))))</f>
        <v/>
      </c>
      <c r="N29" s="552" t="str">
        <f t="shared" ref="N29" si="49">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274">
        <v>1</v>
      </c>
      <c r="P29" s="275"/>
      <c r="Q29" s="276" t="str">
        <f t="shared" si="0"/>
        <v/>
      </c>
      <c r="R29" s="277"/>
      <c r="S29" s="277"/>
      <c r="T29" s="278" t="str">
        <f>IF(AND(R29="Preventivo",S29="Automático"),"50%",IF(AND(R29="Preventivo",S29="Manual"),"40%",IF(AND(R29="Detectivo",S29="Automático"),"40%",IF(AND(R29="Detectivo",S29="Manual"),"30%",IF(AND(R29="Correctivo",S29="Automático"),"35%",IF(AND(R29="Correctivo",S29="Manual"),"25%",""))))))</f>
        <v/>
      </c>
      <c r="U29" s="277"/>
      <c r="V29" s="277"/>
      <c r="W29" s="277"/>
      <c r="X29" s="279" t="str">
        <f>IFERROR(IF(Q29="Probabilidad",(I29-(+I29*T29)),IF(Q29="Impacto",I29,"")),"")</f>
        <v/>
      </c>
      <c r="Y29" s="280" t="str">
        <f>IFERROR(IF(X29="","",IF(X29&lt;=0.2,"Muy Baja",IF(X29&lt;=0.4,"Baja",IF(X29&lt;=0.6,"Media",IF(X29&lt;=0.8,"Alta","Muy Alta"))))),"")</f>
        <v/>
      </c>
      <c r="Z29" s="278" t="str">
        <f>+X29</f>
        <v/>
      </c>
      <c r="AA29" s="280" t="str">
        <f>IFERROR(IF(AB29="","",IF(AB29&lt;=0.2,"Leve",IF(AB29&lt;=0.4,"Menor",IF(AB29&lt;=0.6,"Moderado",IF(AB29&lt;=0.8,"Mayor","Catastrófico"))))),"")</f>
        <v/>
      </c>
      <c r="AB29" s="278" t="str">
        <f>IFERROR(IF(Q29="Impacto",(M29-(+M29*T29)),IF(Q29="Probabilidad",M29,"")),"")</f>
        <v/>
      </c>
      <c r="AC29" s="281" t="str">
        <f>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77"/>
      <c r="AE29" s="282"/>
      <c r="AF29" s="282"/>
      <c r="AG29" s="283"/>
      <c r="AH29" s="284"/>
      <c r="AI29" s="284"/>
      <c r="AJ29" s="284"/>
      <c r="AK29" s="282"/>
      <c r="AL29" s="285"/>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row>
    <row r="30" spans="1:70" s="289" customFormat="1" ht="69" customHeight="1" x14ac:dyDescent="0.2">
      <c r="A30" s="554"/>
      <c r="B30" s="555"/>
      <c r="C30" s="555"/>
      <c r="D30" s="555"/>
      <c r="E30" s="556"/>
      <c r="F30" s="555"/>
      <c r="G30" s="557"/>
      <c r="H30" s="558"/>
      <c r="I30" s="553"/>
      <c r="J30" s="555"/>
      <c r="K30" s="553">
        <f ca="1">IF(NOT(ISERROR(MATCH(J30,_xlfn.ANCHORARRAY(#REF!),0))),#REF!&amp;"Por favor no seleccionar los criterios de impacto",J30)</f>
        <v>0</v>
      </c>
      <c r="L30" s="558"/>
      <c r="M30" s="553"/>
      <c r="N30" s="552"/>
      <c r="O30" s="274">
        <v>2</v>
      </c>
      <c r="P30" s="275"/>
      <c r="Q30" s="276" t="str">
        <f t="shared" si="0"/>
        <v/>
      </c>
      <c r="R30" s="277"/>
      <c r="S30" s="277"/>
      <c r="T30" s="278" t="str">
        <f t="shared" ref="T30" si="50">IF(AND(R30="Preventivo",S30="Automático"),"50%",IF(AND(R30="Preventivo",S30="Manual"),"40%",IF(AND(R30="Detectivo",S30="Automático"),"40%",IF(AND(R30="Detectivo",S30="Manual"),"30%",IF(AND(R30="Correctivo",S30="Automático"),"35%",IF(AND(R30="Correctivo",S30="Manual"),"25%",""))))))</f>
        <v/>
      </c>
      <c r="U30" s="277"/>
      <c r="V30" s="277"/>
      <c r="W30" s="277"/>
      <c r="X30" s="279" t="str">
        <f>IFERROR(IF(AND(Q29="Probabilidad",Q30="Probabilidad"),(Z29-(+Z29*T30)),IF(Q30="Probabilidad",(I29-(+I29*T30)),IF(Q30="Impacto",Z29,""))),"")</f>
        <v/>
      </c>
      <c r="Y30" s="280" t="str">
        <f t="shared" si="2"/>
        <v/>
      </c>
      <c r="Z30" s="278" t="str">
        <f t="shared" ref="Z30" si="51">+X30</f>
        <v/>
      </c>
      <c r="AA30" s="280" t="str">
        <f t="shared" si="4"/>
        <v/>
      </c>
      <c r="AB30" s="278" t="str">
        <f>IFERROR(IF(AND(Q29="Impacto",Q30="Impacto"),(AB27-(+AB27*T30)),IF(Q30="Impacto",($M$29-(+$M$29*T30)),IF(Q30="Probabilidad",AB27,""))),"")</f>
        <v/>
      </c>
      <c r="AC30" s="281" t="str">
        <f t="shared" ref="AC30" si="52">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277"/>
      <c r="AE30" s="282"/>
      <c r="AF30" s="282"/>
      <c r="AG30" s="283"/>
      <c r="AH30" s="284"/>
      <c r="AI30" s="284"/>
      <c r="AJ30" s="284"/>
      <c r="AK30" s="282"/>
      <c r="AL30" s="285"/>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row>
    <row r="32" spans="1:70" x14ac:dyDescent="0.3">
      <c r="A32" s="1"/>
      <c r="B32" s="24"/>
      <c r="C32" s="1"/>
      <c r="D32" s="1"/>
      <c r="F32" s="1"/>
    </row>
    <row r="100" spans="5:9" x14ac:dyDescent="0.3">
      <c r="E100" s="565" t="s">
        <v>469</v>
      </c>
      <c r="F100" s="565"/>
      <c r="G100" s="565"/>
      <c r="H100" s="565"/>
      <c r="I100" s="565"/>
    </row>
    <row r="101" spans="5:9" x14ac:dyDescent="0.3">
      <c r="G101" s="291" t="s">
        <v>13</v>
      </c>
      <c r="H101" s="291" t="s">
        <v>498</v>
      </c>
    </row>
    <row r="102" spans="5:9" x14ac:dyDescent="0.3">
      <c r="E102" s="1" t="s">
        <v>470</v>
      </c>
      <c r="G102" s="1" t="s">
        <v>14</v>
      </c>
      <c r="H102" s="1" t="s">
        <v>491</v>
      </c>
    </row>
    <row r="103" spans="5:9" x14ac:dyDescent="0.3">
      <c r="E103" t="s">
        <v>471</v>
      </c>
      <c r="G103" s="1" t="s">
        <v>15</v>
      </c>
      <c r="H103" s="1" t="s">
        <v>9</v>
      </c>
    </row>
    <row r="104" spans="5:9" x14ac:dyDescent="0.3">
      <c r="E104" s="1" t="s">
        <v>472</v>
      </c>
      <c r="G104" s="1" t="s">
        <v>16</v>
      </c>
    </row>
    <row r="105" spans="5:9" x14ac:dyDescent="0.3">
      <c r="E105" s="1" t="s">
        <v>473</v>
      </c>
    </row>
    <row r="106" spans="5:9" x14ac:dyDescent="0.3">
      <c r="E106" s="1" t="s">
        <v>474</v>
      </c>
      <c r="G106" s="291" t="s">
        <v>18</v>
      </c>
      <c r="H106" s="291" t="s">
        <v>495</v>
      </c>
    </row>
    <row r="107" spans="5:9" x14ac:dyDescent="0.3">
      <c r="E107" s="1" t="s">
        <v>475</v>
      </c>
      <c r="G107" s="1" t="s">
        <v>493</v>
      </c>
      <c r="H107" s="1" t="s">
        <v>22</v>
      </c>
    </row>
    <row r="108" spans="5:9" x14ac:dyDescent="0.3">
      <c r="E108" s="1" t="s">
        <v>476</v>
      </c>
      <c r="G108" s="1" t="s">
        <v>494</v>
      </c>
      <c r="H108" s="1" t="s">
        <v>23</v>
      </c>
    </row>
    <row r="111" spans="5:9" x14ac:dyDescent="0.3">
      <c r="G111" s="291" t="s">
        <v>496</v>
      </c>
      <c r="H111" s="291" t="s">
        <v>29</v>
      </c>
    </row>
    <row r="112" spans="5:9" x14ac:dyDescent="0.3">
      <c r="G112" s="1" t="s">
        <v>497</v>
      </c>
      <c r="H112" s="1" t="s">
        <v>30</v>
      </c>
    </row>
    <row r="113" spans="7:8" x14ac:dyDescent="0.3">
      <c r="G113" s="1" t="s">
        <v>27</v>
      </c>
      <c r="H113" s="1" t="s">
        <v>504</v>
      </c>
    </row>
    <row r="114" spans="7:8" x14ac:dyDescent="0.3">
      <c r="H114" s="1" t="s">
        <v>31</v>
      </c>
    </row>
    <row r="115" spans="7:8" x14ac:dyDescent="0.3">
      <c r="H115" s="1" t="s">
        <v>505</v>
      </c>
    </row>
    <row r="116" spans="7:8" x14ac:dyDescent="0.3">
      <c r="H116" s="1" t="s">
        <v>32</v>
      </c>
    </row>
  </sheetData>
  <dataConsolidate/>
  <mergeCells count="163">
    <mergeCell ref="R10:U10"/>
    <mergeCell ref="R11:U11"/>
    <mergeCell ref="R12:U12"/>
    <mergeCell ref="R13:U13"/>
    <mergeCell ref="A12:C12"/>
    <mergeCell ref="D12:F12"/>
    <mergeCell ref="G12:H12"/>
    <mergeCell ref="I12:J12"/>
    <mergeCell ref="M12:N12"/>
    <mergeCell ref="O12:P12"/>
    <mergeCell ref="I11:J11"/>
    <mergeCell ref="I13:J13"/>
    <mergeCell ref="M10:N10"/>
    <mergeCell ref="O10:P10"/>
    <mergeCell ref="O11:P11"/>
    <mergeCell ref="O13:P13"/>
    <mergeCell ref="M11:N11"/>
    <mergeCell ref="M13:N13"/>
    <mergeCell ref="A10:C10"/>
    <mergeCell ref="A11:C11"/>
    <mergeCell ref="A13:C13"/>
    <mergeCell ref="G11:H11"/>
    <mergeCell ref="G13:H13"/>
    <mergeCell ref="D11:F11"/>
    <mergeCell ref="D13:F13"/>
    <mergeCell ref="D10:F10"/>
    <mergeCell ref="E100:I100"/>
    <mergeCell ref="A8:V8"/>
    <mergeCell ref="A7:XFD7"/>
    <mergeCell ref="A9:XFD9"/>
    <mergeCell ref="I10:J10"/>
    <mergeCell ref="G10:H10"/>
    <mergeCell ref="M29:M30"/>
    <mergeCell ref="N29:N30"/>
    <mergeCell ref="G29:G30"/>
    <mergeCell ref="H29:H30"/>
    <mergeCell ref="I29:I30"/>
    <mergeCell ref="J29:J30"/>
    <mergeCell ref="K29:K30"/>
    <mergeCell ref="L29:L30"/>
    <mergeCell ref="A29:A30"/>
    <mergeCell ref="B29:B30"/>
    <mergeCell ref="C29:C30"/>
    <mergeCell ref="D29:D30"/>
    <mergeCell ref="E29:E30"/>
    <mergeCell ref="F29:F30"/>
    <mergeCell ref="I27:I28"/>
    <mergeCell ref="J27:J28"/>
    <mergeCell ref="K27:K28"/>
    <mergeCell ref="L27:L28"/>
    <mergeCell ref="M27:M28"/>
    <mergeCell ref="N27:N28"/>
    <mergeCell ref="M25:M26"/>
    <mergeCell ref="N25:N26"/>
    <mergeCell ref="A27:A28"/>
    <mergeCell ref="B27:B28"/>
    <mergeCell ref="C27:C28"/>
    <mergeCell ref="G25:G26"/>
    <mergeCell ref="H25:H26"/>
    <mergeCell ref="I25:I26"/>
    <mergeCell ref="J25:J26"/>
    <mergeCell ref="K25:K26"/>
    <mergeCell ref="L25:L26"/>
    <mergeCell ref="A25:A26"/>
    <mergeCell ref="B25:B26"/>
    <mergeCell ref="C25:C26"/>
    <mergeCell ref="D25:D26"/>
    <mergeCell ref="E25:E26"/>
    <mergeCell ref="F25:F26"/>
    <mergeCell ref="I23:I24"/>
    <mergeCell ref="J23:J24"/>
    <mergeCell ref="K23:K24"/>
    <mergeCell ref="L23:L24"/>
    <mergeCell ref="M23:M24"/>
    <mergeCell ref="N23:N24"/>
    <mergeCell ref="M21:M22"/>
    <mergeCell ref="N21:N22"/>
    <mergeCell ref="A23:A24"/>
    <mergeCell ref="B23:B24"/>
    <mergeCell ref="C23:C24"/>
    <mergeCell ref="D23:D24"/>
    <mergeCell ref="E23:E24"/>
    <mergeCell ref="F23:F24"/>
    <mergeCell ref="G23:G24"/>
    <mergeCell ref="H23:H24"/>
    <mergeCell ref="G21:G22"/>
    <mergeCell ref="H21:H22"/>
    <mergeCell ref="I21:I22"/>
    <mergeCell ref="J21:J22"/>
    <mergeCell ref="K21:K22"/>
    <mergeCell ref="L21:L22"/>
    <mergeCell ref="A21:A22"/>
    <mergeCell ref="B21:B22"/>
    <mergeCell ref="C21:C22"/>
    <mergeCell ref="D21:D22"/>
    <mergeCell ref="E21:E22"/>
    <mergeCell ref="F21:F22"/>
    <mergeCell ref="I19:I20"/>
    <mergeCell ref="J19:J20"/>
    <mergeCell ref="K19:K20"/>
    <mergeCell ref="L19:L20"/>
    <mergeCell ref="M19:M20"/>
    <mergeCell ref="N19:N20"/>
    <mergeCell ref="M17:M18"/>
    <mergeCell ref="N17:N18"/>
    <mergeCell ref="A19:A20"/>
    <mergeCell ref="B19:B20"/>
    <mergeCell ref="C19:C20"/>
    <mergeCell ref="D19:D20"/>
    <mergeCell ref="E19:E20"/>
    <mergeCell ref="F19:F20"/>
    <mergeCell ref="G19:G20"/>
    <mergeCell ref="H19:H20"/>
    <mergeCell ref="E17:E18"/>
    <mergeCell ref="F17:F18"/>
    <mergeCell ref="I17:I18"/>
    <mergeCell ref="J17:J18"/>
    <mergeCell ref="K17:K18"/>
    <mergeCell ref="L17:L18"/>
    <mergeCell ref="A17:A18"/>
    <mergeCell ref="B17:B18"/>
    <mergeCell ref="C17:C18"/>
    <mergeCell ref="D17:D18"/>
    <mergeCell ref="AG15:AG16"/>
    <mergeCell ref="Q15:V15"/>
    <mergeCell ref="W15:W16"/>
    <mergeCell ref="X15:X16"/>
    <mergeCell ref="Y15:Y16"/>
    <mergeCell ref="Z15:Z16"/>
    <mergeCell ref="AA15:AA16"/>
    <mergeCell ref="L15:L16"/>
    <mergeCell ref="M15:M16"/>
    <mergeCell ref="N15:N16"/>
    <mergeCell ref="O15:O16"/>
    <mergeCell ref="AB15:AB16"/>
    <mergeCell ref="AC15:AC16"/>
    <mergeCell ref="AD15:AD16"/>
    <mergeCell ref="AE15:AE16"/>
    <mergeCell ref="AF15:AF16"/>
    <mergeCell ref="AE14:AL14"/>
    <mergeCell ref="A15:A16"/>
    <mergeCell ref="B15:B16"/>
    <mergeCell ref="C15:C16"/>
    <mergeCell ref="D15:D16"/>
    <mergeCell ref="A3:AL4"/>
    <mergeCell ref="A5:B5"/>
    <mergeCell ref="C5:N5"/>
    <mergeCell ref="O5:Q5"/>
    <mergeCell ref="A6:B6"/>
    <mergeCell ref="C6:N6"/>
    <mergeCell ref="P15:P16"/>
    <mergeCell ref="E15:E16"/>
    <mergeCell ref="I15:I16"/>
    <mergeCell ref="J15:J16"/>
    <mergeCell ref="A14:G14"/>
    <mergeCell ref="H14:N14"/>
    <mergeCell ref="O14:W14"/>
    <mergeCell ref="X14:AD14"/>
    <mergeCell ref="AH15:AH16"/>
    <mergeCell ref="AI15:AI16"/>
    <mergeCell ref="AJ15:AJ16"/>
    <mergeCell ref="AK15:AK16"/>
    <mergeCell ref="F15:F16"/>
  </mergeCells>
  <conditionalFormatting sqref="B17:C17">
    <cfRule type="cellIs" dxfId="276" priority="1" operator="equal">
      <formula>"Muy Alta"</formula>
    </cfRule>
    <cfRule type="cellIs" dxfId="275" priority="2" operator="equal">
      <formula>"Alta"</formula>
    </cfRule>
    <cfRule type="cellIs" dxfId="274" priority="3" operator="equal">
      <formula>"Media"</formula>
    </cfRule>
    <cfRule type="cellIs" dxfId="273" priority="4" operator="equal">
      <formula>"Baja"</formula>
    </cfRule>
    <cfRule type="cellIs" dxfId="272" priority="5" operator="equal">
      <formula>"Muy Baja"</formula>
    </cfRule>
  </conditionalFormatting>
  <conditionalFormatting sqref="F17 H19 H21 H23 H25 H29">
    <cfRule type="cellIs" dxfId="271" priority="148" operator="equal">
      <formula>"Alta"</formula>
    </cfRule>
    <cfRule type="cellIs" dxfId="270" priority="149" operator="equal">
      <formula>"Media"</formula>
    </cfRule>
    <cfRule type="cellIs" dxfId="269" priority="150" operator="equal">
      <formula>"Baja"</formula>
    </cfRule>
    <cfRule type="cellIs" dxfId="268" priority="151" operator="equal">
      <formula>"Muy Baja"</formula>
    </cfRule>
    <cfRule type="cellIs" dxfId="267" priority="147" operator="equal">
      <formula>"Muy Alta"</formula>
    </cfRule>
  </conditionalFormatting>
  <conditionalFormatting sqref="K17:K30">
    <cfRule type="containsText" dxfId="266" priority="11" operator="containsText" text="❌">
      <formula>NOT(ISERROR(SEARCH("❌",K17)))</formula>
    </cfRule>
  </conditionalFormatting>
  <conditionalFormatting sqref="L17 L19 L21 L23 L25 L27 L29">
    <cfRule type="cellIs" dxfId="265" priority="142" operator="equal">
      <formula>"Catastrófico"</formula>
    </cfRule>
    <cfRule type="cellIs" dxfId="264" priority="143" operator="equal">
      <formula>"Mayor"</formula>
    </cfRule>
    <cfRule type="cellIs" dxfId="263" priority="144" operator="equal">
      <formula>"Moderado"</formula>
    </cfRule>
    <cfRule type="cellIs" dxfId="262" priority="145" operator="equal">
      <formula>"Menor"</formula>
    </cfRule>
    <cfRule type="cellIs" dxfId="261" priority="146" operator="equal">
      <formula>"Leve"</formula>
    </cfRule>
  </conditionalFormatting>
  <conditionalFormatting sqref="N17 N19 N21 N23 N25 N27 N29">
    <cfRule type="cellIs" dxfId="260" priority="139" operator="equal">
      <formula>"Alto"</formula>
    </cfRule>
    <cfRule type="cellIs" dxfId="259" priority="140" operator="equal">
      <formula>"Moderado"</formula>
    </cfRule>
    <cfRule type="cellIs" dxfId="258" priority="141" operator="equal">
      <formula>"Bajo"</formula>
    </cfRule>
    <cfRule type="cellIs" dxfId="257" priority="138" operator="equal">
      <formula>"Extremo"</formula>
    </cfRule>
  </conditionalFormatting>
  <conditionalFormatting sqref="Y17:Y30">
    <cfRule type="cellIs" dxfId="256" priority="49" operator="equal">
      <formula>"Muy Alta"</formula>
    </cfRule>
    <cfRule type="cellIs" dxfId="255" priority="50" operator="equal">
      <formula>"Alta"</formula>
    </cfRule>
    <cfRule type="cellIs" dxfId="254" priority="51" operator="equal">
      <formula>"Media"</formula>
    </cfRule>
    <cfRule type="cellIs" dxfId="253" priority="52" operator="equal">
      <formula>"Baja"</formula>
    </cfRule>
    <cfRule type="cellIs" dxfId="252" priority="53" operator="equal">
      <formula>"Muy Baja"</formula>
    </cfRule>
  </conditionalFormatting>
  <conditionalFormatting sqref="AA17:AA30">
    <cfRule type="cellIs" dxfId="251" priority="44" operator="equal">
      <formula>"Catastrófico"</formula>
    </cfRule>
    <cfRule type="cellIs" dxfId="250" priority="45" operator="equal">
      <formula>"Mayor"</formula>
    </cfRule>
    <cfRule type="cellIs" dxfId="249" priority="48" operator="equal">
      <formula>"Leve"</formula>
    </cfRule>
    <cfRule type="cellIs" dxfId="248" priority="47" operator="equal">
      <formula>"Menor"</formula>
    </cfRule>
    <cfRule type="cellIs" dxfId="247" priority="46" operator="equal">
      <formula>"Moderado"</formula>
    </cfRule>
  </conditionalFormatting>
  <conditionalFormatting sqref="AC17:AC30">
    <cfRule type="cellIs" dxfId="246" priority="40" operator="equal">
      <formula>"Extremo"</formula>
    </cfRule>
    <cfRule type="cellIs" dxfId="245" priority="41" operator="equal">
      <formula>"Alto"</formula>
    </cfRule>
    <cfRule type="cellIs" dxfId="244" priority="42" operator="equal">
      <formula>"Moderado"</formula>
    </cfRule>
    <cfRule type="cellIs" dxfId="243" priority="43" operator="equal">
      <formula>"Bajo"</formula>
    </cfRule>
  </conditionalFormatting>
  <dataValidations count="7">
    <dataValidation type="list" allowBlank="1" showInputMessage="1" showErrorMessage="1" sqref="AD17:AD30" xr:uid="{48D09155-F485-433A-8EA9-97E7C8B3F7F1}">
      <formula1>$H$112:$H$116</formula1>
    </dataValidation>
    <dataValidation type="list" allowBlank="1" showInputMessage="1" showErrorMessage="1" sqref="W17:W30" xr:uid="{EDF84D9E-014D-49D8-B934-0C5DD000C590}">
      <formula1>$G$112:$G$113</formula1>
    </dataValidation>
    <dataValidation type="list" allowBlank="1" showInputMessage="1" showErrorMessage="1" sqref="V17:V30" xr:uid="{9BFBA6D9-8AE7-4C18-A0C9-90807ED8D46A}">
      <formula1>$H$107:$H$108</formula1>
    </dataValidation>
    <dataValidation type="list" allowBlank="1" showInputMessage="1" showErrorMessage="1" sqref="U17:U30" xr:uid="{8DCB431C-1FF4-4036-9E4F-E5486890AB24}">
      <formula1>$G$107:$G$108</formula1>
    </dataValidation>
    <dataValidation type="list" allowBlank="1" showInputMessage="1" showErrorMessage="1" sqref="S17:S30" xr:uid="{D47B7190-0F8F-45BD-BB73-884B10E9C61E}">
      <formula1>$H$102:$H$103</formula1>
    </dataValidation>
    <dataValidation type="list" allowBlank="1" showInputMessage="1" showErrorMessage="1" sqref="R17:R30" xr:uid="{97A6460A-EE59-4045-9194-11205D390B64}">
      <formula1>$G$102:$G$104</formula1>
    </dataValidation>
    <dataValidation type="list" allowBlank="1" showInputMessage="1" showErrorMessage="1" sqref="F19:F30" xr:uid="{0B4DB190-7AAA-4D4D-BD02-DFB38E1BD6A2}">
      <formula1>$E$102:$E$108</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BP72"/>
  <sheetViews>
    <sheetView topLeftCell="A4" zoomScale="70" zoomScaleNormal="70" workbookViewId="0">
      <selection activeCell="L10" sqref="L10:L15"/>
    </sheetView>
  </sheetViews>
  <sheetFormatPr baseColWidth="10" defaultColWidth="11.42578125" defaultRowHeight="16.5" x14ac:dyDescent="0.3"/>
  <cols>
    <col min="1" max="1" width="4" style="2" bestFit="1" customWidth="1"/>
    <col min="2" max="2" width="14.140625"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6.28515625" style="1" bestFit="1" customWidth="1"/>
    <col min="10" max="10" width="27.28515625" style="1" bestFit="1" customWidth="1"/>
    <col min="11" max="11" width="30.5703125" style="1" hidden="1" customWidth="1"/>
    <col min="12" max="12" width="17.5703125" style="1" customWidth="1"/>
    <col min="13" max="13" width="6.28515625" style="1" bestFit="1" customWidth="1"/>
    <col min="14" max="14" width="16" style="1" customWidth="1"/>
    <col min="15" max="15" width="5.85546875" style="1" customWidth="1"/>
    <col min="16" max="16" width="31" style="1" customWidth="1"/>
    <col min="17" max="17" width="15.140625" style="1" bestFit="1" customWidth="1"/>
    <col min="18" max="18" width="6.85546875" style="1" customWidth="1"/>
    <col min="19" max="19" width="5" style="1" customWidth="1"/>
    <col min="20" max="20" width="5.5703125" style="1" customWidth="1"/>
    <col min="21" max="21" width="7.140625" style="1" customWidth="1"/>
    <col min="22" max="22" width="6.7109375" style="1" customWidth="1"/>
    <col min="23" max="23" width="7.5703125" style="1" customWidth="1"/>
    <col min="24" max="24" width="38.28515625" style="1" hidden="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1" width="23" style="1" customWidth="1"/>
    <col min="32" max="32" width="18.85546875" style="1" customWidth="1"/>
    <col min="33" max="33" width="16.85546875" style="1" customWidth="1"/>
    <col min="34" max="34" width="14.85546875" style="1" customWidth="1"/>
    <col min="35" max="35" width="18.5703125" style="1" customWidth="1"/>
    <col min="36" max="36" width="21" style="1" customWidth="1"/>
    <col min="37" max="16384" width="11.42578125" style="1"/>
  </cols>
  <sheetData>
    <row r="1" spans="1:68" ht="16.5" customHeight="1" x14ac:dyDescent="0.3">
      <c r="A1" s="584" t="s">
        <v>144</v>
      </c>
      <c r="B1" s="585"/>
      <c r="C1" s="585"/>
      <c r="D1" s="585"/>
      <c r="E1" s="585"/>
      <c r="F1" s="585"/>
      <c r="G1" s="585"/>
      <c r="H1" s="585"/>
      <c r="I1" s="585"/>
      <c r="J1" s="585"/>
      <c r="K1" s="585"/>
      <c r="L1" s="585"/>
      <c r="M1" s="585"/>
      <c r="N1" s="585"/>
      <c r="O1" s="585"/>
      <c r="P1" s="585"/>
      <c r="Q1" s="585"/>
      <c r="R1" s="585"/>
      <c r="S1" s="585"/>
      <c r="T1" s="585"/>
      <c r="U1" s="585"/>
      <c r="V1" s="585"/>
      <c r="W1" s="585"/>
      <c r="X1" s="585"/>
      <c r="Y1" s="585"/>
      <c r="Z1" s="585"/>
      <c r="AA1" s="585"/>
      <c r="AB1" s="585"/>
      <c r="AC1" s="585"/>
      <c r="AD1" s="585"/>
      <c r="AE1" s="585"/>
      <c r="AF1" s="585"/>
      <c r="AG1" s="585"/>
      <c r="AH1" s="585"/>
      <c r="AI1" s="585"/>
      <c r="AJ1" s="586"/>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row>
    <row r="2" spans="1:68" ht="24" customHeight="1" x14ac:dyDescent="0.3">
      <c r="A2" s="587"/>
      <c r="B2" s="588"/>
      <c r="C2" s="588"/>
      <c r="D2" s="588"/>
      <c r="E2" s="588"/>
      <c r="F2" s="588"/>
      <c r="G2" s="588"/>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c r="AI2" s="588"/>
      <c r="AJ2" s="589"/>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row>
    <row r="3" spans="1:68" x14ac:dyDescent="0.3">
      <c r="A3" s="28"/>
      <c r="B3" s="29"/>
      <c r="C3" s="28"/>
      <c r="D3" s="28"/>
      <c r="E3" s="8"/>
      <c r="F3" s="27"/>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row>
    <row r="4" spans="1:68" ht="26.25" customHeight="1" x14ac:dyDescent="0.3">
      <c r="A4" s="621" t="s">
        <v>43</v>
      </c>
      <c r="B4" s="622"/>
      <c r="C4" s="580"/>
      <c r="D4" s="581"/>
      <c r="E4" s="581"/>
      <c r="F4" s="581"/>
      <c r="G4" s="581"/>
      <c r="H4" s="581"/>
      <c r="I4" s="581"/>
      <c r="J4" s="581"/>
      <c r="K4" s="581"/>
      <c r="L4" s="581"/>
      <c r="M4" s="581"/>
      <c r="N4" s="582"/>
      <c r="O4" s="583"/>
      <c r="P4" s="583"/>
      <c r="Q4" s="583"/>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row>
    <row r="5" spans="1:68" ht="30" customHeight="1" x14ac:dyDescent="0.3">
      <c r="A5" s="621" t="s">
        <v>130</v>
      </c>
      <c r="B5" s="622"/>
      <c r="C5" s="580"/>
      <c r="D5" s="581"/>
      <c r="E5" s="581"/>
      <c r="F5" s="581"/>
      <c r="G5" s="581"/>
      <c r="H5" s="581"/>
      <c r="I5" s="581"/>
      <c r="J5" s="581"/>
      <c r="K5" s="581"/>
      <c r="L5" s="581"/>
      <c r="M5" s="581"/>
      <c r="N5" s="582"/>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row>
    <row r="6" spans="1:68" ht="49.5" customHeight="1" x14ac:dyDescent="0.3">
      <c r="A6" s="621" t="s">
        <v>44</v>
      </c>
      <c r="B6" s="622"/>
      <c r="C6" s="631"/>
      <c r="D6" s="632"/>
      <c r="E6" s="632"/>
      <c r="F6" s="632"/>
      <c r="G6" s="632"/>
      <c r="H6" s="632"/>
      <c r="I6" s="632"/>
      <c r="J6" s="632"/>
      <c r="K6" s="632"/>
      <c r="L6" s="632"/>
      <c r="M6" s="632"/>
      <c r="N6" s="633"/>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row>
    <row r="7" spans="1:68" x14ac:dyDescent="0.3">
      <c r="A7" s="590" t="s">
        <v>139</v>
      </c>
      <c r="B7" s="591"/>
      <c r="C7" s="591"/>
      <c r="D7" s="591"/>
      <c r="E7" s="591"/>
      <c r="F7" s="591"/>
      <c r="G7" s="592"/>
      <c r="H7" s="590" t="s">
        <v>140</v>
      </c>
      <c r="I7" s="591"/>
      <c r="J7" s="591"/>
      <c r="K7" s="591"/>
      <c r="L7" s="591"/>
      <c r="M7" s="591"/>
      <c r="N7" s="592"/>
      <c r="O7" s="590" t="s">
        <v>141</v>
      </c>
      <c r="P7" s="591"/>
      <c r="Q7" s="591"/>
      <c r="R7" s="591"/>
      <c r="S7" s="591"/>
      <c r="T7" s="591"/>
      <c r="U7" s="591"/>
      <c r="V7" s="591"/>
      <c r="W7" s="592"/>
      <c r="X7" s="590" t="s">
        <v>142</v>
      </c>
      <c r="Y7" s="591"/>
      <c r="Z7" s="591"/>
      <c r="AA7" s="591"/>
      <c r="AB7" s="591"/>
      <c r="AC7" s="591"/>
      <c r="AD7" s="592"/>
      <c r="AE7" s="590" t="s">
        <v>34</v>
      </c>
      <c r="AF7" s="591"/>
      <c r="AG7" s="591"/>
      <c r="AH7" s="591"/>
      <c r="AI7" s="591"/>
      <c r="AJ7" s="592"/>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row>
    <row r="8" spans="1:68" ht="16.5" customHeight="1" x14ac:dyDescent="0.3">
      <c r="A8" s="623" t="s">
        <v>0</v>
      </c>
      <c r="B8" s="628" t="s">
        <v>2</v>
      </c>
      <c r="C8" s="626" t="s">
        <v>3</v>
      </c>
      <c r="D8" s="626" t="s">
        <v>42</v>
      </c>
      <c r="E8" s="627" t="s">
        <v>1</v>
      </c>
      <c r="F8" s="625" t="s">
        <v>50</v>
      </c>
      <c r="G8" s="626" t="s">
        <v>135</v>
      </c>
      <c r="H8" s="635" t="s">
        <v>33</v>
      </c>
      <c r="I8" s="636" t="s">
        <v>5</v>
      </c>
      <c r="J8" s="625" t="s">
        <v>87</v>
      </c>
      <c r="K8" s="625" t="s">
        <v>92</v>
      </c>
      <c r="L8" s="638" t="s">
        <v>45</v>
      </c>
      <c r="M8" s="636" t="s">
        <v>5</v>
      </c>
      <c r="N8" s="626" t="s">
        <v>48</v>
      </c>
      <c r="O8" s="629" t="s">
        <v>11</v>
      </c>
      <c r="P8" s="620" t="s">
        <v>163</v>
      </c>
      <c r="Q8" s="625" t="s">
        <v>12</v>
      </c>
      <c r="R8" s="620" t="s">
        <v>8</v>
      </c>
      <c r="S8" s="620"/>
      <c r="T8" s="620"/>
      <c r="U8" s="620"/>
      <c r="V8" s="620"/>
      <c r="W8" s="620"/>
      <c r="X8" s="634" t="s">
        <v>138</v>
      </c>
      <c r="Y8" s="634" t="s">
        <v>46</v>
      </c>
      <c r="Z8" s="634" t="s">
        <v>5</v>
      </c>
      <c r="AA8" s="634" t="s">
        <v>47</v>
      </c>
      <c r="AB8" s="634" t="s">
        <v>5</v>
      </c>
      <c r="AC8" s="634" t="s">
        <v>49</v>
      </c>
      <c r="AD8" s="629" t="s">
        <v>29</v>
      </c>
      <c r="AE8" s="620" t="s">
        <v>34</v>
      </c>
      <c r="AF8" s="620" t="s">
        <v>35</v>
      </c>
      <c r="AG8" s="620" t="s">
        <v>36</v>
      </c>
      <c r="AH8" s="620" t="s">
        <v>38</v>
      </c>
      <c r="AI8" s="620" t="s">
        <v>37</v>
      </c>
      <c r="AJ8" s="620" t="s">
        <v>39</v>
      </c>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row>
    <row r="9" spans="1:68" s="4" customFormat="1" ht="94.5" customHeight="1" x14ac:dyDescent="0.25">
      <c r="A9" s="624"/>
      <c r="B9" s="628"/>
      <c r="C9" s="620"/>
      <c r="D9" s="620"/>
      <c r="E9" s="628"/>
      <c r="F9" s="626"/>
      <c r="G9" s="620"/>
      <c r="H9" s="626"/>
      <c r="I9" s="637"/>
      <c r="J9" s="626"/>
      <c r="K9" s="626"/>
      <c r="L9" s="637"/>
      <c r="M9" s="637"/>
      <c r="N9" s="620"/>
      <c r="O9" s="630"/>
      <c r="P9" s="620"/>
      <c r="Q9" s="626"/>
      <c r="R9" s="7" t="s">
        <v>13</v>
      </c>
      <c r="S9" s="7" t="s">
        <v>17</v>
      </c>
      <c r="T9" s="7" t="s">
        <v>28</v>
      </c>
      <c r="U9" s="7" t="s">
        <v>18</v>
      </c>
      <c r="V9" s="7" t="s">
        <v>21</v>
      </c>
      <c r="W9" s="7" t="s">
        <v>24</v>
      </c>
      <c r="X9" s="634"/>
      <c r="Y9" s="634"/>
      <c r="Z9" s="634"/>
      <c r="AA9" s="634"/>
      <c r="AB9" s="634"/>
      <c r="AC9" s="634"/>
      <c r="AD9" s="630"/>
      <c r="AE9" s="620"/>
      <c r="AF9" s="620"/>
      <c r="AG9" s="620"/>
      <c r="AH9" s="620"/>
      <c r="AI9" s="620"/>
      <c r="AJ9" s="620"/>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row>
    <row r="10" spans="1:68" s="3" customFormat="1" ht="167.25" customHeight="1" x14ac:dyDescent="0.25">
      <c r="A10" s="602">
        <v>1</v>
      </c>
      <c r="B10" s="605" t="s">
        <v>134</v>
      </c>
      <c r="C10" s="605"/>
      <c r="D10" s="605"/>
      <c r="E10" s="608"/>
      <c r="F10" s="605" t="s">
        <v>123</v>
      </c>
      <c r="G10" s="611">
        <v>2</v>
      </c>
      <c r="H10" s="614" t="str">
        <f>IF(G10&lt;=0,"",IF(G10&lt;=2,"Muy Baja",IF(G10&lt;=24,"Baja",IF(G10&lt;=500,"Media",IF(G10&lt;=5000,"Alta","Muy Alta")))))</f>
        <v>Muy Baja</v>
      </c>
      <c r="I10" s="596">
        <f>IF(H10="","",IF(H10="Muy Baja",0.2,IF(H10="Baja",0.4,IF(H10="Media",0.6,IF(H10="Alta",0.8,IF(H10="Muy Alta",1,))))))</f>
        <v>0.2</v>
      </c>
      <c r="J10" s="617" t="s">
        <v>152</v>
      </c>
      <c r="K10" s="596" t="str">
        <f ca="1">IF(NOT(ISERROR(MATCH(J10,'Tabla Impacto'!$B$221:$B$223,0))),'Tabla Impacto'!$F$223&amp;"Por favor no seleccionar los criterios de impacto(Afectación Económica o presupuestal y Pérdida Reputacional)",J10)</f>
        <v xml:space="preserve">     Mayor a 500 SMLMV </v>
      </c>
      <c r="L10" s="614"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596">
        <f ca="1">IF(L10="","",IF(L10="Leve",0.2,IF(L10="Menor",0.4,IF(L10="Moderado",0.6,IF(L10="Mayor",0.8,IF(L10="Catastrófico",1,))))))</f>
        <v>1</v>
      </c>
      <c r="N10" s="599"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123">
        <v>1</v>
      </c>
      <c r="P10" s="124" t="s">
        <v>372</v>
      </c>
      <c r="Q10" s="125" t="str">
        <f>IF(OR(R10="Preventivo",R10="Detectivo"),"Probabilidad",IF(R10="Correctivo","Impacto",""))</f>
        <v>Probabilidad</v>
      </c>
      <c r="R10" s="126" t="s">
        <v>14</v>
      </c>
      <c r="S10" s="126" t="s">
        <v>10</v>
      </c>
      <c r="T10" s="127" t="str">
        <f>IF(AND(R10="Preventivo",S10="Automático"),"50%",IF(AND(R10="Preventivo",S10="Manual"),"40%",IF(AND(R10="Detectivo",S10="Automático"),"40%",IF(AND(R10="Detectivo",S10="Manual"),"30%",IF(AND(R10="Correctivo",S10="Automático"),"35%",IF(AND(R10="Correctivo",S10="Manual"),"25%",""))))))</f>
        <v>50%</v>
      </c>
      <c r="U10" s="126" t="s">
        <v>19</v>
      </c>
      <c r="V10" s="126" t="s">
        <v>23</v>
      </c>
      <c r="W10" s="126" t="s">
        <v>119</v>
      </c>
      <c r="X10" s="128">
        <f>IFERROR(IF(Q10="Probabilidad",(I10-(+I10*T10)),IF(Q10="Impacto",I10,"")),"")</f>
        <v>0.1</v>
      </c>
      <c r="Y10" s="129" t="str">
        <f>IFERROR(IF(X10="","",IF(X10&lt;=0.2,"Muy Baja",IF(X10&lt;=0.4,"Baja",IF(X10&lt;=0.6,"Media",IF(X10&lt;=0.8,"Alta","Muy Alta"))))),"")</f>
        <v>Muy Baja</v>
      </c>
      <c r="Z10" s="130">
        <f>+X10</f>
        <v>0.1</v>
      </c>
      <c r="AA10" s="129" t="str">
        <f ca="1">IFERROR(IF(AB10="","",IF(AB10&lt;=0.2,"Leve",IF(AB10&lt;=0.4,"Menor",IF(AB10&lt;=0.6,"Moderado",IF(AB10&lt;=0.8,"Mayor","Catastrófico"))))),"")</f>
        <v>Catastrófico</v>
      </c>
      <c r="AB10" s="130">
        <f ca="1">IFERROR(IF(Q10="Impacto",(M10-(+M10*T10)),IF(Q10="Probabilidad",M10,"")),"")</f>
        <v>1</v>
      </c>
      <c r="AC10" s="131" t="str">
        <f ca="1">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132" t="s">
        <v>32</v>
      </c>
      <c r="AE10" s="133"/>
      <c r="AF10" s="134"/>
      <c r="AG10" s="135"/>
      <c r="AH10" s="135"/>
      <c r="AI10" s="133"/>
      <c r="AJ10" s="134" t="s">
        <v>40</v>
      </c>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row>
    <row r="11" spans="1:68" ht="151.5" customHeight="1" x14ac:dyDescent="0.3">
      <c r="A11" s="603"/>
      <c r="B11" s="606"/>
      <c r="C11" s="606"/>
      <c r="D11" s="606"/>
      <c r="E11" s="609"/>
      <c r="F11" s="606"/>
      <c r="G11" s="612"/>
      <c r="H11" s="615"/>
      <c r="I11" s="597"/>
      <c r="J11" s="618"/>
      <c r="K11" s="597">
        <f ca="1">IF(NOT(ISERROR(MATCH(J11,_xlfn.ANCHORARRAY(E22),0))),I24&amp;"Por favor no seleccionar los criterios de impacto",J11)</f>
        <v>0</v>
      </c>
      <c r="L11" s="615"/>
      <c r="M11" s="597"/>
      <c r="N11" s="600"/>
      <c r="O11" s="123">
        <v>2</v>
      </c>
      <c r="P11" s="124"/>
      <c r="Q11" s="125" t="str">
        <f>IF(OR(R11="Preventivo",R11="Detectivo"),"Probabilidad",IF(R11="Correctivo","Impacto",""))</f>
        <v/>
      </c>
      <c r="R11" s="126"/>
      <c r="S11" s="126"/>
      <c r="T11" s="127" t="str">
        <f t="shared" ref="T11:T15" si="0">IF(AND(R11="Preventivo",S11="Automático"),"50%",IF(AND(R11="Preventivo",S11="Manual"),"40%",IF(AND(R11="Detectivo",S11="Automático"),"40%",IF(AND(R11="Detectivo",S11="Manual"),"30%",IF(AND(R11="Correctivo",S11="Automático"),"35%",IF(AND(R11="Correctivo",S11="Manual"),"25%",""))))))</f>
        <v/>
      </c>
      <c r="U11" s="126"/>
      <c r="V11" s="126"/>
      <c r="W11" s="126"/>
      <c r="X11" s="128" t="str">
        <f>IFERROR(IF(AND(Q10="Probabilidad",Q11="Probabilidad"),(Z10-(+Z10*T11)),IF(Q11="Probabilidad",(I10-(+I10*T11)),IF(Q11="Impacto",Z10,""))),"")</f>
        <v/>
      </c>
      <c r="Y11" s="129" t="str">
        <f t="shared" ref="Y11:Y69" si="1">IFERROR(IF(X11="","",IF(X11&lt;=0.2,"Muy Baja",IF(X11&lt;=0.4,"Baja",IF(X11&lt;=0.6,"Media",IF(X11&lt;=0.8,"Alta","Muy Alta"))))),"")</f>
        <v/>
      </c>
      <c r="Z11" s="130" t="str">
        <f t="shared" ref="Z11:Z15" si="2">+X11</f>
        <v/>
      </c>
      <c r="AA11" s="129" t="str">
        <f t="shared" ref="AA11:AA69" si="3">IFERROR(IF(AB11="","",IF(AB11&lt;=0.2,"Leve",IF(AB11&lt;=0.4,"Menor",IF(AB11&lt;=0.6,"Moderado",IF(AB11&lt;=0.8,"Mayor","Catastrófico"))))),"")</f>
        <v/>
      </c>
      <c r="AB11" s="130" t="str">
        <f>IFERROR(IF(AND(Q10="Impacto",Q11="Impacto"),(AB10-(+AB10*T11)),IF(Q11="Impacto",($M$10-(+$M$10*T11)),IF(Q11="Probabilidad",AB10,""))),"")</f>
        <v/>
      </c>
      <c r="AC11" s="131"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132"/>
      <c r="AE11" s="133"/>
      <c r="AF11" s="134"/>
      <c r="AG11" s="135"/>
      <c r="AH11" s="135"/>
      <c r="AI11" s="133"/>
      <c r="AJ11" s="134"/>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1:68" ht="151.5" customHeight="1" x14ac:dyDescent="0.3">
      <c r="A12" s="603"/>
      <c r="B12" s="606"/>
      <c r="C12" s="606"/>
      <c r="D12" s="606"/>
      <c r="E12" s="609"/>
      <c r="F12" s="606"/>
      <c r="G12" s="612"/>
      <c r="H12" s="615"/>
      <c r="I12" s="597"/>
      <c r="J12" s="618"/>
      <c r="K12" s="597">
        <f ca="1">IF(NOT(ISERROR(MATCH(J12,_xlfn.ANCHORARRAY(E23),0))),I25&amp;"Por favor no seleccionar los criterios de impacto",J12)</f>
        <v>0</v>
      </c>
      <c r="L12" s="615"/>
      <c r="M12" s="597"/>
      <c r="N12" s="600"/>
      <c r="O12" s="123">
        <v>3</v>
      </c>
      <c r="P12" s="136"/>
      <c r="Q12" s="125" t="str">
        <f>IF(OR(R12="Preventivo",R12="Detectivo"),"Probabilidad",IF(R12="Correctivo","Impacto",""))</f>
        <v/>
      </c>
      <c r="R12" s="126"/>
      <c r="S12" s="126"/>
      <c r="T12" s="127" t="str">
        <f t="shared" si="0"/>
        <v/>
      </c>
      <c r="U12" s="126"/>
      <c r="V12" s="126"/>
      <c r="W12" s="126"/>
      <c r="X12" s="128" t="str">
        <f>IFERROR(IF(AND(Q11="Probabilidad",Q12="Probabilidad"),(Z11-(+Z11*T12)),IF(AND(Q11="Impacto",Q12="Probabilidad"),(Z10-(+Z10*T12)),IF(Q12="Impacto",Z11,""))),"")</f>
        <v/>
      </c>
      <c r="Y12" s="129" t="str">
        <f t="shared" si="1"/>
        <v/>
      </c>
      <c r="Z12" s="130" t="str">
        <f t="shared" si="2"/>
        <v/>
      </c>
      <c r="AA12" s="129" t="str">
        <f t="shared" si="3"/>
        <v/>
      </c>
      <c r="AB12" s="130" t="str">
        <f>IFERROR(IF(AND(Q11="Impacto",Q12="Impacto"),(AB11-(+AB11*T12)),IF(AND(Q11="Probabilidad",Q12="Impacto"),(AB10-(+AB10*T12)),IF(Q12="Probabilidad",AB11,""))),"")</f>
        <v/>
      </c>
      <c r="AC12" s="131" t="str">
        <f t="shared" si="4"/>
        <v/>
      </c>
      <c r="AD12" s="132"/>
      <c r="AE12" s="133"/>
      <c r="AF12" s="134"/>
      <c r="AG12" s="135"/>
      <c r="AH12" s="135"/>
      <c r="AI12" s="133"/>
      <c r="AJ12" s="134"/>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1:68" ht="151.5" customHeight="1" x14ac:dyDescent="0.3">
      <c r="A13" s="603"/>
      <c r="B13" s="606"/>
      <c r="C13" s="606"/>
      <c r="D13" s="606"/>
      <c r="E13" s="609"/>
      <c r="F13" s="606"/>
      <c r="G13" s="612"/>
      <c r="H13" s="615"/>
      <c r="I13" s="597"/>
      <c r="J13" s="618"/>
      <c r="K13" s="597">
        <f ca="1">IF(NOT(ISERROR(MATCH(J13,_xlfn.ANCHORARRAY(E24),0))),I26&amp;"Por favor no seleccionar los criterios de impacto",J13)</f>
        <v>0</v>
      </c>
      <c r="L13" s="615"/>
      <c r="M13" s="597"/>
      <c r="N13" s="600"/>
      <c r="O13" s="123">
        <v>4</v>
      </c>
      <c r="P13" s="124"/>
      <c r="Q13" s="125" t="str">
        <f t="shared" ref="Q13:Q15" si="5">IF(OR(R13="Preventivo",R13="Detectivo"),"Probabilidad",IF(R13="Correctivo","Impacto",""))</f>
        <v/>
      </c>
      <c r="R13" s="126"/>
      <c r="S13" s="126"/>
      <c r="T13" s="127" t="str">
        <f t="shared" si="0"/>
        <v/>
      </c>
      <c r="U13" s="126"/>
      <c r="V13" s="126"/>
      <c r="W13" s="126"/>
      <c r="X13" s="128" t="str">
        <f t="shared" ref="X13:X15" si="6">IFERROR(IF(AND(Q12="Probabilidad",Q13="Probabilidad"),(Z12-(+Z12*T13)),IF(AND(Q12="Impacto",Q13="Probabilidad"),(Z11-(+Z11*T13)),IF(Q13="Impacto",Z12,""))),"")</f>
        <v/>
      </c>
      <c r="Y13" s="129" t="str">
        <f t="shared" si="1"/>
        <v/>
      </c>
      <c r="Z13" s="130" t="str">
        <f t="shared" si="2"/>
        <v/>
      </c>
      <c r="AA13" s="129" t="str">
        <f t="shared" si="3"/>
        <v/>
      </c>
      <c r="AB13" s="130" t="str">
        <f t="shared" ref="AB13:AB15" si="7">IFERROR(IF(AND(Q12="Impacto",Q13="Impacto"),(AB12-(+AB12*T13)),IF(AND(Q12="Probabilidad",Q13="Impacto"),(AB11-(+AB11*T13)),IF(Q13="Probabilidad",AB12,""))),"")</f>
        <v/>
      </c>
      <c r="AC13" s="131"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132"/>
      <c r="AE13" s="133"/>
      <c r="AF13" s="134"/>
      <c r="AG13" s="135"/>
      <c r="AH13" s="135"/>
      <c r="AI13" s="133"/>
      <c r="AJ13" s="134"/>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1:68" ht="151.5" customHeight="1" x14ac:dyDescent="0.3">
      <c r="A14" s="603"/>
      <c r="B14" s="606"/>
      <c r="C14" s="606"/>
      <c r="D14" s="606"/>
      <c r="E14" s="609"/>
      <c r="F14" s="606"/>
      <c r="G14" s="612"/>
      <c r="H14" s="615"/>
      <c r="I14" s="597"/>
      <c r="J14" s="618"/>
      <c r="K14" s="597">
        <f ca="1">IF(NOT(ISERROR(MATCH(J14,_xlfn.ANCHORARRAY(E25),0))),I27&amp;"Por favor no seleccionar los criterios de impacto",J14)</f>
        <v>0</v>
      </c>
      <c r="L14" s="615"/>
      <c r="M14" s="597"/>
      <c r="N14" s="600"/>
      <c r="O14" s="123">
        <v>5</v>
      </c>
      <c r="P14" s="124"/>
      <c r="Q14" s="125" t="str">
        <f t="shared" si="5"/>
        <v/>
      </c>
      <c r="R14" s="126"/>
      <c r="S14" s="126"/>
      <c r="T14" s="127" t="str">
        <f t="shared" si="0"/>
        <v/>
      </c>
      <c r="U14" s="126"/>
      <c r="V14" s="126"/>
      <c r="W14" s="126"/>
      <c r="X14" s="128" t="str">
        <f t="shared" si="6"/>
        <v/>
      </c>
      <c r="Y14" s="129" t="str">
        <f t="shared" si="1"/>
        <v/>
      </c>
      <c r="Z14" s="130" t="str">
        <f t="shared" si="2"/>
        <v/>
      </c>
      <c r="AA14" s="129" t="str">
        <f t="shared" si="3"/>
        <v/>
      </c>
      <c r="AB14" s="130" t="str">
        <f t="shared" si="7"/>
        <v/>
      </c>
      <c r="AC14" s="131" t="str">
        <f t="shared" si="4"/>
        <v/>
      </c>
      <c r="AD14" s="132"/>
      <c r="AE14" s="133"/>
      <c r="AF14" s="134"/>
      <c r="AG14" s="135"/>
      <c r="AH14" s="135"/>
      <c r="AI14" s="133"/>
      <c r="AJ14" s="134"/>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1:68" ht="151.5" customHeight="1" x14ac:dyDescent="0.3">
      <c r="A15" s="604"/>
      <c r="B15" s="607"/>
      <c r="C15" s="607"/>
      <c r="D15" s="607"/>
      <c r="E15" s="610"/>
      <c r="F15" s="607"/>
      <c r="G15" s="613"/>
      <c r="H15" s="616"/>
      <c r="I15" s="598"/>
      <c r="J15" s="619"/>
      <c r="K15" s="598">
        <f ca="1">IF(NOT(ISERROR(MATCH(J15,_xlfn.ANCHORARRAY(E26),0))),I28&amp;"Por favor no seleccionar los criterios de impacto",J15)</f>
        <v>0</v>
      </c>
      <c r="L15" s="616"/>
      <c r="M15" s="598"/>
      <c r="N15" s="601"/>
      <c r="O15" s="123">
        <v>6</v>
      </c>
      <c r="P15" s="124"/>
      <c r="Q15" s="125" t="str">
        <f t="shared" si="5"/>
        <v/>
      </c>
      <c r="R15" s="126"/>
      <c r="S15" s="126"/>
      <c r="T15" s="127" t="str">
        <f t="shared" si="0"/>
        <v/>
      </c>
      <c r="U15" s="126"/>
      <c r="V15" s="126"/>
      <c r="W15" s="126"/>
      <c r="X15" s="128" t="str">
        <f t="shared" si="6"/>
        <v/>
      </c>
      <c r="Y15" s="129" t="str">
        <f t="shared" si="1"/>
        <v/>
      </c>
      <c r="Z15" s="130" t="str">
        <f t="shared" si="2"/>
        <v/>
      </c>
      <c r="AA15" s="129" t="str">
        <f t="shared" si="3"/>
        <v/>
      </c>
      <c r="AB15" s="130" t="str">
        <f t="shared" si="7"/>
        <v/>
      </c>
      <c r="AC15" s="131" t="str">
        <f t="shared" si="4"/>
        <v/>
      </c>
      <c r="AD15" s="132"/>
      <c r="AE15" s="133"/>
      <c r="AF15" s="134"/>
      <c r="AG15" s="135"/>
      <c r="AH15" s="135"/>
      <c r="AI15" s="133"/>
      <c r="AJ15" s="134"/>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1:68" ht="151.5" customHeight="1" x14ac:dyDescent="0.3">
      <c r="A16" s="602">
        <v>2</v>
      </c>
      <c r="B16" s="605"/>
      <c r="C16" s="605"/>
      <c r="D16" s="605"/>
      <c r="E16" s="608"/>
      <c r="F16" s="605"/>
      <c r="G16" s="611"/>
      <c r="H16" s="614" t="str">
        <f>IF(G16&lt;=0,"",IF(G16&lt;=2,"Muy Baja",IF(G16&lt;=24,"Baja",IF(G16&lt;=500,"Media",IF(G16&lt;=5000,"Alta","Muy Alta")))))</f>
        <v/>
      </c>
      <c r="I16" s="596" t="str">
        <f>IF(H16="","",IF(H16="Muy Baja",0.2,IF(H16="Baja",0.4,IF(H16="Media",0.6,IF(H16="Alta",0.8,IF(H16="Muy Alta",1,))))))</f>
        <v/>
      </c>
      <c r="J16" s="617"/>
      <c r="K16" s="596">
        <f ca="1">IF(NOT(ISERROR(MATCH(J16,'Tabla Impacto'!$B$221:$B$223,0))),'Tabla Impacto'!$F$223&amp;"Por favor no seleccionar los criterios de impacto(Afectación Económica o presupuestal y Pérdida Reputacional)",J16)</f>
        <v>0</v>
      </c>
      <c r="L16" s="614" t="str">
        <f ca="1">IF(OR(K16='Tabla Impacto'!$C$11,K16='Tabla Impacto'!$D$11),"Leve",IF(OR(K16='Tabla Impacto'!$C$12,K16='Tabla Impacto'!$D$12),"Menor",IF(OR(K16='Tabla Impacto'!$C$13,K16='Tabla Impacto'!$D$13),"Moderado",IF(OR(K16='Tabla Impacto'!$C$14,K16='Tabla Impacto'!$D$14),"Mayor",IF(OR(K16='Tabla Impacto'!$C$15,K16='Tabla Impacto'!$D$15),"Catastrófico","")))))</f>
        <v/>
      </c>
      <c r="M16" s="596" t="str">
        <f ca="1">IF(L16="","",IF(L16="Leve",0.2,IF(L16="Menor",0.4,IF(L16="Moderado",0.6,IF(L16="Mayor",0.8,IF(L16="Catastrófico",1,))))))</f>
        <v/>
      </c>
      <c r="N16" s="599"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123">
        <v>1</v>
      </c>
      <c r="P16" s="124"/>
      <c r="Q16" s="125" t="str">
        <f>IF(OR(R16="Preventivo",R16="Detectivo"),"Probabilidad",IF(R16="Correctivo","Impacto",""))</f>
        <v/>
      </c>
      <c r="R16" s="126"/>
      <c r="S16" s="126"/>
      <c r="T16" s="127" t="str">
        <f>IF(AND(R16="Preventivo",S16="Automático"),"50%",IF(AND(R16="Preventivo",S16="Manual"),"40%",IF(AND(R16="Detectivo",S16="Automático"),"40%",IF(AND(R16="Detectivo",S16="Manual"),"30%",IF(AND(R16="Correctivo",S16="Automático"),"35%",IF(AND(R16="Correctivo",S16="Manual"),"25%",""))))))</f>
        <v/>
      </c>
      <c r="U16" s="126"/>
      <c r="V16" s="126"/>
      <c r="W16" s="126"/>
      <c r="X16" s="128" t="str">
        <f>IFERROR(IF(Q16="Probabilidad",(I16-(+I16*T16)),IF(Q16="Impacto",I16,"")),"")</f>
        <v/>
      </c>
      <c r="Y16" s="129" t="str">
        <f>IFERROR(IF(X16="","",IF(X16&lt;=0.2,"Muy Baja",IF(X16&lt;=0.4,"Baja",IF(X16&lt;=0.6,"Media",IF(X16&lt;=0.8,"Alta","Muy Alta"))))),"")</f>
        <v/>
      </c>
      <c r="Z16" s="130" t="str">
        <f>+X16</f>
        <v/>
      </c>
      <c r="AA16" s="129" t="str">
        <f>IFERROR(IF(AB16="","",IF(AB16&lt;=0.2,"Leve",IF(AB16&lt;=0.4,"Menor",IF(AB16&lt;=0.6,"Moderado",IF(AB16&lt;=0.8,"Mayor","Catastrófico"))))),"")</f>
        <v/>
      </c>
      <c r="AB16" s="130" t="str">
        <f>IFERROR(IF(Q16="Impacto",(M16-(+M16*T16)),IF(Q16="Probabilidad",M16,"")),"")</f>
        <v/>
      </c>
      <c r="AC16" s="131"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132"/>
      <c r="AE16" s="133"/>
      <c r="AF16" s="134"/>
      <c r="AG16" s="135"/>
      <c r="AH16" s="135"/>
      <c r="AI16" s="133"/>
      <c r="AJ16" s="134"/>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1:68" ht="151.5" customHeight="1" x14ac:dyDescent="0.3">
      <c r="A17" s="603"/>
      <c r="B17" s="606"/>
      <c r="C17" s="606"/>
      <c r="D17" s="606"/>
      <c r="E17" s="609"/>
      <c r="F17" s="606"/>
      <c r="G17" s="612"/>
      <c r="H17" s="615"/>
      <c r="I17" s="597"/>
      <c r="J17" s="618"/>
      <c r="K17" s="597">
        <f ca="1">IF(NOT(ISERROR(MATCH(J17,_xlfn.ANCHORARRAY(E28),0))),I30&amp;"Por favor no seleccionar los criterios de impacto",J17)</f>
        <v>0</v>
      </c>
      <c r="L17" s="615"/>
      <c r="M17" s="597"/>
      <c r="N17" s="600"/>
      <c r="O17" s="123">
        <v>2</v>
      </c>
      <c r="P17" s="124"/>
      <c r="Q17" s="125" t="str">
        <f>IF(OR(R17="Preventivo",R17="Detectivo"),"Probabilidad",IF(R17="Correctivo","Impacto",""))</f>
        <v/>
      </c>
      <c r="R17" s="126"/>
      <c r="S17" s="126"/>
      <c r="T17" s="127" t="str">
        <f t="shared" ref="T17:T21" si="8">IF(AND(R17="Preventivo",S17="Automático"),"50%",IF(AND(R17="Preventivo",S17="Manual"),"40%",IF(AND(R17="Detectivo",S17="Automático"),"40%",IF(AND(R17="Detectivo",S17="Manual"),"30%",IF(AND(R17="Correctivo",S17="Automático"),"35%",IF(AND(R17="Correctivo",S17="Manual"),"25%",""))))))</f>
        <v/>
      </c>
      <c r="U17" s="126"/>
      <c r="V17" s="126"/>
      <c r="W17" s="126"/>
      <c r="X17" s="128" t="str">
        <f>IFERROR(IF(AND(Q16="Probabilidad",Q17="Probabilidad"),(Z16-(+Z16*T17)),IF(Q17="Probabilidad",(I16-(+I16*T17)),IF(Q17="Impacto",Z16,""))),"")</f>
        <v/>
      </c>
      <c r="Y17" s="129" t="str">
        <f t="shared" si="1"/>
        <v/>
      </c>
      <c r="Z17" s="130" t="str">
        <f t="shared" ref="Z17:Z21" si="9">+X17</f>
        <v/>
      </c>
      <c r="AA17" s="129" t="str">
        <f t="shared" si="3"/>
        <v/>
      </c>
      <c r="AB17" s="130" t="str">
        <f>IFERROR(IF(AND(Q16="Impacto",Q17="Impacto"),(AB10-(+AB10*T17)),IF(Q17="Impacto",($M$16-(+$M$16*T17)),IF(Q17="Probabilidad",AB10,""))),"")</f>
        <v/>
      </c>
      <c r="AC17" s="131"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132"/>
      <c r="AE17" s="133"/>
      <c r="AF17" s="134"/>
      <c r="AG17" s="135"/>
      <c r="AH17" s="135"/>
      <c r="AI17" s="133"/>
      <c r="AJ17" s="134"/>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1:68" ht="151.5" customHeight="1" x14ac:dyDescent="0.3">
      <c r="A18" s="603"/>
      <c r="B18" s="606"/>
      <c r="C18" s="606"/>
      <c r="D18" s="606"/>
      <c r="E18" s="609"/>
      <c r="F18" s="606"/>
      <c r="G18" s="612"/>
      <c r="H18" s="615"/>
      <c r="I18" s="597"/>
      <c r="J18" s="618"/>
      <c r="K18" s="597">
        <f ca="1">IF(NOT(ISERROR(MATCH(J18,_xlfn.ANCHORARRAY(E29),0))),I31&amp;"Por favor no seleccionar los criterios de impacto",J18)</f>
        <v>0</v>
      </c>
      <c r="L18" s="615"/>
      <c r="M18" s="597"/>
      <c r="N18" s="600"/>
      <c r="O18" s="123">
        <v>3</v>
      </c>
      <c r="P18" s="136"/>
      <c r="Q18" s="125" t="str">
        <f>IF(OR(R18="Preventivo",R18="Detectivo"),"Probabilidad",IF(R18="Correctivo","Impacto",""))</f>
        <v/>
      </c>
      <c r="R18" s="126"/>
      <c r="S18" s="126"/>
      <c r="T18" s="127" t="str">
        <f t="shared" si="8"/>
        <v/>
      </c>
      <c r="U18" s="126"/>
      <c r="V18" s="126"/>
      <c r="W18" s="126"/>
      <c r="X18" s="128" t="str">
        <f>IFERROR(IF(AND(Q17="Probabilidad",Q18="Probabilidad"),(Z17-(+Z17*T18)),IF(AND(Q17="Impacto",Q18="Probabilidad"),(Z16-(+Z16*T18)),IF(Q18="Impacto",Z17,""))),"")</f>
        <v/>
      </c>
      <c r="Y18" s="129" t="str">
        <f t="shared" si="1"/>
        <v/>
      </c>
      <c r="Z18" s="130" t="str">
        <f t="shared" si="9"/>
        <v/>
      </c>
      <c r="AA18" s="129" t="str">
        <f t="shared" si="3"/>
        <v/>
      </c>
      <c r="AB18" s="130" t="str">
        <f>IFERROR(IF(AND(Q17="Impacto",Q18="Impacto"),(AB17-(+AB17*T18)),IF(AND(Q17="Probabilidad",Q18="Impacto"),(AB16-(+AB16*T18)),IF(Q18="Probabilidad",AB17,""))),"")</f>
        <v/>
      </c>
      <c r="AC18" s="131" t="str">
        <f t="shared" si="10"/>
        <v/>
      </c>
      <c r="AD18" s="132"/>
      <c r="AE18" s="133"/>
      <c r="AF18" s="134"/>
      <c r="AG18" s="135"/>
      <c r="AH18" s="135"/>
      <c r="AI18" s="133"/>
      <c r="AJ18" s="134"/>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1:68" ht="151.5" customHeight="1" x14ac:dyDescent="0.3">
      <c r="A19" s="603"/>
      <c r="B19" s="606"/>
      <c r="C19" s="606"/>
      <c r="D19" s="606"/>
      <c r="E19" s="609"/>
      <c r="F19" s="606"/>
      <c r="G19" s="612"/>
      <c r="H19" s="615"/>
      <c r="I19" s="597"/>
      <c r="J19" s="618"/>
      <c r="K19" s="597">
        <f ca="1">IF(NOT(ISERROR(MATCH(J19,_xlfn.ANCHORARRAY(E30),0))),I32&amp;"Por favor no seleccionar los criterios de impacto",J19)</f>
        <v>0</v>
      </c>
      <c r="L19" s="615"/>
      <c r="M19" s="597"/>
      <c r="N19" s="600"/>
      <c r="O19" s="123">
        <v>4</v>
      </c>
      <c r="P19" s="124"/>
      <c r="Q19" s="125" t="str">
        <f t="shared" ref="Q19:Q21" si="11">IF(OR(R19="Preventivo",R19="Detectivo"),"Probabilidad",IF(R19="Correctivo","Impacto",""))</f>
        <v/>
      </c>
      <c r="R19" s="126"/>
      <c r="S19" s="126"/>
      <c r="T19" s="127" t="str">
        <f t="shared" si="8"/>
        <v/>
      </c>
      <c r="U19" s="126"/>
      <c r="V19" s="126"/>
      <c r="W19" s="126"/>
      <c r="X19" s="128" t="str">
        <f t="shared" ref="X19:X21" si="12">IFERROR(IF(AND(Q18="Probabilidad",Q19="Probabilidad"),(Z18-(+Z18*T19)),IF(AND(Q18="Impacto",Q19="Probabilidad"),(Z17-(+Z17*T19)),IF(Q19="Impacto",Z18,""))),"")</f>
        <v/>
      </c>
      <c r="Y19" s="129" t="str">
        <f t="shared" si="1"/>
        <v/>
      </c>
      <c r="Z19" s="130" t="str">
        <f t="shared" si="9"/>
        <v/>
      </c>
      <c r="AA19" s="129" t="str">
        <f t="shared" si="3"/>
        <v/>
      </c>
      <c r="AB19" s="130" t="str">
        <f t="shared" ref="AB19:AB21" si="13">IFERROR(IF(AND(Q18="Impacto",Q19="Impacto"),(AB18-(+AB18*T19)),IF(AND(Q18="Probabilidad",Q19="Impacto"),(AB17-(+AB17*T19)),IF(Q19="Probabilidad",AB18,""))),"")</f>
        <v/>
      </c>
      <c r="AC19" s="13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132"/>
      <c r="AE19" s="133"/>
      <c r="AF19" s="134"/>
      <c r="AG19" s="135"/>
      <c r="AH19" s="135"/>
      <c r="AI19" s="133"/>
      <c r="AJ19" s="134"/>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row r="20" spans="1:68" ht="151.5" customHeight="1" x14ac:dyDescent="0.3">
      <c r="A20" s="603"/>
      <c r="B20" s="606"/>
      <c r="C20" s="606"/>
      <c r="D20" s="606"/>
      <c r="E20" s="609"/>
      <c r="F20" s="606"/>
      <c r="G20" s="612"/>
      <c r="H20" s="615"/>
      <c r="I20" s="597"/>
      <c r="J20" s="618"/>
      <c r="K20" s="597">
        <f ca="1">IF(NOT(ISERROR(MATCH(J20,_xlfn.ANCHORARRAY(E31),0))),I33&amp;"Por favor no seleccionar los criterios de impacto",J20)</f>
        <v>0</v>
      </c>
      <c r="L20" s="615"/>
      <c r="M20" s="597"/>
      <c r="N20" s="600"/>
      <c r="O20" s="123">
        <v>5</v>
      </c>
      <c r="P20" s="124"/>
      <c r="Q20" s="125" t="str">
        <f t="shared" si="11"/>
        <v/>
      </c>
      <c r="R20" s="126"/>
      <c r="S20" s="126"/>
      <c r="T20" s="127" t="str">
        <f t="shared" si="8"/>
        <v/>
      </c>
      <c r="U20" s="126"/>
      <c r="V20" s="126"/>
      <c r="W20" s="126"/>
      <c r="X20" s="128" t="str">
        <f t="shared" si="12"/>
        <v/>
      </c>
      <c r="Y20" s="129" t="str">
        <f t="shared" si="1"/>
        <v/>
      </c>
      <c r="Z20" s="130" t="str">
        <f t="shared" si="9"/>
        <v/>
      </c>
      <c r="AA20" s="129" t="str">
        <f t="shared" si="3"/>
        <v/>
      </c>
      <c r="AB20" s="130" t="str">
        <f t="shared" si="13"/>
        <v/>
      </c>
      <c r="AC20" s="131"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132"/>
      <c r="AE20" s="133"/>
      <c r="AF20" s="134"/>
      <c r="AG20" s="135"/>
      <c r="AH20" s="135"/>
      <c r="AI20" s="133"/>
      <c r="AJ20" s="134"/>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row>
    <row r="21" spans="1:68" ht="151.5" customHeight="1" x14ac:dyDescent="0.3">
      <c r="A21" s="604"/>
      <c r="B21" s="607"/>
      <c r="C21" s="607"/>
      <c r="D21" s="607"/>
      <c r="E21" s="610"/>
      <c r="F21" s="607"/>
      <c r="G21" s="613"/>
      <c r="H21" s="616"/>
      <c r="I21" s="598"/>
      <c r="J21" s="619"/>
      <c r="K21" s="598">
        <f ca="1">IF(NOT(ISERROR(MATCH(J21,_xlfn.ANCHORARRAY(E32),0))),I34&amp;"Por favor no seleccionar los criterios de impacto",J21)</f>
        <v>0</v>
      </c>
      <c r="L21" s="616"/>
      <c r="M21" s="598"/>
      <c r="N21" s="601"/>
      <c r="O21" s="123">
        <v>6</v>
      </c>
      <c r="P21" s="124"/>
      <c r="Q21" s="125" t="str">
        <f t="shared" si="11"/>
        <v/>
      </c>
      <c r="R21" s="126"/>
      <c r="S21" s="126"/>
      <c r="T21" s="127" t="str">
        <f t="shared" si="8"/>
        <v/>
      </c>
      <c r="U21" s="126"/>
      <c r="V21" s="126"/>
      <c r="W21" s="126"/>
      <c r="X21" s="128" t="str">
        <f t="shared" si="12"/>
        <v/>
      </c>
      <c r="Y21" s="129" t="str">
        <f t="shared" si="1"/>
        <v/>
      </c>
      <c r="Z21" s="130" t="str">
        <f t="shared" si="9"/>
        <v/>
      </c>
      <c r="AA21" s="129" t="str">
        <f t="shared" si="3"/>
        <v/>
      </c>
      <c r="AB21" s="130" t="str">
        <f t="shared" si="13"/>
        <v/>
      </c>
      <c r="AC21" s="131" t="str">
        <f t="shared" si="14"/>
        <v/>
      </c>
      <c r="AD21" s="132"/>
      <c r="AE21" s="133"/>
      <c r="AF21" s="134"/>
      <c r="AG21" s="135"/>
      <c r="AH21" s="135"/>
      <c r="AI21" s="133"/>
      <c r="AJ21" s="134"/>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row>
    <row r="22" spans="1:68" ht="151.5" customHeight="1" x14ac:dyDescent="0.3">
      <c r="A22" s="602">
        <v>3</v>
      </c>
      <c r="B22" s="605"/>
      <c r="C22" s="605"/>
      <c r="D22" s="605"/>
      <c r="E22" s="608"/>
      <c r="F22" s="605"/>
      <c r="G22" s="611"/>
      <c r="H22" s="614" t="str">
        <f>IF(G22&lt;=0,"",IF(G22&lt;=2,"Muy Baja",IF(G22&lt;=24,"Baja",IF(G22&lt;=500,"Media",IF(G22&lt;=5000,"Alta","Muy Alta")))))</f>
        <v/>
      </c>
      <c r="I22" s="596" t="str">
        <f>IF(H22="","",IF(H22="Muy Baja",0.2,IF(H22="Baja",0.4,IF(H22="Media",0.6,IF(H22="Alta",0.8,IF(H22="Muy Alta",1,))))))</f>
        <v/>
      </c>
      <c r="J22" s="617"/>
      <c r="K22" s="596">
        <f ca="1">IF(NOT(ISERROR(MATCH(J22,'Tabla Impacto'!$B$221:$B$223,0))),'Tabla Impacto'!$F$223&amp;"Por favor no seleccionar los criterios de impacto(Afectación Económica o presupuestal y Pérdida Reputacional)",J22)</f>
        <v>0</v>
      </c>
      <c r="L22" s="614" t="str">
        <f ca="1">IF(OR(K22='Tabla Impacto'!$C$11,K22='Tabla Impacto'!$D$11),"Leve",IF(OR(K22='Tabla Impacto'!$C$12,K22='Tabla Impacto'!$D$12),"Menor",IF(OR(K22='Tabla Impacto'!$C$13,K22='Tabla Impacto'!$D$13),"Moderado",IF(OR(K22='Tabla Impacto'!$C$14,K22='Tabla Impacto'!$D$14),"Mayor",IF(OR(K22='Tabla Impacto'!$C$15,K22='Tabla Impacto'!$D$15),"Catastrófico","")))))</f>
        <v/>
      </c>
      <c r="M22" s="596" t="str">
        <f ca="1">IF(L22="","",IF(L22="Leve",0.2,IF(L22="Menor",0.4,IF(L22="Moderado",0.6,IF(L22="Mayor",0.8,IF(L22="Catastrófico",1,))))))</f>
        <v/>
      </c>
      <c r="N22" s="599"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123">
        <v>1</v>
      </c>
      <c r="P22" s="124"/>
      <c r="Q22" s="125" t="str">
        <f>IF(OR(R22="Preventivo",R22="Detectivo"),"Probabilidad",IF(R22="Correctivo","Impacto",""))</f>
        <v/>
      </c>
      <c r="R22" s="126"/>
      <c r="S22" s="126"/>
      <c r="T22" s="127" t="str">
        <f>IF(AND(R22="Preventivo",S22="Automático"),"50%",IF(AND(R22="Preventivo",S22="Manual"),"40%",IF(AND(R22="Detectivo",S22="Automático"),"40%",IF(AND(R22="Detectivo",S22="Manual"),"30%",IF(AND(R22="Correctivo",S22="Automático"),"35%",IF(AND(R22="Correctivo",S22="Manual"),"25%",""))))))</f>
        <v/>
      </c>
      <c r="U22" s="126"/>
      <c r="V22" s="126"/>
      <c r="W22" s="126"/>
      <c r="X22" s="128" t="str">
        <f>IFERROR(IF(Q22="Probabilidad",(I22-(+I22*T22)),IF(Q22="Impacto",I22,"")),"")</f>
        <v/>
      </c>
      <c r="Y22" s="129" t="str">
        <f>IFERROR(IF(X22="","",IF(X22&lt;=0.2,"Muy Baja",IF(X22&lt;=0.4,"Baja",IF(X22&lt;=0.6,"Media",IF(X22&lt;=0.8,"Alta","Muy Alta"))))),"")</f>
        <v/>
      </c>
      <c r="Z22" s="130" t="str">
        <f>+X22</f>
        <v/>
      </c>
      <c r="AA22" s="129" t="str">
        <f>IFERROR(IF(AB22="","",IF(AB22&lt;=0.2,"Leve",IF(AB22&lt;=0.4,"Menor",IF(AB22&lt;=0.6,"Moderado",IF(AB22&lt;=0.8,"Mayor","Catastrófico"))))),"")</f>
        <v/>
      </c>
      <c r="AB22" s="130" t="str">
        <f>IFERROR(IF(Q22="Impacto",(M22-(+M22*T22)),IF(Q22="Probabilidad",M22,"")),"")</f>
        <v/>
      </c>
      <c r="AC22" s="131"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132"/>
      <c r="AE22" s="133"/>
      <c r="AF22" s="134"/>
      <c r="AG22" s="135"/>
      <c r="AH22" s="135"/>
      <c r="AI22" s="133"/>
      <c r="AJ22" s="134"/>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row>
    <row r="23" spans="1:68" ht="151.5" customHeight="1" x14ac:dyDescent="0.3">
      <c r="A23" s="603"/>
      <c r="B23" s="606"/>
      <c r="C23" s="606"/>
      <c r="D23" s="606"/>
      <c r="E23" s="609"/>
      <c r="F23" s="606"/>
      <c r="G23" s="612"/>
      <c r="H23" s="615"/>
      <c r="I23" s="597"/>
      <c r="J23" s="618"/>
      <c r="K23" s="597">
        <f t="shared" ref="K23:K27" ca="1" si="15">IF(NOT(ISERROR(MATCH(J23,_xlfn.ANCHORARRAY(E34),0))),I36&amp;"Por favor no seleccionar los criterios de impacto",J23)</f>
        <v>0</v>
      </c>
      <c r="L23" s="615"/>
      <c r="M23" s="597"/>
      <c r="N23" s="600"/>
      <c r="O23" s="123">
        <v>2</v>
      </c>
      <c r="P23" s="124"/>
      <c r="Q23" s="125" t="str">
        <f>IF(OR(R23="Preventivo",R23="Detectivo"),"Probabilidad",IF(R23="Correctivo","Impacto",""))</f>
        <v/>
      </c>
      <c r="R23" s="126"/>
      <c r="S23" s="126"/>
      <c r="T23" s="127" t="str">
        <f t="shared" ref="T23:T27" si="16">IF(AND(R23="Preventivo",S23="Automático"),"50%",IF(AND(R23="Preventivo",S23="Manual"),"40%",IF(AND(R23="Detectivo",S23="Automático"),"40%",IF(AND(R23="Detectivo",S23="Manual"),"30%",IF(AND(R23="Correctivo",S23="Automático"),"35%",IF(AND(R23="Correctivo",S23="Manual"),"25%",""))))))</f>
        <v/>
      </c>
      <c r="U23" s="126"/>
      <c r="V23" s="126"/>
      <c r="W23" s="126"/>
      <c r="X23" s="137" t="str">
        <f>IFERROR(IF(AND(Q22="Probabilidad",Q23="Probabilidad"),(Z22-(+Z22*T23)),IF(Q23="Probabilidad",(I22-(+I22*T23)),IF(Q23="Impacto",Z22,""))),"")</f>
        <v/>
      </c>
      <c r="Y23" s="129" t="str">
        <f t="shared" si="1"/>
        <v/>
      </c>
      <c r="Z23" s="130" t="str">
        <f t="shared" ref="Z23:Z27" si="17">+X23</f>
        <v/>
      </c>
      <c r="AA23" s="129" t="str">
        <f t="shared" si="3"/>
        <v/>
      </c>
      <c r="AB23" s="130" t="str">
        <f>IFERROR(IF(AND(Q22="Impacto",Q23="Impacto"),(AB16-(+AB16*T23)),IF(Q23="Impacto",($M$22-(+$M$22*T23)),IF(Q23="Probabilidad",AB16,""))),"")</f>
        <v/>
      </c>
      <c r="AC23" s="131"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132"/>
      <c r="AE23" s="133"/>
      <c r="AF23" s="134"/>
      <c r="AG23" s="135"/>
      <c r="AH23" s="135"/>
      <c r="AI23" s="133"/>
      <c r="AJ23" s="134"/>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row>
    <row r="24" spans="1:68" ht="151.5" customHeight="1" x14ac:dyDescent="0.3">
      <c r="A24" s="603"/>
      <c r="B24" s="606"/>
      <c r="C24" s="606"/>
      <c r="D24" s="606"/>
      <c r="E24" s="609"/>
      <c r="F24" s="606"/>
      <c r="G24" s="612"/>
      <c r="H24" s="615"/>
      <c r="I24" s="597"/>
      <c r="J24" s="618"/>
      <c r="K24" s="597">
        <f t="shared" ca="1" si="15"/>
        <v>0</v>
      </c>
      <c r="L24" s="615"/>
      <c r="M24" s="597"/>
      <c r="N24" s="600"/>
      <c r="O24" s="123">
        <v>3</v>
      </c>
      <c r="P24" s="136"/>
      <c r="Q24" s="125" t="str">
        <f>IF(OR(R24="Preventivo",R24="Detectivo"),"Probabilidad",IF(R24="Correctivo","Impacto",""))</f>
        <v/>
      </c>
      <c r="R24" s="126"/>
      <c r="S24" s="126"/>
      <c r="T24" s="127" t="str">
        <f t="shared" si="16"/>
        <v/>
      </c>
      <c r="U24" s="126"/>
      <c r="V24" s="126"/>
      <c r="W24" s="126"/>
      <c r="X24" s="128" t="str">
        <f>IFERROR(IF(AND(Q23="Probabilidad",Q24="Probabilidad"),(Z23-(+Z23*T24)),IF(AND(Q23="Impacto",Q24="Probabilidad"),(Z22-(+Z22*T24)),IF(Q24="Impacto",Z23,""))),"")</f>
        <v/>
      </c>
      <c r="Y24" s="129" t="str">
        <f t="shared" si="1"/>
        <v/>
      </c>
      <c r="Z24" s="130" t="str">
        <f t="shared" si="17"/>
        <v/>
      </c>
      <c r="AA24" s="129" t="str">
        <f t="shared" si="3"/>
        <v/>
      </c>
      <c r="AB24" s="130" t="str">
        <f>IFERROR(IF(AND(Q23="Impacto",Q24="Impacto"),(AB23-(+AB23*T24)),IF(AND(Q23="Probabilidad",Q24="Impacto"),(AB22-(+AB22*T24)),IF(Q24="Probabilidad",AB23,""))),"")</f>
        <v/>
      </c>
      <c r="AC24" s="131" t="str">
        <f t="shared" si="18"/>
        <v/>
      </c>
      <c r="AD24" s="132"/>
      <c r="AE24" s="133"/>
      <c r="AF24" s="134"/>
      <c r="AG24" s="135"/>
      <c r="AH24" s="135"/>
      <c r="AI24" s="133"/>
      <c r="AJ24" s="134"/>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row>
    <row r="25" spans="1:68" ht="151.5" customHeight="1" x14ac:dyDescent="0.3">
      <c r="A25" s="603"/>
      <c r="B25" s="606"/>
      <c r="C25" s="606"/>
      <c r="D25" s="606"/>
      <c r="E25" s="609"/>
      <c r="F25" s="606"/>
      <c r="G25" s="612"/>
      <c r="H25" s="615"/>
      <c r="I25" s="597"/>
      <c r="J25" s="618"/>
      <c r="K25" s="597">
        <f t="shared" ca="1" si="15"/>
        <v>0</v>
      </c>
      <c r="L25" s="615"/>
      <c r="M25" s="597"/>
      <c r="N25" s="600"/>
      <c r="O25" s="123">
        <v>4</v>
      </c>
      <c r="P25" s="124"/>
      <c r="Q25" s="125" t="str">
        <f t="shared" ref="Q25:Q27" si="19">IF(OR(R25="Preventivo",R25="Detectivo"),"Probabilidad",IF(R25="Correctivo","Impacto",""))</f>
        <v/>
      </c>
      <c r="R25" s="126"/>
      <c r="S25" s="126"/>
      <c r="T25" s="127" t="str">
        <f t="shared" si="16"/>
        <v/>
      </c>
      <c r="U25" s="126"/>
      <c r="V25" s="126"/>
      <c r="W25" s="126"/>
      <c r="X25" s="128" t="str">
        <f t="shared" ref="X25:X27" si="20">IFERROR(IF(AND(Q24="Probabilidad",Q25="Probabilidad"),(Z24-(+Z24*T25)),IF(AND(Q24="Impacto",Q25="Probabilidad"),(Z23-(+Z23*T25)),IF(Q25="Impacto",Z24,""))),"")</f>
        <v/>
      </c>
      <c r="Y25" s="129" t="str">
        <f t="shared" si="1"/>
        <v/>
      </c>
      <c r="Z25" s="130" t="str">
        <f t="shared" si="17"/>
        <v/>
      </c>
      <c r="AA25" s="129" t="str">
        <f t="shared" si="3"/>
        <v/>
      </c>
      <c r="AB25" s="130" t="str">
        <f t="shared" ref="AB25:AB27" si="21">IFERROR(IF(AND(Q24="Impacto",Q25="Impacto"),(AB24-(+AB24*T25)),IF(AND(Q24="Probabilidad",Q25="Impacto"),(AB23-(+AB23*T25)),IF(Q25="Probabilidad",AB24,""))),"")</f>
        <v/>
      </c>
      <c r="AC25" s="13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132"/>
      <c r="AE25" s="133"/>
      <c r="AF25" s="134"/>
      <c r="AG25" s="135"/>
      <c r="AH25" s="135"/>
      <c r="AI25" s="133"/>
      <c r="AJ25" s="134"/>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row>
    <row r="26" spans="1:68" ht="151.5" customHeight="1" x14ac:dyDescent="0.3">
      <c r="A26" s="603"/>
      <c r="B26" s="606"/>
      <c r="C26" s="606"/>
      <c r="D26" s="606"/>
      <c r="E26" s="609"/>
      <c r="F26" s="606"/>
      <c r="G26" s="612"/>
      <c r="H26" s="615"/>
      <c r="I26" s="597"/>
      <c r="J26" s="618"/>
      <c r="K26" s="597">
        <f t="shared" ca="1" si="15"/>
        <v>0</v>
      </c>
      <c r="L26" s="615"/>
      <c r="M26" s="597"/>
      <c r="N26" s="600"/>
      <c r="O26" s="123">
        <v>5</v>
      </c>
      <c r="P26" s="124"/>
      <c r="Q26" s="125" t="str">
        <f t="shared" si="19"/>
        <v/>
      </c>
      <c r="R26" s="126"/>
      <c r="S26" s="126"/>
      <c r="T26" s="127" t="str">
        <f t="shared" si="16"/>
        <v/>
      </c>
      <c r="U26" s="126"/>
      <c r="V26" s="126"/>
      <c r="W26" s="126"/>
      <c r="X26" s="128" t="str">
        <f t="shared" si="20"/>
        <v/>
      </c>
      <c r="Y26" s="129" t="str">
        <f t="shared" si="1"/>
        <v/>
      </c>
      <c r="Z26" s="130" t="str">
        <f t="shared" si="17"/>
        <v/>
      </c>
      <c r="AA26" s="129" t="str">
        <f t="shared" si="3"/>
        <v/>
      </c>
      <c r="AB26" s="130" t="str">
        <f t="shared" si="21"/>
        <v/>
      </c>
      <c r="AC26" s="131"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132"/>
      <c r="AE26" s="133"/>
      <c r="AF26" s="134"/>
      <c r="AG26" s="135"/>
      <c r="AH26" s="135"/>
      <c r="AI26" s="133"/>
      <c r="AJ26" s="134"/>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row>
    <row r="27" spans="1:68" ht="151.5" customHeight="1" x14ac:dyDescent="0.3">
      <c r="A27" s="604"/>
      <c r="B27" s="607"/>
      <c r="C27" s="607"/>
      <c r="D27" s="607"/>
      <c r="E27" s="610"/>
      <c r="F27" s="607"/>
      <c r="G27" s="613"/>
      <c r="H27" s="616"/>
      <c r="I27" s="598"/>
      <c r="J27" s="619"/>
      <c r="K27" s="598">
        <f t="shared" ca="1" si="15"/>
        <v>0</v>
      </c>
      <c r="L27" s="616"/>
      <c r="M27" s="598"/>
      <c r="N27" s="601"/>
      <c r="O27" s="123">
        <v>6</v>
      </c>
      <c r="P27" s="124"/>
      <c r="Q27" s="125" t="str">
        <f t="shared" si="19"/>
        <v/>
      </c>
      <c r="R27" s="126"/>
      <c r="S27" s="126"/>
      <c r="T27" s="127" t="str">
        <f t="shared" si="16"/>
        <v/>
      </c>
      <c r="U27" s="126"/>
      <c r="V27" s="126"/>
      <c r="W27" s="126"/>
      <c r="X27" s="128" t="str">
        <f t="shared" si="20"/>
        <v/>
      </c>
      <c r="Y27" s="129" t="str">
        <f t="shared" si="1"/>
        <v/>
      </c>
      <c r="Z27" s="130" t="str">
        <f t="shared" si="17"/>
        <v/>
      </c>
      <c r="AA27" s="129" t="str">
        <f t="shared" si="3"/>
        <v/>
      </c>
      <c r="AB27" s="130" t="str">
        <f t="shared" si="21"/>
        <v/>
      </c>
      <c r="AC27" s="131" t="str">
        <f t="shared" si="22"/>
        <v/>
      </c>
      <c r="AD27" s="132"/>
      <c r="AE27" s="133"/>
      <c r="AF27" s="134"/>
      <c r="AG27" s="135"/>
      <c r="AH27" s="135"/>
      <c r="AI27" s="133"/>
      <c r="AJ27" s="134"/>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row>
    <row r="28" spans="1:68" ht="151.5" customHeight="1" x14ac:dyDescent="0.3">
      <c r="A28" s="602">
        <v>4</v>
      </c>
      <c r="B28" s="605"/>
      <c r="C28" s="605"/>
      <c r="D28" s="605"/>
      <c r="E28" s="608"/>
      <c r="F28" s="605"/>
      <c r="G28" s="611"/>
      <c r="H28" s="614" t="str">
        <f>IF(G28&lt;=0,"",IF(G28&lt;=2,"Muy Baja",IF(G28&lt;=24,"Baja",IF(G28&lt;=500,"Media",IF(G28&lt;=5000,"Alta","Muy Alta")))))</f>
        <v/>
      </c>
      <c r="I28" s="596" t="str">
        <f>IF(H28="","",IF(H28="Muy Baja",0.2,IF(H28="Baja",0.4,IF(H28="Media",0.6,IF(H28="Alta",0.8,IF(H28="Muy Alta",1,))))))</f>
        <v/>
      </c>
      <c r="J28" s="617"/>
      <c r="K28" s="596">
        <f ca="1">IF(NOT(ISERROR(MATCH(J28,'Tabla Impacto'!$B$221:$B$223,0))),'Tabla Impacto'!$F$223&amp;"Por favor no seleccionar los criterios de impacto(Afectación Económica o presupuestal y Pérdida Reputacional)",J28)</f>
        <v>0</v>
      </c>
      <c r="L28" s="614" t="str">
        <f ca="1">IF(OR(K28='Tabla Impacto'!$C$11,K28='Tabla Impacto'!$D$11),"Leve",IF(OR(K28='Tabla Impacto'!$C$12,K28='Tabla Impacto'!$D$12),"Menor",IF(OR(K28='Tabla Impacto'!$C$13,K28='Tabla Impacto'!$D$13),"Moderado",IF(OR(K28='Tabla Impacto'!$C$14,K28='Tabla Impacto'!$D$14),"Mayor",IF(OR(K28='Tabla Impacto'!$C$15,K28='Tabla Impacto'!$D$15),"Catastrófico","")))))</f>
        <v/>
      </c>
      <c r="M28" s="596" t="str">
        <f ca="1">IF(L28="","",IF(L28="Leve",0.2,IF(L28="Menor",0.4,IF(L28="Moderado",0.6,IF(L28="Mayor",0.8,IF(L28="Catastrófico",1,))))))</f>
        <v/>
      </c>
      <c r="N28" s="599"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123">
        <v>1</v>
      </c>
      <c r="P28" s="124"/>
      <c r="Q28" s="125" t="str">
        <f>IF(OR(R28="Preventivo",R28="Detectivo"),"Probabilidad",IF(R28="Correctivo","Impacto",""))</f>
        <v/>
      </c>
      <c r="R28" s="126"/>
      <c r="S28" s="126"/>
      <c r="T28" s="127" t="str">
        <f>IF(AND(R28="Preventivo",S28="Automático"),"50%",IF(AND(R28="Preventivo",S28="Manual"),"40%",IF(AND(R28="Detectivo",S28="Automático"),"40%",IF(AND(R28="Detectivo",S28="Manual"),"30%",IF(AND(R28="Correctivo",S28="Automático"),"35%",IF(AND(R28="Correctivo",S28="Manual"),"25%",""))))))</f>
        <v/>
      </c>
      <c r="U28" s="126"/>
      <c r="V28" s="126"/>
      <c r="W28" s="126"/>
      <c r="X28" s="128" t="str">
        <f>IFERROR(IF(Q28="Probabilidad",(I28-(+I28*T28)),IF(Q28="Impacto",I28,"")),"")</f>
        <v/>
      </c>
      <c r="Y28" s="129" t="str">
        <f>IFERROR(IF(X28="","",IF(X28&lt;=0.2,"Muy Baja",IF(X28&lt;=0.4,"Baja",IF(X28&lt;=0.6,"Media",IF(X28&lt;=0.8,"Alta","Muy Alta"))))),"")</f>
        <v/>
      </c>
      <c r="Z28" s="130" t="str">
        <f>+X28</f>
        <v/>
      </c>
      <c r="AA28" s="129" t="str">
        <f>IFERROR(IF(AB28="","",IF(AB28&lt;=0.2,"Leve",IF(AB28&lt;=0.4,"Menor",IF(AB28&lt;=0.6,"Moderado",IF(AB28&lt;=0.8,"Mayor","Catastrófico"))))),"")</f>
        <v/>
      </c>
      <c r="AB28" s="130" t="str">
        <f>IFERROR(IF(Q28="Impacto",(M28-(+M28*T28)),IF(Q28="Probabilidad",M28,"")),"")</f>
        <v/>
      </c>
      <c r="AC28" s="13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132"/>
      <c r="AE28" s="133"/>
      <c r="AF28" s="134"/>
      <c r="AG28" s="135"/>
      <c r="AH28" s="135"/>
      <c r="AI28" s="133"/>
      <c r="AJ28" s="134"/>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row>
    <row r="29" spans="1:68" ht="151.5" customHeight="1" x14ac:dyDescent="0.3">
      <c r="A29" s="603"/>
      <c r="B29" s="606"/>
      <c r="C29" s="606"/>
      <c r="D29" s="606"/>
      <c r="E29" s="609"/>
      <c r="F29" s="606"/>
      <c r="G29" s="612"/>
      <c r="H29" s="615"/>
      <c r="I29" s="597"/>
      <c r="J29" s="618"/>
      <c r="K29" s="597">
        <f t="shared" ref="K29:K33" ca="1" si="23">IF(NOT(ISERROR(MATCH(J29,_xlfn.ANCHORARRAY(E40),0))),I42&amp;"Por favor no seleccionar los criterios de impacto",J29)</f>
        <v>0</v>
      </c>
      <c r="L29" s="615"/>
      <c r="M29" s="597"/>
      <c r="N29" s="600"/>
      <c r="O29" s="123">
        <v>2</v>
      </c>
      <c r="P29" s="124"/>
      <c r="Q29" s="125" t="str">
        <f>IF(OR(R29="Preventivo",R29="Detectivo"),"Probabilidad",IF(R29="Correctivo","Impacto",""))</f>
        <v/>
      </c>
      <c r="R29" s="126"/>
      <c r="S29" s="126"/>
      <c r="T29" s="127" t="str">
        <f t="shared" ref="T29:T33" si="24">IF(AND(R29="Preventivo",S29="Automático"),"50%",IF(AND(R29="Preventivo",S29="Manual"),"40%",IF(AND(R29="Detectivo",S29="Automático"),"40%",IF(AND(R29="Detectivo",S29="Manual"),"30%",IF(AND(R29="Correctivo",S29="Automático"),"35%",IF(AND(R29="Correctivo",S29="Manual"),"25%",""))))))</f>
        <v/>
      </c>
      <c r="U29" s="126"/>
      <c r="V29" s="126"/>
      <c r="W29" s="126"/>
      <c r="X29" s="128" t="str">
        <f>IFERROR(IF(AND(Q28="Probabilidad",Q29="Probabilidad"),(Z28-(+Z28*T29)),IF(Q29="Probabilidad",(I28-(+I28*T29)),IF(Q29="Impacto",Z28,""))),"")</f>
        <v/>
      </c>
      <c r="Y29" s="129" t="str">
        <f t="shared" si="1"/>
        <v/>
      </c>
      <c r="Z29" s="130" t="str">
        <f t="shared" ref="Z29:Z33" si="25">+X29</f>
        <v/>
      </c>
      <c r="AA29" s="129" t="str">
        <f t="shared" si="3"/>
        <v/>
      </c>
      <c r="AB29" s="130" t="str">
        <f>IFERROR(IF(AND(Q28="Impacto",Q29="Impacto"),(AB22-(+AB22*T29)),IF(Q29="Impacto",($M$28-(+$M$28*T29)),IF(Q29="Probabilidad",AB22,""))),"")</f>
        <v/>
      </c>
      <c r="AC29" s="131"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132"/>
      <c r="AE29" s="133"/>
      <c r="AF29" s="134"/>
      <c r="AG29" s="135"/>
      <c r="AH29" s="135"/>
      <c r="AI29" s="133"/>
      <c r="AJ29" s="134"/>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row>
    <row r="30" spans="1:68" ht="151.5" customHeight="1" x14ac:dyDescent="0.3">
      <c r="A30" s="603"/>
      <c r="B30" s="606"/>
      <c r="C30" s="606"/>
      <c r="D30" s="606"/>
      <c r="E30" s="609"/>
      <c r="F30" s="606"/>
      <c r="G30" s="612"/>
      <c r="H30" s="615"/>
      <c r="I30" s="597"/>
      <c r="J30" s="618"/>
      <c r="K30" s="597">
        <f t="shared" ca="1" si="23"/>
        <v>0</v>
      </c>
      <c r="L30" s="615"/>
      <c r="M30" s="597"/>
      <c r="N30" s="600"/>
      <c r="O30" s="123">
        <v>3</v>
      </c>
      <c r="P30" s="136"/>
      <c r="Q30" s="125" t="str">
        <f>IF(OR(R30="Preventivo",R30="Detectivo"),"Probabilidad",IF(R30="Correctivo","Impacto",""))</f>
        <v/>
      </c>
      <c r="R30" s="126"/>
      <c r="S30" s="126"/>
      <c r="T30" s="127" t="str">
        <f t="shared" si="24"/>
        <v/>
      </c>
      <c r="U30" s="126"/>
      <c r="V30" s="126"/>
      <c r="W30" s="126"/>
      <c r="X30" s="128" t="str">
        <f>IFERROR(IF(AND(Q29="Probabilidad",Q30="Probabilidad"),(Z29-(+Z29*T30)),IF(AND(Q29="Impacto",Q30="Probabilidad"),(Z28-(+Z28*T30)),IF(Q30="Impacto",Z29,""))),"")</f>
        <v/>
      </c>
      <c r="Y30" s="129" t="str">
        <f t="shared" si="1"/>
        <v/>
      </c>
      <c r="Z30" s="130" t="str">
        <f t="shared" si="25"/>
        <v/>
      </c>
      <c r="AA30" s="129" t="str">
        <f t="shared" si="3"/>
        <v/>
      </c>
      <c r="AB30" s="130" t="str">
        <f>IFERROR(IF(AND(Q29="Impacto",Q30="Impacto"),(AB29-(+AB29*T30)),IF(AND(Q29="Probabilidad",Q30="Impacto"),(AB28-(+AB28*T30)),IF(Q30="Probabilidad",AB29,""))),"")</f>
        <v/>
      </c>
      <c r="AC30" s="131" t="str">
        <f t="shared" si="26"/>
        <v/>
      </c>
      <c r="AD30" s="132"/>
      <c r="AE30" s="133"/>
      <c r="AF30" s="134"/>
      <c r="AG30" s="135"/>
      <c r="AH30" s="135"/>
      <c r="AI30" s="133"/>
      <c r="AJ30" s="134"/>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row>
    <row r="31" spans="1:68" ht="151.5" customHeight="1" x14ac:dyDescent="0.3">
      <c r="A31" s="603"/>
      <c r="B31" s="606"/>
      <c r="C31" s="606"/>
      <c r="D31" s="606"/>
      <c r="E31" s="609"/>
      <c r="F31" s="606"/>
      <c r="G31" s="612"/>
      <c r="H31" s="615"/>
      <c r="I31" s="597"/>
      <c r="J31" s="618"/>
      <c r="K31" s="597">
        <f t="shared" ca="1" si="23"/>
        <v>0</v>
      </c>
      <c r="L31" s="615"/>
      <c r="M31" s="597"/>
      <c r="N31" s="600"/>
      <c r="O31" s="123">
        <v>4</v>
      </c>
      <c r="P31" s="124"/>
      <c r="Q31" s="125" t="str">
        <f t="shared" ref="Q31:Q33" si="27">IF(OR(R31="Preventivo",R31="Detectivo"),"Probabilidad",IF(R31="Correctivo","Impacto",""))</f>
        <v/>
      </c>
      <c r="R31" s="126"/>
      <c r="S31" s="126"/>
      <c r="T31" s="127" t="str">
        <f t="shared" si="24"/>
        <v/>
      </c>
      <c r="U31" s="126"/>
      <c r="V31" s="126"/>
      <c r="W31" s="126"/>
      <c r="X31" s="128" t="str">
        <f t="shared" ref="X31:X33" si="28">IFERROR(IF(AND(Q30="Probabilidad",Q31="Probabilidad"),(Z30-(+Z30*T31)),IF(AND(Q30="Impacto",Q31="Probabilidad"),(Z29-(+Z29*T31)),IF(Q31="Impacto",Z30,""))),"")</f>
        <v/>
      </c>
      <c r="Y31" s="129" t="str">
        <f t="shared" si="1"/>
        <v/>
      </c>
      <c r="Z31" s="130" t="str">
        <f t="shared" si="25"/>
        <v/>
      </c>
      <c r="AA31" s="129" t="str">
        <f t="shared" si="3"/>
        <v/>
      </c>
      <c r="AB31" s="130" t="str">
        <f t="shared" ref="AB31:AB33" si="29">IFERROR(IF(AND(Q30="Impacto",Q31="Impacto"),(AB30-(+AB30*T31)),IF(AND(Q30="Probabilidad",Q31="Impacto"),(AB29-(+AB29*T31)),IF(Q31="Probabilidad",AB30,""))),"")</f>
        <v/>
      </c>
      <c r="AC31" s="13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132"/>
      <c r="AE31" s="133"/>
      <c r="AF31" s="134"/>
      <c r="AG31" s="135"/>
      <c r="AH31" s="135"/>
      <c r="AI31" s="133"/>
      <c r="AJ31" s="134"/>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row>
    <row r="32" spans="1:68" ht="151.5" customHeight="1" x14ac:dyDescent="0.3">
      <c r="A32" s="603"/>
      <c r="B32" s="606"/>
      <c r="C32" s="606"/>
      <c r="D32" s="606"/>
      <c r="E32" s="609"/>
      <c r="F32" s="606"/>
      <c r="G32" s="612"/>
      <c r="H32" s="615"/>
      <c r="I32" s="597"/>
      <c r="J32" s="618"/>
      <c r="K32" s="597">
        <f t="shared" ca="1" si="23"/>
        <v>0</v>
      </c>
      <c r="L32" s="615"/>
      <c r="M32" s="597"/>
      <c r="N32" s="600"/>
      <c r="O32" s="123">
        <v>5</v>
      </c>
      <c r="P32" s="124"/>
      <c r="Q32" s="125" t="str">
        <f t="shared" si="27"/>
        <v/>
      </c>
      <c r="R32" s="126"/>
      <c r="S32" s="126"/>
      <c r="T32" s="127" t="str">
        <f t="shared" si="24"/>
        <v/>
      </c>
      <c r="U32" s="126"/>
      <c r="V32" s="126"/>
      <c r="W32" s="126"/>
      <c r="X32" s="137" t="str">
        <f t="shared" si="28"/>
        <v/>
      </c>
      <c r="Y32" s="129" t="str">
        <f>IFERROR(IF(X32="","",IF(X32&lt;=0.2,"Muy Baja",IF(X32&lt;=0.4,"Baja",IF(X32&lt;=0.6,"Media",IF(X32&lt;=0.8,"Alta","Muy Alta"))))),"")</f>
        <v/>
      </c>
      <c r="Z32" s="130" t="str">
        <f t="shared" si="25"/>
        <v/>
      </c>
      <c r="AA32" s="129" t="str">
        <f t="shared" si="3"/>
        <v/>
      </c>
      <c r="AB32" s="130" t="str">
        <f t="shared" si="29"/>
        <v/>
      </c>
      <c r="AC32" s="131"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132"/>
      <c r="AE32" s="133"/>
      <c r="AF32" s="134"/>
      <c r="AG32" s="135"/>
      <c r="AH32" s="135"/>
      <c r="AI32" s="133"/>
      <c r="AJ32" s="134"/>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row>
    <row r="33" spans="1:68" ht="151.5" customHeight="1" x14ac:dyDescent="0.3">
      <c r="A33" s="604"/>
      <c r="B33" s="607"/>
      <c r="C33" s="607"/>
      <c r="D33" s="607"/>
      <c r="E33" s="610"/>
      <c r="F33" s="607"/>
      <c r="G33" s="613"/>
      <c r="H33" s="616"/>
      <c r="I33" s="598"/>
      <c r="J33" s="619"/>
      <c r="K33" s="598">
        <f t="shared" ca="1" si="23"/>
        <v>0</v>
      </c>
      <c r="L33" s="616"/>
      <c r="M33" s="598"/>
      <c r="N33" s="601"/>
      <c r="O33" s="123">
        <v>6</v>
      </c>
      <c r="P33" s="124"/>
      <c r="Q33" s="125" t="str">
        <f t="shared" si="27"/>
        <v/>
      </c>
      <c r="R33" s="126"/>
      <c r="S33" s="126"/>
      <c r="T33" s="127" t="str">
        <f t="shared" si="24"/>
        <v/>
      </c>
      <c r="U33" s="126"/>
      <c r="V33" s="126"/>
      <c r="W33" s="126"/>
      <c r="X33" s="128" t="str">
        <f t="shared" si="28"/>
        <v/>
      </c>
      <c r="Y33" s="129" t="str">
        <f t="shared" si="1"/>
        <v/>
      </c>
      <c r="Z33" s="130" t="str">
        <f t="shared" si="25"/>
        <v/>
      </c>
      <c r="AA33" s="129" t="str">
        <f t="shared" si="3"/>
        <v/>
      </c>
      <c r="AB33" s="130" t="str">
        <f t="shared" si="29"/>
        <v/>
      </c>
      <c r="AC33" s="131" t="str">
        <f t="shared" si="30"/>
        <v/>
      </c>
      <c r="AD33" s="132"/>
      <c r="AE33" s="133"/>
      <c r="AF33" s="134"/>
      <c r="AG33" s="135"/>
      <c r="AH33" s="135"/>
      <c r="AI33" s="133"/>
      <c r="AJ33" s="134"/>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row>
    <row r="34" spans="1:68" ht="151.5" customHeight="1" x14ac:dyDescent="0.3">
      <c r="A34" s="602">
        <v>5</v>
      </c>
      <c r="B34" s="605"/>
      <c r="C34" s="605"/>
      <c r="D34" s="605"/>
      <c r="E34" s="608"/>
      <c r="F34" s="605"/>
      <c r="G34" s="611"/>
      <c r="H34" s="614" t="str">
        <f>IF(G34&lt;=0,"",IF(G34&lt;=2,"Muy Baja",IF(G34&lt;=24,"Baja",IF(G34&lt;=500,"Media",IF(G34&lt;=5000,"Alta","Muy Alta")))))</f>
        <v/>
      </c>
      <c r="I34" s="596" t="str">
        <f>IF(H34="","",IF(H34="Muy Baja",0.2,IF(H34="Baja",0.4,IF(H34="Media",0.6,IF(H34="Alta",0.8,IF(H34="Muy Alta",1,))))))</f>
        <v/>
      </c>
      <c r="J34" s="617"/>
      <c r="K34" s="596">
        <f ca="1">IF(NOT(ISERROR(MATCH(J34,'Tabla Impacto'!$B$221:$B$223,0))),'Tabla Impacto'!$F$223&amp;"Por favor no seleccionar los criterios de impacto(Afectación Económica o presupuestal y Pérdida Reputacional)",J34)</f>
        <v>0</v>
      </c>
      <c r="L34" s="614" t="str">
        <f ca="1">IF(OR(K34='Tabla Impacto'!$C$11,K34='Tabla Impacto'!$D$11),"Leve",IF(OR(K34='Tabla Impacto'!$C$12,K34='Tabla Impacto'!$D$12),"Menor",IF(OR(K34='Tabla Impacto'!$C$13,K34='Tabla Impacto'!$D$13),"Moderado",IF(OR(K34='Tabla Impacto'!$C$14,K34='Tabla Impacto'!$D$14),"Mayor",IF(OR(K34='Tabla Impacto'!$C$15,K34='Tabla Impacto'!$D$15),"Catastrófico","")))))</f>
        <v/>
      </c>
      <c r="M34" s="596" t="str">
        <f ca="1">IF(L34="","",IF(L34="Leve",0.2,IF(L34="Menor",0.4,IF(L34="Moderado",0.6,IF(L34="Mayor",0.8,IF(L34="Catastrófico",1,))))))</f>
        <v/>
      </c>
      <c r="N34" s="599"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123">
        <v>1</v>
      </c>
      <c r="P34" s="124"/>
      <c r="Q34" s="125" t="str">
        <f>IF(OR(R34="Preventivo",R34="Detectivo"),"Probabilidad",IF(R34="Correctivo","Impacto",""))</f>
        <v/>
      </c>
      <c r="R34" s="126"/>
      <c r="S34" s="126"/>
      <c r="T34" s="127" t="str">
        <f>IF(AND(R34="Preventivo",S34="Automático"),"50%",IF(AND(R34="Preventivo",S34="Manual"),"40%",IF(AND(R34="Detectivo",S34="Automático"),"40%",IF(AND(R34="Detectivo",S34="Manual"),"30%",IF(AND(R34="Correctivo",S34="Automático"),"35%",IF(AND(R34="Correctivo",S34="Manual"),"25%",""))))))</f>
        <v/>
      </c>
      <c r="U34" s="126"/>
      <c r="V34" s="126"/>
      <c r="W34" s="126"/>
      <c r="X34" s="128" t="str">
        <f>IFERROR(IF(Q34="Probabilidad",(I34-(+I34*T34)),IF(Q34="Impacto",I34,"")),"")</f>
        <v/>
      </c>
      <c r="Y34" s="129" t="str">
        <f>IFERROR(IF(X34="","",IF(X34&lt;=0.2,"Muy Baja",IF(X34&lt;=0.4,"Baja",IF(X34&lt;=0.6,"Media",IF(X34&lt;=0.8,"Alta","Muy Alta"))))),"")</f>
        <v/>
      </c>
      <c r="Z34" s="130" t="str">
        <f>+X34</f>
        <v/>
      </c>
      <c r="AA34" s="129" t="str">
        <f>IFERROR(IF(AB34="","",IF(AB34&lt;=0.2,"Leve",IF(AB34&lt;=0.4,"Menor",IF(AB34&lt;=0.6,"Moderado",IF(AB34&lt;=0.8,"Mayor","Catastrófico"))))),"")</f>
        <v/>
      </c>
      <c r="AB34" s="130" t="str">
        <f>IFERROR(IF(Q34="Impacto",(M34-(+M34*T34)),IF(Q34="Probabilidad",M34,"")),"")</f>
        <v/>
      </c>
      <c r="AC34" s="131"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132"/>
      <c r="AE34" s="133"/>
      <c r="AF34" s="134"/>
      <c r="AG34" s="135"/>
      <c r="AH34" s="135"/>
      <c r="AI34" s="133"/>
      <c r="AJ34" s="134"/>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row>
    <row r="35" spans="1:68" ht="151.5" customHeight="1" x14ac:dyDescent="0.3">
      <c r="A35" s="603"/>
      <c r="B35" s="606"/>
      <c r="C35" s="606"/>
      <c r="D35" s="606"/>
      <c r="E35" s="609"/>
      <c r="F35" s="606"/>
      <c r="G35" s="612"/>
      <c r="H35" s="615"/>
      <c r="I35" s="597"/>
      <c r="J35" s="618"/>
      <c r="K35" s="597">
        <f t="shared" ref="K35:K39" ca="1" si="31">IF(NOT(ISERROR(MATCH(J35,_xlfn.ANCHORARRAY(E46),0))),I48&amp;"Por favor no seleccionar los criterios de impacto",J35)</f>
        <v>0</v>
      </c>
      <c r="L35" s="615"/>
      <c r="M35" s="597"/>
      <c r="N35" s="600"/>
      <c r="O35" s="123">
        <v>2</v>
      </c>
      <c r="P35" s="124"/>
      <c r="Q35" s="125" t="str">
        <f>IF(OR(R35="Preventivo",R35="Detectivo"),"Probabilidad",IF(R35="Correctivo","Impacto",""))</f>
        <v/>
      </c>
      <c r="R35" s="126"/>
      <c r="S35" s="126"/>
      <c r="T35" s="127" t="str">
        <f t="shared" ref="T35:T39" si="32">IF(AND(R35="Preventivo",S35="Automático"),"50%",IF(AND(R35="Preventivo",S35="Manual"),"40%",IF(AND(R35="Detectivo",S35="Automático"),"40%",IF(AND(R35="Detectivo",S35="Manual"),"30%",IF(AND(R35="Correctivo",S35="Automático"),"35%",IF(AND(R35="Correctivo",S35="Manual"),"25%",""))))))</f>
        <v/>
      </c>
      <c r="U35" s="126"/>
      <c r="V35" s="126"/>
      <c r="W35" s="126"/>
      <c r="X35" s="128" t="str">
        <f>IFERROR(IF(AND(Q34="Probabilidad",Q35="Probabilidad"),(Z34-(+Z34*T35)),IF(Q35="Probabilidad",(I34-(+I34*T35)),IF(Q35="Impacto",Z34,""))),"")</f>
        <v/>
      </c>
      <c r="Y35" s="129" t="str">
        <f t="shared" si="1"/>
        <v/>
      </c>
      <c r="Z35" s="130" t="str">
        <f t="shared" ref="Z35:Z39" si="33">+X35</f>
        <v/>
      </c>
      <c r="AA35" s="129" t="str">
        <f t="shared" si="3"/>
        <v/>
      </c>
      <c r="AB35" s="130" t="str">
        <f>IFERROR(IF(AND(Q34="Impacto",Q35="Impacto"),(AB28-(+AB28*T35)),IF(Q35="Impacto",($M$34-(+$M$34*T35)),IF(Q35="Probabilidad",AB28,""))),"")</f>
        <v/>
      </c>
      <c r="AC35" s="131"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132"/>
      <c r="AE35" s="133"/>
      <c r="AF35" s="134"/>
      <c r="AG35" s="135"/>
      <c r="AH35" s="135"/>
      <c r="AI35" s="133"/>
      <c r="AJ35" s="134"/>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row>
    <row r="36" spans="1:68" ht="151.5" customHeight="1" x14ac:dyDescent="0.3">
      <c r="A36" s="603"/>
      <c r="B36" s="606"/>
      <c r="C36" s="606"/>
      <c r="D36" s="606"/>
      <c r="E36" s="609"/>
      <c r="F36" s="606"/>
      <c r="G36" s="612"/>
      <c r="H36" s="615"/>
      <c r="I36" s="597"/>
      <c r="J36" s="618"/>
      <c r="K36" s="597">
        <f t="shared" ca="1" si="31"/>
        <v>0</v>
      </c>
      <c r="L36" s="615"/>
      <c r="M36" s="597"/>
      <c r="N36" s="600"/>
      <c r="O36" s="123">
        <v>3</v>
      </c>
      <c r="P36" s="136"/>
      <c r="Q36" s="125" t="str">
        <f>IF(OR(R36="Preventivo",R36="Detectivo"),"Probabilidad",IF(R36="Correctivo","Impacto",""))</f>
        <v/>
      </c>
      <c r="R36" s="126"/>
      <c r="S36" s="126"/>
      <c r="T36" s="127" t="str">
        <f t="shared" si="32"/>
        <v/>
      </c>
      <c r="U36" s="126"/>
      <c r="V36" s="126"/>
      <c r="W36" s="126"/>
      <c r="X36" s="128" t="str">
        <f>IFERROR(IF(AND(Q35="Probabilidad",Q36="Probabilidad"),(Z35-(+Z35*T36)),IF(AND(Q35="Impacto",Q36="Probabilidad"),(Z34-(+Z34*T36)),IF(Q36="Impacto",Z35,""))),"")</f>
        <v/>
      </c>
      <c r="Y36" s="129" t="str">
        <f t="shared" si="1"/>
        <v/>
      </c>
      <c r="Z36" s="130" t="str">
        <f t="shared" si="33"/>
        <v/>
      </c>
      <c r="AA36" s="129" t="str">
        <f t="shared" si="3"/>
        <v/>
      </c>
      <c r="AB36" s="130" t="str">
        <f>IFERROR(IF(AND(Q35="Impacto",Q36="Impacto"),(AB35-(+AB35*T36)),IF(AND(Q35="Probabilidad",Q36="Impacto"),(AB34-(+AB34*T36)),IF(Q36="Probabilidad",AB35,""))),"")</f>
        <v/>
      </c>
      <c r="AC36" s="131" t="str">
        <f t="shared" si="34"/>
        <v/>
      </c>
      <c r="AD36" s="132"/>
      <c r="AE36" s="133"/>
      <c r="AF36" s="134"/>
      <c r="AG36" s="135"/>
      <c r="AH36" s="135"/>
      <c r="AI36" s="133"/>
      <c r="AJ36" s="134"/>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row>
    <row r="37" spans="1:68" ht="151.5" customHeight="1" x14ac:dyDescent="0.3">
      <c r="A37" s="603"/>
      <c r="B37" s="606"/>
      <c r="C37" s="606"/>
      <c r="D37" s="606"/>
      <c r="E37" s="609"/>
      <c r="F37" s="606"/>
      <c r="G37" s="612"/>
      <c r="H37" s="615"/>
      <c r="I37" s="597"/>
      <c r="J37" s="618"/>
      <c r="K37" s="597">
        <f t="shared" ca="1" si="31"/>
        <v>0</v>
      </c>
      <c r="L37" s="615"/>
      <c r="M37" s="597"/>
      <c r="N37" s="600"/>
      <c r="O37" s="123">
        <v>4</v>
      </c>
      <c r="P37" s="124"/>
      <c r="Q37" s="125" t="str">
        <f t="shared" ref="Q37:Q39" si="35">IF(OR(R37="Preventivo",R37="Detectivo"),"Probabilidad",IF(R37="Correctivo","Impacto",""))</f>
        <v/>
      </c>
      <c r="R37" s="126"/>
      <c r="S37" s="126"/>
      <c r="T37" s="127" t="str">
        <f t="shared" si="32"/>
        <v/>
      </c>
      <c r="U37" s="126"/>
      <c r="V37" s="126"/>
      <c r="W37" s="126"/>
      <c r="X37" s="128" t="str">
        <f t="shared" ref="X37:X39" si="36">IFERROR(IF(AND(Q36="Probabilidad",Q37="Probabilidad"),(Z36-(+Z36*T37)),IF(AND(Q36="Impacto",Q37="Probabilidad"),(Z35-(+Z35*T37)),IF(Q37="Impacto",Z36,""))),"")</f>
        <v/>
      </c>
      <c r="Y37" s="129" t="str">
        <f t="shared" si="1"/>
        <v/>
      </c>
      <c r="Z37" s="130" t="str">
        <f t="shared" si="33"/>
        <v/>
      </c>
      <c r="AA37" s="129" t="str">
        <f t="shared" si="3"/>
        <v/>
      </c>
      <c r="AB37" s="130" t="str">
        <f t="shared" ref="AB37:AB39" si="37">IFERROR(IF(AND(Q36="Impacto",Q37="Impacto"),(AB36-(+AB36*T37)),IF(AND(Q36="Probabilidad",Q37="Impacto"),(AB35-(+AB35*T37)),IF(Q37="Probabilidad",AB36,""))),"")</f>
        <v/>
      </c>
      <c r="AC37" s="131"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132"/>
      <c r="AE37" s="133"/>
      <c r="AF37" s="134"/>
      <c r="AG37" s="135"/>
      <c r="AH37" s="135"/>
      <c r="AI37" s="133"/>
      <c r="AJ37" s="134"/>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row>
    <row r="38" spans="1:68" ht="151.5" customHeight="1" x14ac:dyDescent="0.3">
      <c r="A38" s="603"/>
      <c r="B38" s="606"/>
      <c r="C38" s="606"/>
      <c r="D38" s="606"/>
      <c r="E38" s="609"/>
      <c r="F38" s="606"/>
      <c r="G38" s="612"/>
      <c r="H38" s="615"/>
      <c r="I38" s="597"/>
      <c r="J38" s="618"/>
      <c r="K38" s="597">
        <f t="shared" ca="1" si="31"/>
        <v>0</v>
      </c>
      <c r="L38" s="615"/>
      <c r="M38" s="597"/>
      <c r="N38" s="600"/>
      <c r="O38" s="123">
        <v>5</v>
      </c>
      <c r="P38" s="124"/>
      <c r="Q38" s="125" t="str">
        <f t="shared" si="35"/>
        <v/>
      </c>
      <c r="R38" s="126"/>
      <c r="S38" s="126"/>
      <c r="T38" s="127" t="str">
        <f t="shared" si="32"/>
        <v/>
      </c>
      <c r="U38" s="126"/>
      <c r="V38" s="126"/>
      <c r="W38" s="126"/>
      <c r="X38" s="128" t="str">
        <f t="shared" si="36"/>
        <v/>
      </c>
      <c r="Y38" s="129" t="str">
        <f t="shared" si="1"/>
        <v/>
      </c>
      <c r="Z38" s="130" t="str">
        <f t="shared" si="33"/>
        <v/>
      </c>
      <c r="AA38" s="129" t="str">
        <f t="shared" si="3"/>
        <v/>
      </c>
      <c r="AB38" s="130" t="str">
        <f t="shared" si="37"/>
        <v/>
      </c>
      <c r="AC38" s="131"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132"/>
      <c r="AE38" s="133"/>
      <c r="AF38" s="134"/>
      <c r="AG38" s="135"/>
      <c r="AH38" s="135"/>
      <c r="AI38" s="133"/>
      <c r="AJ38" s="134"/>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row>
    <row r="39" spans="1:68" ht="151.5" customHeight="1" x14ac:dyDescent="0.3">
      <c r="A39" s="604"/>
      <c r="B39" s="607"/>
      <c r="C39" s="607"/>
      <c r="D39" s="607"/>
      <c r="E39" s="610"/>
      <c r="F39" s="607"/>
      <c r="G39" s="613"/>
      <c r="H39" s="616"/>
      <c r="I39" s="598"/>
      <c r="J39" s="619"/>
      <c r="K39" s="598">
        <f t="shared" ca="1" si="31"/>
        <v>0</v>
      </c>
      <c r="L39" s="616"/>
      <c r="M39" s="598"/>
      <c r="N39" s="601"/>
      <c r="O39" s="123">
        <v>6</v>
      </c>
      <c r="P39" s="124"/>
      <c r="Q39" s="125" t="str">
        <f t="shared" si="35"/>
        <v/>
      </c>
      <c r="R39" s="126"/>
      <c r="S39" s="126"/>
      <c r="T39" s="127" t="str">
        <f t="shared" si="32"/>
        <v/>
      </c>
      <c r="U39" s="126"/>
      <c r="V39" s="126"/>
      <c r="W39" s="126"/>
      <c r="X39" s="128" t="str">
        <f t="shared" si="36"/>
        <v/>
      </c>
      <c r="Y39" s="129" t="str">
        <f t="shared" si="1"/>
        <v/>
      </c>
      <c r="Z39" s="130" t="str">
        <f t="shared" si="33"/>
        <v/>
      </c>
      <c r="AA39" s="129" t="str">
        <f t="shared" si="3"/>
        <v/>
      </c>
      <c r="AB39" s="130" t="str">
        <f t="shared" si="37"/>
        <v/>
      </c>
      <c r="AC39" s="131" t="str">
        <f t="shared" si="38"/>
        <v/>
      </c>
      <c r="AD39" s="132"/>
      <c r="AE39" s="133"/>
      <c r="AF39" s="134"/>
      <c r="AG39" s="135"/>
      <c r="AH39" s="135"/>
      <c r="AI39" s="133"/>
      <c r="AJ39" s="134"/>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row>
    <row r="40" spans="1:68" ht="151.5" customHeight="1" x14ac:dyDescent="0.3">
      <c r="A40" s="602">
        <v>6</v>
      </c>
      <c r="B40" s="605"/>
      <c r="C40" s="605"/>
      <c r="D40" s="605"/>
      <c r="E40" s="608"/>
      <c r="F40" s="605"/>
      <c r="G40" s="611"/>
      <c r="H40" s="614" t="str">
        <f>IF(G40&lt;=0,"",IF(G40&lt;=2,"Muy Baja",IF(G40&lt;=24,"Baja",IF(G40&lt;=500,"Media",IF(G40&lt;=5000,"Alta","Muy Alta")))))</f>
        <v/>
      </c>
      <c r="I40" s="596" t="str">
        <f>IF(H40="","",IF(H40="Muy Baja",0.2,IF(H40="Baja",0.4,IF(H40="Media",0.6,IF(H40="Alta",0.8,IF(H40="Muy Alta",1,))))))</f>
        <v/>
      </c>
      <c r="J40" s="617"/>
      <c r="K40" s="596">
        <f ca="1">IF(NOT(ISERROR(MATCH(J40,'Tabla Impacto'!$B$221:$B$223,0))),'Tabla Impacto'!$F$223&amp;"Por favor no seleccionar los criterios de impacto(Afectación Económica o presupuestal y Pérdida Reputacional)",J40)</f>
        <v>0</v>
      </c>
      <c r="L40" s="614" t="str">
        <f ca="1">IF(OR(K40='Tabla Impacto'!$C$11,K40='Tabla Impacto'!$D$11),"Leve",IF(OR(K40='Tabla Impacto'!$C$12,K40='Tabla Impacto'!$D$12),"Menor",IF(OR(K40='Tabla Impacto'!$C$13,K40='Tabla Impacto'!$D$13),"Moderado",IF(OR(K40='Tabla Impacto'!$C$14,K40='Tabla Impacto'!$D$14),"Mayor",IF(OR(K40='Tabla Impacto'!$C$15,K40='Tabla Impacto'!$D$15),"Catastrófico","")))))</f>
        <v/>
      </c>
      <c r="M40" s="596" t="str">
        <f ca="1">IF(L40="","",IF(L40="Leve",0.2,IF(L40="Menor",0.4,IF(L40="Moderado",0.6,IF(L40="Mayor",0.8,IF(L40="Catastrófico",1,))))))</f>
        <v/>
      </c>
      <c r="N40" s="599"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123">
        <v>1</v>
      </c>
      <c r="P40" s="124"/>
      <c r="Q40" s="125" t="str">
        <f>IF(OR(R40="Preventivo",R40="Detectivo"),"Probabilidad",IF(R40="Correctivo","Impacto",""))</f>
        <v/>
      </c>
      <c r="R40" s="126"/>
      <c r="S40" s="126"/>
      <c r="T40" s="127" t="str">
        <f>IF(AND(R40="Preventivo",S40="Automático"),"50%",IF(AND(R40="Preventivo",S40="Manual"),"40%",IF(AND(R40="Detectivo",S40="Automático"),"40%",IF(AND(R40="Detectivo",S40="Manual"),"30%",IF(AND(R40="Correctivo",S40="Automático"),"35%",IF(AND(R40="Correctivo",S40="Manual"),"25%",""))))))</f>
        <v/>
      </c>
      <c r="U40" s="126"/>
      <c r="V40" s="126"/>
      <c r="W40" s="126"/>
      <c r="X40" s="128" t="str">
        <f>IFERROR(IF(Q40="Probabilidad",(I40-(+I40*T40)),IF(Q40="Impacto",I40,"")),"")</f>
        <v/>
      </c>
      <c r="Y40" s="129" t="str">
        <f>IFERROR(IF(X40="","",IF(X40&lt;=0.2,"Muy Baja",IF(X40&lt;=0.4,"Baja",IF(X40&lt;=0.6,"Media",IF(X40&lt;=0.8,"Alta","Muy Alta"))))),"")</f>
        <v/>
      </c>
      <c r="Z40" s="130" t="str">
        <f>+X40</f>
        <v/>
      </c>
      <c r="AA40" s="129" t="str">
        <f>IFERROR(IF(AB40="","",IF(AB40&lt;=0.2,"Leve",IF(AB40&lt;=0.4,"Menor",IF(AB40&lt;=0.6,"Moderado",IF(AB40&lt;=0.8,"Mayor","Catastrófico"))))),"")</f>
        <v/>
      </c>
      <c r="AB40" s="130" t="str">
        <f>IFERROR(IF(Q40="Impacto",(M40-(+M40*T40)),IF(Q40="Probabilidad",M40,"")),"")</f>
        <v/>
      </c>
      <c r="AC40" s="131"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132"/>
      <c r="AE40" s="133"/>
      <c r="AF40" s="134"/>
      <c r="AG40" s="135"/>
      <c r="AH40" s="135"/>
      <c r="AI40" s="133"/>
      <c r="AJ40" s="134"/>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row>
    <row r="41" spans="1:68" ht="151.5" customHeight="1" x14ac:dyDescent="0.3">
      <c r="A41" s="603"/>
      <c r="B41" s="606"/>
      <c r="C41" s="606"/>
      <c r="D41" s="606"/>
      <c r="E41" s="609"/>
      <c r="F41" s="606"/>
      <c r="G41" s="612"/>
      <c r="H41" s="615"/>
      <c r="I41" s="597"/>
      <c r="J41" s="618"/>
      <c r="K41" s="597">
        <f t="shared" ref="K41:K45" ca="1" si="39">IF(NOT(ISERROR(MATCH(J41,_xlfn.ANCHORARRAY(E52),0))),I54&amp;"Por favor no seleccionar los criterios de impacto",J41)</f>
        <v>0</v>
      </c>
      <c r="L41" s="615"/>
      <c r="M41" s="597"/>
      <c r="N41" s="600"/>
      <c r="O41" s="123">
        <v>2</v>
      </c>
      <c r="P41" s="124"/>
      <c r="Q41" s="125" t="str">
        <f>IF(OR(R41="Preventivo",R41="Detectivo"),"Probabilidad",IF(R41="Correctivo","Impacto",""))</f>
        <v/>
      </c>
      <c r="R41" s="126"/>
      <c r="S41" s="126"/>
      <c r="T41" s="127" t="str">
        <f t="shared" ref="T41:T45" si="40">IF(AND(R41="Preventivo",S41="Automático"),"50%",IF(AND(R41="Preventivo",S41="Manual"),"40%",IF(AND(R41="Detectivo",S41="Automático"),"40%",IF(AND(R41="Detectivo",S41="Manual"),"30%",IF(AND(R41="Correctivo",S41="Automático"),"35%",IF(AND(R41="Correctivo",S41="Manual"),"25%",""))))))</f>
        <v/>
      </c>
      <c r="U41" s="126"/>
      <c r="V41" s="126"/>
      <c r="W41" s="126"/>
      <c r="X41" s="128" t="str">
        <f>IFERROR(IF(AND(Q40="Probabilidad",Q41="Probabilidad"),(Z40-(+Z40*T41)),IF(Q41="Probabilidad",(I40-(+I40*T41)),IF(Q41="Impacto",Z40,""))),"")</f>
        <v/>
      </c>
      <c r="Y41" s="129" t="str">
        <f t="shared" si="1"/>
        <v/>
      </c>
      <c r="Z41" s="130" t="str">
        <f t="shared" ref="Z41:Z45" si="41">+X41</f>
        <v/>
      </c>
      <c r="AA41" s="129" t="str">
        <f t="shared" si="3"/>
        <v/>
      </c>
      <c r="AB41" s="130" t="str">
        <f>IFERROR(IF(AND(Q40="Impacto",Q41="Impacto"),(AB34-(+AB34*T41)),IF(Q41="Impacto",($M$40-(+$M$40*T41)),IF(Q41="Probabilidad",AB34,""))),"")</f>
        <v/>
      </c>
      <c r="AC41" s="131"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132"/>
      <c r="AE41" s="133"/>
      <c r="AF41" s="134"/>
      <c r="AG41" s="135"/>
      <c r="AH41" s="135"/>
      <c r="AI41" s="133"/>
      <c r="AJ41" s="134"/>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row>
    <row r="42" spans="1:68" ht="151.5" customHeight="1" x14ac:dyDescent="0.3">
      <c r="A42" s="603"/>
      <c r="B42" s="606"/>
      <c r="C42" s="606"/>
      <c r="D42" s="606"/>
      <c r="E42" s="609"/>
      <c r="F42" s="606"/>
      <c r="G42" s="612"/>
      <c r="H42" s="615"/>
      <c r="I42" s="597"/>
      <c r="J42" s="618"/>
      <c r="K42" s="597">
        <f t="shared" ca="1" si="39"/>
        <v>0</v>
      </c>
      <c r="L42" s="615"/>
      <c r="M42" s="597"/>
      <c r="N42" s="600"/>
      <c r="O42" s="123">
        <v>3</v>
      </c>
      <c r="P42" s="136"/>
      <c r="Q42" s="125" t="str">
        <f>IF(OR(R42="Preventivo",R42="Detectivo"),"Probabilidad",IF(R42="Correctivo","Impacto",""))</f>
        <v/>
      </c>
      <c r="R42" s="126"/>
      <c r="S42" s="126"/>
      <c r="T42" s="127" t="str">
        <f t="shared" si="40"/>
        <v/>
      </c>
      <c r="U42" s="126"/>
      <c r="V42" s="126"/>
      <c r="W42" s="126"/>
      <c r="X42" s="128" t="str">
        <f>IFERROR(IF(AND(Q41="Probabilidad",Q42="Probabilidad"),(Z41-(+Z41*T42)),IF(AND(Q41="Impacto",Q42="Probabilidad"),(Z40-(+Z40*T42)),IF(Q42="Impacto",Z41,""))),"")</f>
        <v/>
      </c>
      <c r="Y42" s="129" t="str">
        <f t="shared" si="1"/>
        <v/>
      </c>
      <c r="Z42" s="130" t="str">
        <f t="shared" si="41"/>
        <v/>
      </c>
      <c r="AA42" s="129" t="str">
        <f t="shared" si="3"/>
        <v/>
      </c>
      <c r="AB42" s="130" t="str">
        <f>IFERROR(IF(AND(Q41="Impacto",Q42="Impacto"),(AB41-(+AB41*T42)),IF(AND(Q41="Probabilidad",Q42="Impacto"),(AB40-(+AB40*T42)),IF(Q42="Probabilidad",AB41,""))),"")</f>
        <v/>
      </c>
      <c r="AC42" s="131" t="str">
        <f t="shared" si="42"/>
        <v/>
      </c>
      <c r="AD42" s="132"/>
      <c r="AE42" s="133"/>
      <c r="AF42" s="134"/>
      <c r="AG42" s="135"/>
      <c r="AH42" s="135"/>
      <c r="AI42" s="133"/>
      <c r="AJ42" s="134"/>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row>
    <row r="43" spans="1:68" ht="151.5" customHeight="1" x14ac:dyDescent="0.3">
      <c r="A43" s="603"/>
      <c r="B43" s="606"/>
      <c r="C43" s="606"/>
      <c r="D43" s="606"/>
      <c r="E43" s="609"/>
      <c r="F43" s="606"/>
      <c r="G43" s="612"/>
      <c r="H43" s="615"/>
      <c r="I43" s="597"/>
      <c r="J43" s="618"/>
      <c r="K43" s="597">
        <f t="shared" ca="1" si="39"/>
        <v>0</v>
      </c>
      <c r="L43" s="615"/>
      <c r="M43" s="597"/>
      <c r="N43" s="600"/>
      <c r="O43" s="123">
        <v>4</v>
      </c>
      <c r="P43" s="124"/>
      <c r="Q43" s="125" t="str">
        <f t="shared" ref="Q43:Q45" si="43">IF(OR(R43="Preventivo",R43="Detectivo"),"Probabilidad",IF(R43="Correctivo","Impacto",""))</f>
        <v/>
      </c>
      <c r="R43" s="126"/>
      <c r="S43" s="126"/>
      <c r="T43" s="127" t="str">
        <f t="shared" si="40"/>
        <v/>
      </c>
      <c r="U43" s="126"/>
      <c r="V43" s="126"/>
      <c r="W43" s="126"/>
      <c r="X43" s="128" t="str">
        <f t="shared" ref="X43:X45" si="44">IFERROR(IF(AND(Q42="Probabilidad",Q43="Probabilidad"),(Z42-(+Z42*T43)),IF(AND(Q42="Impacto",Q43="Probabilidad"),(Z41-(+Z41*T43)),IF(Q43="Impacto",Z42,""))),"")</f>
        <v/>
      </c>
      <c r="Y43" s="129" t="str">
        <f t="shared" si="1"/>
        <v/>
      </c>
      <c r="Z43" s="130" t="str">
        <f t="shared" si="41"/>
        <v/>
      </c>
      <c r="AA43" s="129" t="str">
        <f t="shared" si="3"/>
        <v/>
      </c>
      <c r="AB43" s="130" t="str">
        <f t="shared" ref="AB43:AB45" si="45">IFERROR(IF(AND(Q42="Impacto",Q43="Impacto"),(AB42-(+AB42*T43)),IF(AND(Q42="Probabilidad",Q43="Impacto"),(AB41-(+AB41*T43)),IF(Q43="Probabilidad",AB42,""))),"")</f>
        <v/>
      </c>
      <c r="AC43" s="131"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132"/>
      <c r="AE43" s="133"/>
      <c r="AF43" s="134"/>
      <c r="AG43" s="135"/>
      <c r="AH43" s="135"/>
      <c r="AI43" s="133"/>
      <c r="AJ43" s="134"/>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row>
    <row r="44" spans="1:68" ht="151.5" customHeight="1" x14ac:dyDescent="0.3">
      <c r="A44" s="603"/>
      <c r="B44" s="606"/>
      <c r="C44" s="606"/>
      <c r="D44" s="606"/>
      <c r="E44" s="609"/>
      <c r="F44" s="606"/>
      <c r="G44" s="612"/>
      <c r="H44" s="615"/>
      <c r="I44" s="597"/>
      <c r="J44" s="618"/>
      <c r="K44" s="597">
        <f t="shared" ca="1" si="39"/>
        <v>0</v>
      </c>
      <c r="L44" s="615"/>
      <c r="M44" s="597"/>
      <c r="N44" s="600"/>
      <c r="O44" s="123">
        <v>5</v>
      </c>
      <c r="P44" s="124"/>
      <c r="Q44" s="125" t="str">
        <f t="shared" si="43"/>
        <v/>
      </c>
      <c r="R44" s="126"/>
      <c r="S44" s="126"/>
      <c r="T44" s="127" t="str">
        <f t="shared" si="40"/>
        <v/>
      </c>
      <c r="U44" s="126"/>
      <c r="V44" s="126"/>
      <c r="W44" s="126"/>
      <c r="X44" s="128" t="str">
        <f t="shared" si="44"/>
        <v/>
      </c>
      <c r="Y44" s="129" t="str">
        <f t="shared" si="1"/>
        <v/>
      </c>
      <c r="Z44" s="130" t="str">
        <f t="shared" si="41"/>
        <v/>
      </c>
      <c r="AA44" s="129" t="str">
        <f t="shared" si="3"/>
        <v/>
      </c>
      <c r="AB44" s="130" t="str">
        <f t="shared" si="45"/>
        <v/>
      </c>
      <c r="AC44" s="131"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132"/>
      <c r="AE44" s="133"/>
      <c r="AF44" s="134"/>
      <c r="AG44" s="135"/>
      <c r="AH44" s="135"/>
      <c r="AI44" s="133"/>
      <c r="AJ44" s="134"/>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row>
    <row r="45" spans="1:68" ht="151.5" customHeight="1" x14ac:dyDescent="0.3">
      <c r="A45" s="604"/>
      <c r="B45" s="607"/>
      <c r="C45" s="607"/>
      <c r="D45" s="607"/>
      <c r="E45" s="610"/>
      <c r="F45" s="607"/>
      <c r="G45" s="613"/>
      <c r="H45" s="616"/>
      <c r="I45" s="598"/>
      <c r="J45" s="619"/>
      <c r="K45" s="598">
        <f t="shared" ca="1" si="39"/>
        <v>0</v>
      </c>
      <c r="L45" s="616"/>
      <c r="M45" s="598"/>
      <c r="N45" s="601"/>
      <c r="O45" s="123">
        <v>6</v>
      </c>
      <c r="P45" s="124"/>
      <c r="Q45" s="125" t="str">
        <f t="shared" si="43"/>
        <v/>
      </c>
      <c r="R45" s="126"/>
      <c r="S45" s="126"/>
      <c r="T45" s="127" t="str">
        <f t="shared" si="40"/>
        <v/>
      </c>
      <c r="U45" s="126"/>
      <c r="V45" s="126"/>
      <c r="W45" s="126"/>
      <c r="X45" s="128" t="str">
        <f t="shared" si="44"/>
        <v/>
      </c>
      <c r="Y45" s="129" t="str">
        <f t="shared" si="1"/>
        <v/>
      </c>
      <c r="Z45" s="130" t="str">
        <f t="shared" si="41"/>
        <v/>
      </c>
      <c r="AA45" s="129" t="str">
        <f>IFERROR(IF(AB45="","",IF(AB45&lt;=0.2,"Leve",IF(AB45&lt;=0.4,"Menor",IF(AB45&lt;=0.6,"Moderado",IF(AB45&lt;=0.8,"Mayor","Catastrófico"))))),"")</f>
        <v/>
      </c>
      <c r="AB45" s="130" t="str">
        <f t="shared" si="45"/>
        <v/>
      </c>
      <c r="AC45" s="131"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132"/>
      <c r="AE45" s="133"/>
      <c r="AF45" s="134"/>
      <c r="AG45" s="135"/>
      <c r="AH45" s="135"/>
      <c r="AI45" s="133"/>
      <c r="AJ45" s="134"/>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row>
    <row r="46" spans="1:68" ht="151.5" customHeight="1" x14ac:dyDescent="0.3">
      <c r="A46" s="602">
        <v>7</v>
      </c>
      <c r="B46" s="605"/>
      <c r="C46" s="605"/>
      <c r="D46" s="605"/>
      <c r="E46" s="608"/>
      <c r="F46" s="605"/>
      <c r="G46" s="611"/>
      <c r="H46" s="614" t="str">
        <f>IF(G46&lt;=0,"",IF(G46&lt;=2,"Muy Baja",IF(G46&lt;=24,"Baja",IF(G46&lt;=500,"Media",IF(G46&lt;=5000,"Alta","Muy Alta")))))</f>
        <v/>
      </c>
      <c r="I46" s="596" t="str">
        <f>IF(H46="","",IF(H46="Muy Baja",0.2,IF(H46="Baja",0.4,IF(H46="Media",0.6,IF(H46="Alta",0.8,IF(H46="Muy Alta",1,))))))</f>
        <v/>
      </c>
      <c r="J46" s="617"/>
      <c r="K46" s="596">
        <f ca="1">IF(NOT(ISERROR(MATCH(J46,'Tabla Impacto'!$B$221:$B$223,0))),'Tabla Impacto'!$F$223&amp;"Por favor no seleccionar los criterios de impacto(Afectación Económica o presupuestal y Pérdida Reputacional)",J46)</f>
        <v>0</v>
      </c>
      <c r="L46" s="614" t="str">
        <f ca="1">IF(OR(K46='Tabla Impacto'!$C$11,K46='Tabla Impacto'!$D$11),"Leve",IF(OR(K46='Tabla Impacto'!$C$12,K46='Tabla Impacto'!$D$12),"Menor",IF(OR(K46='Tabla Impacto'!$C$13,K46='Tabla Impacto'!$D$13),"Moderado",IF(OR(K46='Tabla Impacto'!$C$14,K46='Tabla Impacto'!$D$14),"Mayor",IF(OR(K46='Tabla Impacto'!$C$15,K46='Tabla Impacto'!$D$15),"Catastrófico","")))))</f>
        <v/>
      </c>
      <c r="M46" s="596" t="str">
        <f ca="1">IF(L46="","",IF(L46="Leve",0.2,IF(L46="Menor",0.4,IF(L46="Moderado",0.6,IF(L46="Mayor",0.8,IF(L46="Catastrófico",1,))))))</f>
        <v/>
      </c>
      <c r="N46" s="599"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123">
        <v>1</v>
      </c>
      <c r="P46" s="124"/>
      <c r="Q46" s="125" t="str">
        <f>IF(OR(R46="Preventivo",R46="Detectivo"),"Probabilidad",IF(R46="Correctivo","Impacto",""))</f>
        <v/>
      </c>
      <c r="R46" s="126"/>
      <c r="S46" s="126"/>
      <c r="T46" s="127" t="str">
        <f>IF(AND(R46="Preventivo",S46="Automático"),"50%",IF(AND(R46="Preventivo",S46="Manual"),"40%",IF(AND(R46="Detectivo",S46="Automático"),"40%",IF(AND(R46="Detectivo",S46="Manual"),"30%",IF(AND(R46="Correctivo",S46="Automático"),"35%",IF(AND(R46="Correctivo",S46="Manual"),"25%",""))))))</f>
        <v/>
      </c>
      <c r="U46" s="126"/>
      <c r="V46" s="126"/>
      <c r="W46" s="126"/>
      <c r="X46" s="128" t="str">
        <f>IFERROR(IF(Q46="Probabilidad",(I46-(+I46*T46)),IF(Q46="Impacto",I46,"")),"")</f>
        <v/>
      </c>
      <c r="Y46" s="129" t="str">
        <f>IFERROR(IF(X46="","",IF(X46&lt;=0.2,"Muy Baja",IF(X46&lt;=0.4,"Baja",IF(X46&lt;=0.6,"Media",IF(X46&lt;=0.8,"Alta","Muy Alta"))))),"")</f>
        <v/>
      </c>
      <c r="Z46" s="130" t="str">
        <f>+X46</f>
        <v/>
      </c>
      <c r="AA46" s="129" t="str">
        <f>IFERROR(IF(AB46="","",IF(AB46&lt;=0.2,"Leve",IF(AB46&lt;=0.4,"Menor",IF(AB46&lt;=0.6,"Moderado",IF(AB46&lt;=0.8,"Mayor","Catastrófico"))))),"")</f>
        <v/>
      </c>
      <c r="AB46" s="130" t="str">
        <f>IFERROR(IF(Q46="Impacto",(M46-(+M46*T46)),IF(Q46="Probabilidad",M46,"")),"")</f>
        <v/>
      </c>
      <c r="AC46" s="13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132"/>
      <c r="AE46" s="133"/>
      <c r="AF46" s="134"/>
      <c r="AG46" s="135"/>
      <c r="AH46" s="135"/>
      <c r="AI46" s="133"/>
      <c r="AJ46" s="134"/>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row>
    <row r="47" spans="1:68" ht="151.5" customHeight="1" x14ac:dyDescent="0.3">
      <c r="A47" s="603"/>
      <c r="B47" s="606"/>
      <c r="C47" s="606"/>
      <c r="D47" s="606"/>
      <c r="E47" s="609"/>
      <c r="F47" s="606"/>
      <c r="G47" s="612"/>
      <c r="H47" s="615"/>
      <c r="I47" s="597"/>
      <c r="J47" s="618"/>
      <c r="K47" s="597">
        <f t="shared" ref="K47:K51" ca="1" si="47">IF(NOT(ISERROR(MATCH(J47,_xlfn.ANCHORARRAY(E58),0))),I60&amp;"Por favor no seleccionar los criterios de impacto",J47)</f>
        <v>0</v>
      </c>
      <c r="L47" s="615"/>
      <c r="M47" s="597"/>
      <c r="N47" s="600"/>
      <c r="O47" s="123">
        <v>2</v>
      </c>
      <c r="P47" s="124"/>
      <c r="Q47" s="125" t="str">
        <f>IF(OR(R47="Preventivo",R47="Detectivo"),"Probabilidad",IF(R47="Correctivo","Impacto",""))</f>
        <v/>
      </c>
      <c r="R47" s="126"/>
      <c r="S47" s="126"/>
      <c r="T47" s="127" t="str">
        <f t="shared" ref="T47:T51" si="48">IF(AND(R47="Preventivo",S47="Automático"),"50%",IF(AND(R47="Preventivo",S47="Manual"),"40%",IF(AND(R47="Detectivo",S47="Automático"),"40%",IF(AND(R47="Detectivo",S47="Manual"),"30%",IF(AND(R47="Correctivo",S47="Automático"),"35%",IF(AND(R47="Correctivo",S47="Manual"),"25%",""))))))</f>
        <v/>
      </c>
      <c r="U47" s="126"/>
      <c r="V47" s="126"/>
      <c r="W47" s="126"/>
      <c r="X47" s="128" t="str">
        <f>IFERROR(IF(AND(Q46="Probabilidad",Q47="Probabilidad"),(Z46-(+Z46*T47)),IF(Q47="Probabilidad",(I46-(+I46*T47)),IF(Q47="Impacto",Z46,""))),"")</f>
        <v/>
      </c>
      <c r="Y47" s="129" t="str">
        <f t="shared" si="1"/>
        <v/>
      </c>
      <c r="Z47" s="130" t="str">
        <f t="shared" ref="Z47:Z51" si="49">+X47</f>
        <v/>
      </c>
      <c r="AA47" s="129" t="str">
        <f t="shared" si="3"/>
        <v/>
      </c>
      <c r="AB47" s="130" t="str">
        <f>IFERROR(IF(AND(Q46="Impacto",Q47="Impacto"),(AB40-(+AB40*T47)),IF(Q47="Impacto",($M$46-(+$M$46*T47)),IF(Q47="Probabilidad",AB40,""))),"")</f>
        <v/>
      </c>
      <c r="AC47" s="131"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132"/>
      <c r="AE47" s="133"/>
      <c r="AF47" s="134"/>
      <c r="AG47" s="135"/>
      <c r="AH47" s="135"/>
      <c r="AI47" s="133"/>
      <c r="AJ47" s="134"/>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row>
    <row r="48" spans="1:68" ht="151.5" customHeight="1" x14ac:dyDescent="0.3">
      <c r="A48" s="603"/>
      <c r="B48" s="606"/>
      <c r="C48" s="606"/>
      <c r="D48" s="606"/>
      <c r="E48" s="609"/>
      <c r="F48" s="606"/>
      <c r="G48" s="612"/>
      <c r="H48" s="615"/>
      <c r="I48" s="597"/>
      <c r="J48" s="618"/>
      <c r="K48" s="597">
        <f t="shared" ca="1" si="47"/>
        <v>0</v>
      </c>
      <c r="L48" s="615"/>
      <c r="M48" s="597"/>
      <c r="N48" s="600"/>
      <c r="O48" s="123">
        <v>3</v>
      </c>
      <c r="P48" s="136"/>
      <c r="Q48" s="125" t="str">
        <f>IF(OR(R48="Preventivo",R48="Detectivo"),"Probabilidad",IF(R48="Correctivo","Impacto",""))</f>
        <v/>
      </c>
      <c r="R48" s="126"/>
      <c r="S48" s="126"/>
      <c r="T48" s="127" t="str">
        <f t="shared" si="48"/>
        <v/>
      </c>
      <c r="U48" s="126"/>
      <c r="V48" s="126"/>
      <c r="W48" s="126"/>
      <c r="X48" s="128" t="str">
        <f>IFERROR(IF(AND(Q47="Probabilidad",Q48="Probabilidad"),(Z47-(+Z47*T48)),IF(AND(Q47="Impacto",Q48="Probabilidad"),(Z46-(+Z46*T48)),IF(Q48="Impacto",Z47,""))),"")</f>
        <v/>
      </c>
      <c r="Y48" s="129" t="str">
        <f t="shared" si="1"/>
        <v/>
      </c>
      <c r="Z48" s="130" t="str">
        <f t="shared" si="49"/>
        <v/>
      </c>
      <c r="AA48" s="129" t="str">
        <f t="shared" si="3"/>
        <v/>
      </c>
      <c r="AB48" s="130" t="str">
        <f>IFERROR(IF(AND(Q47="Impacto",Q48="Impacto"),(AB47-(+AB47*T48)),IF(AND(Q47="Probabilidad",Q48="Impacto"),(AB46-(+AB46*T48)),IF(Q48="Probabilidad",AB47,""))),"")</f>
        <v/>
      </c>
      <c r="AC48" s="131" t="str">
        <f t="shared" si="50"/>
        <v/>
      </c>
      <c r="AD48" s="132"/>
      <c r="AE48" s="133"/>
      <c r="AF48" s="134"/>
      <c r="AG48" s="135"/>
      <c r="AH48" s="135"/>
      <c r="AI48" s="133"/>
      <c r="AJ48" s="134"/>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row>
    <row r="49" spans="1:68" ht="151.5" customHeight="1" x14ac:dyDescent="0.3">
      <c r="A49" s="603"/>
      <c r="B49" s="606"/>
      <c r="C49" s="606"/>
      <c r="D49" s="606"/>
      <c r="E49" s="609"/>
      <c r="F49" s="606"/>
      <c r="G49" s="612"/>
      <c r="H49" s="615"/>
      <c r="I49" s="597"/>
      <c r="J49" s="618"/>
      <c r="K49" s="597">
        <f t="shared" ca="1" si="47"/>
        <v>0</v>
      </c>
      <c r="L49" s="615"/>
      <c r="M49" s="597"/>
      <c r="N49" s="600"/>
      <c r="O49" s="123">
        <v>4</v>
      </c>
      <c r="P49" s="124"/>
      <c r="Q49" s="125" t="str">
        <f t="shared" ref="Q49:Q51" si="51">IF(OR(R49="Preventivo",R49="Detectivo"),"Probabilidad",IF(R49="Correctivo","Impacto",""))</f>
        <v/>
      </c>
      <c r="R49" s="126"/>
      <c r="S49" s="126"/>
      <c r="T49" s="127" t="str">
        <f t="shared" si="48"/>
        <v/>
      </c>
      <c r="U49" s="126"/>
      <c r="V49" s="126"/>
      <c r="W49" s="126"/>
      <c r="X49" s="128" t="str">
        <f t="shared" ref="X49:X51" si="52">IFERROR(IF(AND(Q48="Probabilidad",Q49="Probabilidad"),(Z48-(+Z48*T49)),IF(AND(Q48="Impacto",Q49="Probabilidad"),(Z47-(+Z47*T49)),IF(Q49="Impacto",Z48,""))),"")</f>
        <v/>
      </c>
      <c r="Y49" s="129" t="str">
        <f t="shared" si="1"/>
        <v/>
      </c>
      <c r="Z49" s="130" t="str">
        <f t="shared" si="49"/>
        <v/>
      </c>
      <c r="AA49" s="129" t="str">
        <f t="shared" si="3"/>
        <v/>
      </c>
      <c r="AB49" s="130" t="str">
        <f t="shared" ref="AB49:AB51" si="53">IFERROR(IF(AND(Q48="Impacto",Q49="Impacto"),(AB48-(+AB48*T49)),IF(AND(Q48="Probabilidad",Q49="Impacto"),(AB47-(+AB47*T49)),IF(Q49="Probabilidad",AB48,""))),"")</f>
        <v/>
      </c>
      <c r="AC49" s="13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132"/>
      <c r="AE49" s="133"/>
      <c r="AF49" s="134"/>
      <c r="AG49" s="135"/>
      <c r="AH49" s="135"/>
      <c r="AI49" s="133"/>
      <c r="AJ49" s="134"/>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row>
    <row r="50" spans="1:68" ht="151.5" customHeight="1" x14ac:dyDescent="0.3">
      <c r="A50" s="603"/>
      <c r="B50" s="606"/>
      <c r="C50" s="606"/>
      <c r="D50" s="606"/>
      <c r="E50" s="609"/>
      <c r="F50" s="606"/>
      <c r="G50" s="612"/>
      <c r="H50" s="615"/>
      <c r="I50" s="597"/>
      <c r="J50" s="618"/>
      <c r="K50" s="597">
        <f t="shared" ca="1" si="47"/>
        <v>0</v>
      </c>
      <c r="L50" s="615"/>
      <c r="M50" s="597"/>
      <c r="N50" s="600"/>
      <c r="O50" s="123">
        <v>5</v>
      </c>
      <c r="P50" s="124"/>
      <c r="Q50" s="125" t="str">
        <f t="shared" si="51"/>
        <v/>
      </c>
      <c r="R50" s="126"/>
      <c r="S50" s="126"/>
      <c r="T50" s="127" t="str">
        <f t="shared" si="48"/>
        <v/>
      </c>
      <c r="U50" s="126"/>
      <c r="V50" s="126"/>
      <c r="W50" s="126"/>
      <c r="X50" s="128" t="str">
        <f t="shared" si="52"/>
        <v/>
      </c>
      <c r="Y50" s="129" t="str">
        <f t="shared" si="1"/>
        <v/>
      </c>
      <c r="Z50" s="130" t="str">
        <f t="shared" si="49"/>
        <v/>
      </c>
      <c r="AA50" s="129" t="str">
        <f t="shared" si="3"/>
        <v/>
      </c>
      <c r="AB50" s="130" t="str">
        <f t="shared" si="53"/>
        <v/>
      </c>
      <c r="AC50" s="131"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132"/>
      <c r="AE50" s="133"/>
      <c r="AF50" s="134"/>
      <c r="AG50" s="135"/>
      <c r="AH50" s="135"/>
      <c r="AI50" s="133"/>
      <c r="AJ50" s="134"/>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row>
    <row r="51" spans="1:68" ht="151.5" customHeight="1" x14ac:dyDescent="0.3">
      <c r="A51" s="604"/>
      <c r="B51" s="607"/>
      <c r="C51" s="607"/>
      <c r="D51" s="607"/>
      <c r="E51" s="610"/>
      <c r="F51" s="607"/>
      <c r="G51" s="613"/>
      <c r="H51" s="616"/>
      <c r="I51" s="598"/>
      <c r="J51" s="619"/>
      <c r="K51" s="598">
        <f t="shared" ca="1" si="47"/>
        <v>0</v>
      </c>
      <c r="L51" s="616"/>
      <c r="M51" s="598"/>
      <c r="N51" s="601"/>
      <c r="O51" s="123">
        <v>6</v>
      </c>
      <c r="P51" s="124"/>
      <c r="Q51" s="125" t="str">
        <f t="shared" si="51"/>
        <v/>
      </c>
      <c r="R51" s="126"/>
      <c r="S51" s="126"/>
      <c r="T51" s="127" t="str">
        <f t="shared" si="48"/>
        <v/>
      </c>
      <c r="U51" s="126"/>
      <c r="V51" s="126"/>
      <c r="W51" s="126"/>
      <c r="X51" s="128" t="str">
        <f t="shared" si="52"/>
        <v/>
      </c>
      <c r="Y51" s="129" t="str">
        <f t="shared" si="1"/>
        <v/>
      </c>
      <c r="Z51" s="130" t="str">
        <f t="shared" si="49"/>
        <v/>
      </c>
      <c r="AA51" s="129" t="str">
        <f t="shared" si="3"/>
        <v/>
      </c>
      <c r="AB51" s="130" t="str">
        <f t="shared" si="53"/>
        <v/>
      </c>
      <c r="AC51" s="131" t="str">
        <f t="shared" si="54"/>
        <v/>
      </c>
      <c r="AD51" s="132"/>
      <c r="AE51" s="133"/>
      <c r="AF51" s="134"/>
      <c r="AG51" s="135"/>
      <c r="AH51" s="135"/>
      <c r="AI51" s="133"/>
      <c r="AJ51" s="134"/>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row>
    <row r="52" spans="1:68" ht="151.5" customHeight="1" x14ac:dyDescent="0.3">
      <c r="A52" s="602">
        <v>8</v>
      </c>
      <c r="B52" s="605"/>
      <c r="C52" s="605"/>
      <c r="D52" s="605"/>
      <c r="E52" s="608"/>
      <c r="F52" s="605"/>
      <c r="G52" s="611"/>
      <c r="H52" s="614" t="str">
        <f>IF(G52&lt;=0,"",IF(G52&lt;=2,"Muy Baja",IF(G52&lt;=24,"Baja",IF(G52&lt;=500,"Media",IF(G52&lt;=5000,"Alta","Muy Alta")))))</f>
        <v/>
      </c>
      <c r="I52" s="596" t="str">
        <f>IF(H52="","",IF(H52="Muy Baja",0.2,IF(H52="Baja",0.4,IF(H52="Media",0.6,IF(H52="Alta",0.8,IF(H52="Muy Alta",1,))))))</f>
        <v/>
      </c>
      <c r="J52" s="617"/>
      <c r="K52" s="596">
        <f ca="1">IF(NOT(ISERROR(MATCH(J52,'Tabla Impacto'!$B$221:$B$223,0))),'Tabla Impacto'!$F$223&amp;"Por favor no seleccionar los criterios de impacto(Afectación Económica o presupuestal y Pérdida Reputacional)",J52)</f>
        <v>0</v>
      </c>
      <c r="L52" s="614" t="str">
        <f ca="1">IF(OR(K52='Tabla Impacto'!$C$11,K52='Tabla Impacto'!$D$11),"Leve",IF(OR(K52='Tabla Impacto'!$C$12,K52='Tabla Impacto'!$D$12),"Menor",IF(OR(K52='Tabla Impacto'!$C$13,K52='Tabla Impacto'!$D$13),"Moderado",IF(OR(K52='Tabla Impacto'!$C$14,K52='Tabla Impacto'!$D$14),"Mayor",IF(OR(K52='Tabla Impacto'!$C$15,K52='Tabla Impacto'!$D$15),"Catastrófico","")))))</f>
        <v/>
      </c>
      <c r="M52" s="596" t="str">
        <f ca="1">IF(L52="","",IF(L52="Leve",0.2,IF(L52="Menor",0.4,IF(L52="Moderado",0.6,IF(L52="Mayor",0.8,IF(L52="Catastrófico",1,))))))</f>
        <v/>
      </c>
      <c r="N52" s="599"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123">
        <v>1</v>
      </c>
      <c r="P52" s="124"/>
      <c r="Q52" s="125" t="str">
        <f>IF(OR(R52="Preventivo",R52="Detectivo"),"Probabilidad",IF(R52="Correctivo","Impacto",""))</f>
        <v/>
      </c>
      <c r="R52" s="126"/>
      <c r="S52" s="126"/>
      <c r="T52" s="127" t="str">
        <f>IF(AND(R52="Preventivo",S52="Automático"),"50%",IF(AND(R52="Preventivo",S52="Manual"),"40%",IF(AND(R52="Detectivo",S52="Automático"),"40%",IF(AND(R52="Detectivo",S52="Manual"),"30%",IF(AND(R52="Correctivo",S52="Automático"),"35%",IF(AND(R52="Correctivo",S52="Manual"),"25%",""))))))</f>
        <v/>
      </c>
      <c r="U52" s="126"/>
      <c r="V52" s="126"/>
      <c r="W52" s="126"/>
      <c r="X52" s="128" t="str">
        <f>IFERROR(IF(Q52="Probabilidad",(I52-(+I52*T52)),IF(Q52="Impacto",I52,"")),"")</f>
        <v/>
      </c>
      <c r="Y52" s="129" t="str">
        <f>IFERROR(IF(X52="","",IF(X52&lt;=0.2,"Muy Baja",IF(X52&lt;=0.4,"Baja",IF(X52&lt;=0.6,"Media",IF(X52&lt;=0.8,"Alta","Muy Alta"))))),"")</f>
        <v/>
      </c>
      <c r="Z52" s="130" t="str">
        <f>+X52</f>
        <v/>
      </c>
      <c r="AA52" s="129" t="str">
        <f>IFERROR(IF(AB52="","",IF(AB52&lt;=0.2,"Leve",IF(AB52&lt;=0.4,"Menor",IF(AB52&lt;=0.6,"Moderado",IF(AB52&lt;=0.8,"Mayor","Catastrófico"))))),"")</f>
        <v/>
      </c>
      <c r="AB52" s="130" t="str">
        <f>IFERROR(IF(Q52="Impacto",(M52-(+M52*T52)),IF(Q52="Probabilidad",M52,"")),"")</f>
        <v/>
      </c>
      <c r="AC52" s="13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132"/>
      <c r="AE52" s="133"/>
      <c r="AF52" s="134"/>
      <c r="AG52" s="135"/>
      <c r="AH52" s="135"/>
      <c r="AI52" s="133"/>
      <c r="AJ52" s="134"/>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row>
    <row r="53" spans="1:68" ht="151.5" customHeight="1" x14ac:dyDescent="0.3">
      <c r="A53" s="603"/>
      <c r="B53" s="606"/>
      <c r="C53" s="606"/>
      <c r="D53" s="606"/>
      <c r="E53" s="609"/>
      <c r="F53" s="606"/>
      <c r="G53" s="612"/>
      <c r="H53" s="615"/>
      <c r="I53" s="597"/>
      <c r="J53" s="618"/>
      <c r="K53" s="597">
        <f ca="1">IF(NOT(ISERROR(MATCH(J53,_xlfn.ANCHORARRAY(E64),0))),I66&amp;"Por favor no seleccionar los criterios de impacto",J53)</f>
        <v>0</v>
      </c>
      <c r="L53" s="615"/>
      <c r="M53" s="597"/>
      <c r="N53" s="600"/>
      <c r="O53" s="123">
        <v>2</v>
      </c>
      <c r="P53" s="124"/>
      <c r="Q53" s="125" t="str">
        <f>IF(OR(R53="Preventivo",R53="Detectivo"),"Probabilidad",IF(R53="Correctivo","Impacto",""))</f>
        <v/>
      </c>
      <c r="R53" s="126"/>
      <c r="S53" s="126"/>
      <c r="T53" s="127" t="str">
        <f t="shared" ref="T53:T57" si="55">IF(AND(R53="Preventivo",S53="Automático"),"50%",IF(AND(R53="Preventivo",S53="Manual"),"40%",IF(AND(R53="Detectivo",S53="Automático"),"40%",IF(AND(R53="Detectivo",S53="Manual"),"30%",IF(AND(R53="Correctivo",S53="Automático"),"35%",IF(AND(R53="Correctivo",S53="Manual"),"25%",""))))))</f>
        <v/>
      </c>
      <c r="U53" s="126"/>
      <c r="V53" s="126"/>
      <c r="W53" s="126"/>
      <c r="X53" s="128" t="str">
        <f>IFERROR(IF(AND(Q52="Probabilidad",Q53="Probabilidad"),(Z52-(+Z52*T53)),IF(Q53="Probabilidad",(I52-(+I52*T53)),IF(Q53="Impacto",Z52,""))),"")</f>
        <v/>
      </c>
      <c r="Y53" s="129" t="str">
        <f t="shared" si="1"/>
        <v/>
      </c>
      <c r="Z53" s="130" t="str">
        <f t="shared" ref="Z53:Z57" si="56">+X53</f>
        <v/>
      </c>
      <c r="AA53" s="129" t="str">
        <f t="shared" si="3"/>
        <v/>
      </c>
      <c r="AB53" s="130" t="str">
        <f>IFERROR(IF(AND(Q52="Impacto",Q53="Impacto"),(AB46-(+AB46*T53)),IF(Q53="Impacto",($M$52-(+$M$52*T53)),IF(Q53="Probabilidad",AB46,""))),"")</f>
        <v/>
      </c>
      <c r="AC53" s="131"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132"/>
      <c r="AE53" s="133"/>
      <c r="AF53" s="134"/>
      <c r="AG53" s="135"/>
      <c r="AH53" s="135"/>
      <c r="AI53" s="133"/>
      <c r="AJ53" s="134"/>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row>
    <row r="54" spans="1:68" ht="151.5" customHeight="1" x14ac:dyDescent="0.3">
      <c r="A54" s="603"/>
      <c r="B54" s="606"/>
      <c r="C54" s="606"/>
      <c r="D54" s="606"/>
      <c r="E54" s="609"/>
      <c r="F54" s="606"/>
      <c r="G54" s="612"/>
      <c r="H54" s="615"/>
      <c r="I54" s="597"/>
      <c r="J54" s="618"/>
      <c r="K54" s="597">
        <f ca="1">IF(NOT(ISERROR(MATCH(J54,_xlfn.ANCHORARRAY(E65),0))),I67&amp;"Por favor no seleccionar los criterios de impacto",J54)</f>
        <v>0</v>
      </c>
      <c r="L54" s="615"/>
      <c r="M54" s="597"/>
      <c r="N54" s="600"/>
      <c r="O54" s="123">
        <v>3</v>
      </c>
      <c r="P54" s="136"/>
      <c r="Q54" s="125" t="str">
        <f>IF(OR(R54="Preventivo",R54="Detectivo"),"Probabilidad",IF(R54="Correctivo","Impacto",""))</f>
        <v/>
      </c>
      <c r="R54" s="126"/>
      <c r="S54" s="126"/>
      <c r="T54" s="127" t="str">
        <f t="shared" si="55"/>
        <v/>
      </c>
      <c r="U54" s="126"/>
      <c r="V54" s="126"/>
      <c r="W54" s="126"/>
      <c r="X54" s="128" t="str">
        <f>IFERROR(IF(AND(Q53="Probabilidad",Q54="Probabilidad"),(Z53-(+Z53*T54)),IF(AND(Q53="Impacto",Q54="Probabilidad"),(Z52-(+Z52*T54)),IF(Q54="Impacto",Z53,""))),"")</f>
        <v/>
      </c>
      <c r="Y54" s="129" t="str">
        <f t="shared" si="1"/>
        <v/>
      </c>
      <c r="Z54" s="130" t="str">
        <f t="shared" si="56"/>
        <v/>
      </c>
      <c r="AA54" s="129" t="str">
        <f t="shared" si="3"/>
        <v/>
      </c>
      <c r="AB54" s="130" t="str">
        <f>IFERROR(IF(AND(Q53="Impacto",Q54="Impacto"),(AB53-(+AB53*T54)),IF(AND(Q53="Probabilidad",Q54="Impacto"),(AB52-(+AB52*T54)),IF(Q54="Probabilidad",AB53,""))),"")</f>
        <v/>
      </c>
      <c r="AC54" s="131" t="str">
        <f t="shared" si="57"/>
        <v/>
      </c>
      <c r="AD54" s="132"/>
      <c r="AE54" s="133"/>
      <c r="AF54" s="134"/>
      <c r="AG54" s="135"/>
      <c r="AH54" s="135"/>
      <c r="AI54" s="133"/>
      <c r="AJ54" s="134"/>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row>
    <row r="55" spans="1:68" ht="151.5" customHeight="1" x14ac:dyDescent="0.3">
      <c r="A55" s="603"/>
      <c r="B55" s="606"/>
      <c r="C55" s="606"/>
      <c r="D55" s="606"/>
      <c r="E55" s="609"/>
      <c r="F55" s="606"/>
      <c r="G55" s="612"/>
      <c r="H55" s="615"/>
      <c r="I55" s="597"/>
      <c r="J55" s="618"/>
      <c r="K55" s="597">
        <f ca="1">IF(NOT(ISERROR(MATCH(J55,_xlfn.ANCHORARRAY(E66),0))),I68&amp;"Por favor no seleccionar los criterios de impacto",J55)</f>
        <v>0</v>
      </c>
      <c r="L55" s="615"/>
      <c r="M55" s="597"/>
      <c r="N55" s="600"/>
      <c r="O55" s="123">
        <v>4</v>
      </c>
      <c r="P55" s="124"/>
      <c r="Q55" s="125" t="str">
        <f t="shared" ref="Q55:Q57" si="58">IF(OR(R55="Preventivo",R55="Detectivo"),"Probabilidad",IF(R55="Correctivo","Impacto",""))</f>
        <v/>
      </c>
      <c r="R55" s="126"/>
      <c r="S55" s="126"/>
      <c r="T55" s="127" t="str">
        <f t="shared" si="55"/>
        <v/>
      </c>
      <c r="U55" s="126"/>
      <c r="V55" s="126"/>
      <c r="W55" s="126"/>
      <c r="X55" s="128" t="str">
        <f t="shared" ref="X55:X57" si="59">IFERROR(IF(AND(Q54="Probabilidad",Q55="Probabilidad"),(Z54-(+Z54*T55)),IF(AND(Q54="Impacto",Q55="Probabilidad"),(Z53-(+Z53*T55)),IF(Q55="Impacto",Z54,""))),"")</f>
        <v/>
      </c>
      <c r="Y55" s="129" t="str">
        <f t="shared" si="1"/>
        <v/>
      </c>
      <c r="Z55" s="130" t="str">
        <f t="shared" si="56"/>
        <v/>
      </c>
      <c r="AA55" s="129" t="str">
        <f t="shared" si="3"/>
        <v/>
      </c>
      <c r="AB55" s="130" t="str">
        <f t="shared" ref="AB55:AB57" si="60">IFERROR(IF(AND(Q54="Impacto",Q55="Impacto"),(AB54-(+AB54*T55)),IF(AND(Q54="Probabilidad",Q55="Impacto"),(AB53-(+AB53*T55)),IF(Q55="Probabilidad",AB54,""))),"")</f>
        <v/>
      </c>
      <c r="AC55" s="131"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132"/>
      <c r="AE55" s="133"/>
      <c r="AF55" s="134"/>
      <c r="AG55" s="135"/>
      <c r="AH55" s="135"/>
      <c r="AI55" s="133"/>
      <c r="AJ55" s="134"/>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row>
    <row r="56" spans="1:68" ht="151.5" customHeight="1" x14ac:dyDescent="0.3">
      <c r="A56" s="603"/>
      <c r="B56" s="606"/>
      <c r="C56" s="606"/>
      <c r="D56" s="606"/>
      <c r="E56" s="609"/>
      <c r="F56" s="606"/>
      <c r="G56" s="612"/>
      <c r="H56" s="615"/>
      <c r="I56" s="597"/>
      <c r="J56" s="618"/>
      <c r="K56" s="597">
        <f ca="1">IF(NOT(ISERROR(MATCH(J56,_xlfn.ANCHORARRAY(E67),0))),I69&amp;"Por favor no seleccionar los criterios de impacto",J56)</f>
        <v>0</v>
      </c>
      <c r="L56" s="615"/>
      <c r="M56" s="597"/>
      <c r="N56" s="600"/>
      <c r="O56" s="123">
        <v>5</v>
      </c>
      <c r="P56" s="124"/>
      <c r="Q56" s="125" t="str">
        <f t="shared" si="58"/>
        <v/>
      </c>
      <c r="R56" s="126"/>
      <c r="S56" s="126"/>
      <c r="T56" s="127" t="str">
        <f t="shared" si="55"/>
        <v/>
      </c>
      <c r="U56" s="126"/>
      <c r="V56" s="126"/>
      <c r="W56" s="126"/>
      <c r="X56" s="128" t="str">
        <f t="shared" si="59"/>
        <v/>
      </c>
      <c r="Y56" s="129" t="str">
        <f t="shared" si="1"/>
        <v/>
      </c>
      <c r="Z56" s="130" t="str">
        <f t="shared" si="56"/>
        <v/>
      </c>
      <c r="AA56" s="129" t="str">
        <f t="shared" si="3"/>
        <v/>
      </c>
      <c r="AB56" s="130" t="str">
        <f t="shared" si="60"/>
        <v/>
      </c>
      <c r="AC56" s="131"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132"/>
      <c r="AE56" s="133"/>
      <c r="AF56" s="134"/>
      <c r="AG56" s="135"/>
      <c r="AH56" s="135"/>
      <c r="AI56" s="133"/>
      <c r="AJ56" s="134"/>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row>
    <row r="57" spans="1:68" ht="151.5" customHeight="1" x14ac:dyDescent="0.3">
      <c r="A57" s="604"/>
      <c r="B57" s="607"/>
      <c r="C57" s="607"/>
      <c r="D57" s="607"/>
      <c r="E57" s="610"/>
      <c r="F57" s="607"/>
      <c r="G57" s="613"/>
      <c r="H57" s="616"/>
      <c r="I57" s="598"/>
      <c r="J57" s="619"/>
      <c r="K57" s="598">
        <f ca="1">IF(NOT(ISERROR(MATCH(J57,_xlfn.ANCHORARRAY(E68),0))),I70&amp;"Por favor no seleccionar los criterios de impacto",J57)</f>
        <v>0</v>
      </c>
      <c r="L57" s="616"/>
      <c r="M57" s="598"/>
      <c r="N57" s="601"/>
      <c r="O57" s="123">
        <v>6</v>
      </c>
      <c r="P57" s="124"/>
      <c r="Q57" s="125" t="str">
        <f t="shared" si="58"/>
        <v/>
      </c>
      <c r="R57" s="126"/>
      <c r="S57" s="126"/>
      <c r="T57" s="127" t="str">
        <f t="shared" si="55"/>
        <v/>
      </c>
      <c r="U57" s="126"/>
      <c r="V57" s="126"/>
      <c r="W57" s="126"/>
      <c r="X57" s="128" t="str">
        <f t="shared" si="59"/>
        <v/>
      </c>
      <c r="Y57" s="129" t="str">
        <f t="shared" si="1"/>
        <v/>
      </c>
      <c r="Z57" s="130" t="str">
        <f t="shared" si="56"/>
        <v/>
      </c>
      <c r="AA57" s="129" t="str">
        <f t="shared" si="3"/>
        <v/>
      </c>
      <c r="AB57" s="130" t="str">
        <f t="shared" si="60"/>
        <v/>
      </c>
      <c r="AC57" s="131" t="str">
        <f t="shared" si="61"/>
        <v/>
      </c>
      <c r="AD57" s="132"/>
      <c r="AE57" s="133"/>
      <c r="AF57" s="134"/>
      <c r="AG57" s="135"/>
      <c r="AH57" s="135"/>
      <c r="AI57" s="133"/>
      <c r="AJ57" s="134"/>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row>
    <row r="58" spans="1:68" ht="151.5" customHeight="1" x14ac:dyDescent="0.3">
      <c r="A58" s="602">
        <v>9</v>
      </c>
      <c r="B58" s="605"/>
      <c r="C58" s="605"/>
      <c r="D58" s="605"/>
      <c r="E58" s="608"/>
      <c r="F58" s="605"/>
      <c r="G58" s="611"/>
      <c r="H58" s="614" t="str">
        <f>IF(G58&lt;=0,"",IF(G58&lt;=2,"Muy Baja",IF(G58&lt;=24,"Baja",IF(G58&lt;=500,"Media",IF(G58&lt;=5000,"Alta","Muy Alta")))))</f>
        <v/>
      </c>
      <c r="I58" s="596" t="str">
        <f>IF(H58="","",IF(H58="Muy Baja",0.2,IF(H58="Baja",0.4,IF(H58="Media",0.6,IF(H58="Alta",0.8,IF(H58="Muy Alta",1,))))))</f>
        <v/>
      </c>
      <c r="J58" s="617"/>
      <c r="K58" s="596">
        <f ca="1">IF(NOT(ISERROR(MATCH(J58,'Tabla Impacto'!$B$221:$B$223,0))),'Tabla Impacto'!$F$223&amp;"Por favor no seleccionar los criterios de impacto(Afectación Económica o presupuestal y Pérdida Reputacional)",J58)</f>
        <v>0</v>
      </c>
      <c r="L58" s="614" t="str">
        <f ca="1">IF(OR(K58='Tabla Impacto'!$C$11,K58='Tabla Impacto'!$D$11),"Leve",IF(OR(K58='Tabla Impacto'!$C$12,K58='Tabla Impacto'!$D$12),"Menor",IF(OR(K58='Tabla Impacto'!$C$13,K58='Tabla Impacto'!$D$13),"Moderado",IF(OR(K58='Tabla Impacto'!$C$14,K58='Tabla Impacto'!$D$14),"Mayor",IF(OR(K58='Tabla Impacto'!$C$15,K58='Tabla Impacto'!$D$15),"Catastrófico","")))))</f>
        <v/>
      </c>
      <c r="M58" s="596" t="str">
        <f ca="1">IF(L58="","",IF(L58="Leve",0.2,IF(L58="Menor",0.4,IF(L58="Moderado",0.6,IF(L58="Mayor",0.8,IF(L58="Catastrófico",1,))))))</f>
        <v/>
      </c>
      <c r="N58" s="599"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123">
        <v>1</v>
      </c>
      <c r="P58" s="124"/>
      <c r="Q58" s="125" t="str">
        <f>IF(OR(R58="Preventivo",R58="Detectivo"),"Probabilidad",IF(R58="Correctivo","Impacto",""))</f>
        <v/>
      </c>
      <c r="R58" s="126"/>
      <c r="S58" s="126"/>
      <c r="T58" s="127" t="str">
        <f>IF(AND(R58="Preventivo",S58="Automático"),"50%",IF(AND(R58="Preventivo",S58="Manual"),"40%",IF(AND(R58="Detectivo",S58="Automático"),"40%",IF(AND(R58="Detectivo",S58="Manual"),"30%",IF(AND(R58="Correctivo",S58="Automático"),"35%",IF(AND(R58="Correctivo",S58="Manual"),"25%",""))))))</f>
        <v/>
      </c>
      <c r="U58" s="126"/>
      <c r="V58" s="126"/>
      <c r="W58" s="126"/>
      <c r="X58" s="128" t="str">
        <f>IFERROR(IF(Q58="Probabilidad",(I58-(+I58*T58)),IF(Q58="Impacto",I58,"")),"")</f>
        <v/>
      </c>
      <c r="Y58" s="129" t="str">
        <f>IFERROR(IF(X58="","",IF(X58&lt;=0.2,"Muy Baja",IF(X58&lt;=0.4,"Baja",IF(X58&lt;=0.6,"Media",IF(X58&lt;=0.8,"Alta","Muy Alta"))))),"")</f>
        <v/>
      </c>
      <c r="Z58" s="130" t="str">
        <f>+X58</f>
        <v/>
      </c>
      <c r="AA58" s="129" t="str">
        <f>IFERROR(IF(AB58="","",IF(AB58&lt;=0.2,"Leve",IF(AB58&lt;=0.4,"Menor",IF(AB58&lt;=0.6,"Moderado",IF(AB58&lt;=0.8,"Mayor","Catastrófico"))))),"")</f>
        <v/>
      </c>
      <c r="AB58" s="130" t="str">
        <f>IFERROR(IF(Q58="Impacto",(M58-(+M58*T58)),IF(Q58="Probabilidad",M58,"")),"")</f>
        <v/>
      </c>
      <c r="AC58" s="131"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132"/>
      <c r="AE58" s="133"/>
      <c r="AF58" s="134"/>
      <c r="AG58" s="135"/>
      <c r="AH58" s="135"/>
      <c r="AI58" s="133"/>
      <c r="AJ58" s="134"/>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row>
    <row r="59" spans="1:68" ht="151.5" customHeight="1" x14ac:dyDescent="0.3">
      <c r="A59" s="603"/>
      <c r="B59" s="606"/>
      <c r="C59" s="606"/>
      <c r="D59" s="606"/>
      <c r="E59" s="609"/>
      <c r="F59" s="606"/>
      <c r="G59" s="612"/>
      <c r="H59" s="615"/>
      <c r="I59" s="597"/>
      <c r="J59" s="618"/>
      <c r="K59" s="597">
        <f ca="1">IF(NOT(ISERROR(MATCH(J59,_xlfn.ANCHORARRAY(E70),0))),I72&amp;"Por favor no seleccionar los criterios de impacto",J59)</f>
        <v>0</v>
      </c>
      <c r="L59" s="615"/>
      <c r="M59" s="597"/>
      <c r="N59" s="600"/>
      <c r="O59" s="123">
        <v>2</v>
      </c>
      <c r="P59" s="124"/>
      <c r="Q59" s="125" t="str">
        <f>IF(OR(R59="Preventivo",R59="Detectivo"),"Probabilidad",IF(R59="Correctivo","Impacto",""))</f>
        <v/>
      </c>
      <c r="R59" s="126"/>
      <c r="S59" s="126"/>
      <c r="T59" s="127" t="str">
        <f t="shared" ref="T59:T63" si="62">IF(AND(R59="Preventivo",S59="Automático"),"50%",IF(AND(R59="Preventivo",S59="Manual"),"40%",IF(AND(R59="Detectivo",S59="Automático"),"40%",IF(AND(R59="Detectivo",S59="Manual"),"30%",IF(AND(R59="Correctivo",S59="Automático"),"35%",IF(AND(R59="Correctivo",S59="Manual"),"25%",""))))))</f>
        <v/>
      </c>
      <c r="U59" s="126"/>
      <c r="V59" s="126"/>
      <c r="W59" s="126"/>
      <c r="X59" s="128" t="str">
        <f>IFERROR(IF(AND(Q58="Probabilidad",Q59="Probabilidad"),(Z58-(+Z58*T59)),IF(Q59="Probabilidad",(I58-(+I58*T59)),IF(Q59="Impacto",Z58,""))),"")</f>
        <v/>
      </c>
      <c r="Y59" s="129" t="str">
        <f t="shared" si="1"/>
        <v/>
      </c>
      <c r="Z59" s="130" t="str">
        <f t="shared" ref="Z59:Z63" si="63">+X59</f>
        <v/>
      </c>
      <c r="AA59" s="129" t="str">
        <f t="shared" si="3"/>
        <v/>
      </c>
      <c r="AB59" s="130" t="str">
        <f>IFERROR(IF(AND(Q58="Impacto",Q59="Impacto"),(AB52-(+AB52*T59)),IF(Q59="Impacto",($M$58-(+$M$58*T59)),IF(Q59="Probabilidad",AB52,""))),"")</f>
        <v/>
      </c>
      <c r="AC59" s="131"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132"/>
      <c r="AE59" s="133"/>
      <c r="AF59" s="134"/>
      <c r="AG59" s="135"/>
      <c r="AH59" s="135"/>
      <c r="AI59" s="133"/>
      <c r="AJ59" s="134"/>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row>
    <row r="60" spans="1:68" ht="151.5" customHeight="1" x14ac:dyDescent="0.3">
      <c r="A60" s="603"/>
      <c r="B60" s="606"/>
      <c r="C60" s="606"/>
      <c r="D60" s="606"/>
      <c r="E60" s="609"/>
      <c r="F60" s="606"/>
      <c r="G60" s="612"/>
      <c r="H60" s="615"/>
      <c r="I60" s="597"/>
      <c r="J60" s="618"/>
      <c r="K60" s="597">
        <f ca="1">IF(NOT(ISERROR(MATCH(J60,_xlfn.ANCHORARRAY(E71),0))),I73&amp;"Por favor no seleccionar los criterios de impacto",J60)</f>
        <v>0</v>
      </c>
      <c r="L60" s="615"/>
      <c r="M60" s="597"/>
      <c r="N60" s="600"/>
      <c r="O60" s="123">
        <v>3</v>
      </c>
      <c r="P60" s="136"/>
      <c r="Q60" s="125" t="str">
        <f>IF(OR(R60="Preventivo",R60="Detectivo"),"Probabilidad",IF(R60="Correctivo","Impacto",""))</f>
        <v/>
      </c>
      <c r="R60" s="126"/>
      <c r="S60" s="126"/>
      <c r="T60" s="127" t="str">
        <f t="shared" si="62"/>
        <v/>
      </c>
      <c r="U60" s="126"/>
      <c r="V60" s="126"/>
      <c r="W60" s="126"/>
      <c r="X60" s="128" t="str">
        <f>IFERROR(IF(AND(Q59="Probabilidad",Q60="Probabilidad"),(Z59-(+Z59*T60)),IF(AND(Q59="Impacto",Q60="Probabilidad"),(Z58-(+Z58*T60)),IF(Q60="Impacto",Z59,""))),"")</f>
        <v/>
      </c>
      <c r="Y60" s="129" t="str">
        <f t="shared" si="1"/>
        <v/>
      </c>
      <c r="Z60" s="130" t="str">
        <f t="shared" si="63"/>
        <v/>
      </c>
      <c r="AA60" s="129" t="str">
        <f t="shared" si="3"/>
        <v/>
      </c>
      <c r="AB60" s="130" t="str">
        <f>IFERROR(IF(AND(Q59="Impacto",Q60="Impacto"),(AB59-(+AB59*T60)),IF(AND(Q59="Probabilidad",Q60="Impacto"),(AB58-(+AB58*T60)),IF(Q60="Probabilidad",AB59,""))),"")</f>
        <v/>
      </c>
      <c r="AC60" s="131" t="str">
        <f t="shared" si="64"/>
        <v/>
      </c>
      <c r="AD60" s="132"/>
      <c r="AE60" s="133"/>
      <c r="AF60" s="134"/>
      <c r="AG60" s="135"/>
      <c r="AH60" s="135"/>
      <c r="AI60" s="133"/>
      <c r="AJ60" s="134"/>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row>
    <row r="61" spans="1:68" ht="151.5" customHeight="1" x14ac:dyDescent="0.3">
      <c r="A61" s="603"/>
      <c r="B61" s="606"/>
      <c r="C61" s="606"/>
      <c r="D61" s="606"/>
      <c r="E61" s="609"/>
      <c r="F61" s="606"/>
      <c r="G61" s="612"/>
      <c r="H61" s="615"/>
      <c r="I61" s="597"/>
      <c r="J61" s="618"/>
      <c r="K61" s="597">
        <f ca="1">IF(NOT(ISERROR(MATCH(J61,_xlfn.ANCHORARRAY(E72),0))),I74&amp;"Por favor no seleccionar los criterios de impacto",J61)</f>
        <v>0</v>
      </c>
      <c r="L61" s="615"/>
      <c r="M61" s="597"/>
      <c r="N61" s="600"/>
      <c r="O61" s="123">
        <v>4</v>
      </c>
      <c r="P61" s="124"/>
      <c r="Q61" s="125" t="str">
        <f t="shared" ref="Q61:Q63" si="65">IF(OR(R61="Preventivo",R61="Detectivo"),"Probabilidad",IF(R61="Correctivo","Impacto",""))</f>
        <v/>
      </c>
      <c r="R61" s="126"/>
      <c r="S61" s="126"/>
      <c r="T61" s="127" t="str">
        <f t="shared" si="62"/>
        <v/>
      </c>
      <c r="U61" s="126"/>
      <c r="V61" s="126"/>
      <c r="W61" s="126"/>
      <c r="X61" s="128" t="str">
        <f t="shared" ref="X61:X63" si="66">IFERROR(IF(AND(Q60="Probabilidad",Q61="Probabilidad"),(Z60-(+Z60*T61)),IF(AND(Q60="Impacto",Q61="Probabilidad"),(Z59-(+Z59*T61)),IF(Q61="Impacto",Z60,""))),"")</f>
        <v/>
      </c>
      <c r="Y61" s="129" t="str">
        <f t="shared" si="1"/>
        <v/>
      </c>
      <c r="Z61" s="130" t="str">
        <f t="shared" si="63"/>
        <v/>
      </c>
      <c r="AA61" s="129" t="str">
        <f t="shared" si="3"/>
        <v/>
      </c>
      <c r="AB61" s="130" t="str">
        <f t="shared" ref="AB61:AB63" si="67">IFERROR(IF(AND(Q60="Impacto",Q61="Impacto"),(AB60-(+AB60*T61)),IF(AND(Q60="Probabilidad",Q61="Impacto"),(AB59-(+AB59*T61)),IF(Q61="Probabilidad",AB60,""))),"")</f>
        <v/>
      </c>
      <c r="AC61" s="131"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132"/>
      <c r="AE61" s="133"/>
      <c r="AF61" s="134"/>
      <c r="AG61" s="135"/>
      <c r="AH61" s="135"/>
      <c r="AI61" s="133"/>
      <c r="AJ61" s="134"/>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row>
    <row r="62" spans="1:68" ht="151.5" customHeight="1" x14ac:dyDescent="0.3">
      <c r="A62" s="603"/>
      <c r="B62" s="606"/>
      <c r="C62" s="606"/>
      <c r="D62" s="606"/>
      <c r="E62" s="609"/>
      <c r="F62" s="606"/>
      <c r="G62" s="612"/>
      <c r="H62" s="615"/>
      <c r="I62" s="597"/>
      <c r="J62" s="618"/>
      <c r="K62" s="597">
        <f ca="1">IF(NOT(ISERROR(MATCH(J62,_xlfn.ANCHORARRAY(E73),0))),I75&amp;"Por favor no seleccionar los criterios de impacto",J62)</f>
        <v>0</v>
      </c>
      <c r="L62" s="615"/>
      <c r="M62" s="597"/>
      <c r="N62" s="600"/>
      <c r="O62" s="123">
        <v>5</v>
      </c>
      <c r="P62" s="124"/>
      <c r="Q62" s="125" t="str">
        <f t="shared" si="65"/>
        <v/>
      </c>
      <c r="R62" s="126"/>
      <c r="S62" s="126"/>
      <c r="T62" s="127" t="str">
        <f t="shared" si="62"/>
        <v/>
      </c>
      <c r="U62" s="126"/>
      <c r="V62" s="126"/>
      <c r="W62" s="126"/>
      <c r="X62" s="128" t="str">
        <f t="shared" si="66"/>
        <v/>
      </c>
      <c r="Y62" s="129" t="str">
        <f t="shared" si="1"/>
        <v/>
      </c>
      <c r="Z62" s="130" t="str">
        <f t="shared" si="63"/>
        <v/>
      </c>
      <c r="AA62" s="129" t="str">
        <f t="shared" si="3"/>
        <v/>
      </c>
      <c r="AB62" s="130" t="str">
        <f t="shared" si="67"/>
        <v/>
      </c>
      <c r="AC62" s="131"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132"/>
      <c r="AE62" s="133"/>
      <c r="AF62" s="134"/>
      <c r="AG62" s="135"/>
      <c r="AH62" s="135"/>
      <c r="AI62" s="133"/>
      <c r="AJ62" s="134"/>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row>
    <row r="63" spans="1:68" ht="151.5" customHeight="1" x14ac:dyDescent="0.3">
      <c r="A63" s="604"/>
      <c r="B63" s="607"/>
      <c r="C63" s="607"/>
      <c r="D63" s="607"/>
      <c r="E63" s="610"/>
      <c r="F63" s="607"/>
      <c r="G63" s="613"/>
      <c r="H63" s="616"/>
      <c r="I63" s="598"/>
      <c r="J63" s="619"/>
      <c r="K63" s="598">
        <f ca="1">IF(NOT(ISERROR(MATCH(J63,_xlfn.ANCHORARRAY(E74),0))),I76&amp;"Por favor no seleccionar los criterios de impacto",J63)</f>
        <v>0</v>
      </c>
      <c r="L63" s="616"/>
      <c r="M63" s="598"/>
      <c r="N63" s="601"/>
      <c r="O63" s="123">
        <v>6</v>
      </c>
      <c r="P63" s="124"/>
      <c r="Q63" s="125" t="str">
        <f t="shared" si="65"/>
        <v/>
      </c>
      <c r="R63" s="126"/>
      <c r="S63" s="126"/>
      <c r="T63" s="127" t="str">
        <f t="shared" si="62"/>
        <v/>
      </c>
      <c r="U63" s="126"/>
      <c r="V63" s="126"/>
      <c r="W63" s="126"/>
      <c r="X63" s="128" t="str">
        <f t="shared" si="66"/>
        <v/>
      </c>
      <c r="Y63" s="129" t="str">
        <f t="shared" si="1"/>
        <v/>
      </c>
      <c r="Z63" s="130" t="str">
        <f t="shared" si="63"/>
        <v/>
      </c>
      <c r="AA63" s="129" t="str">
        <f t="shared" si="3"/>
        <v/>
      </c>
      <c r="AB63" s="130" t="str">
        <f t="shared" si="67"/>
        <v/>
      </c>
      <c r="AC63" s="131" t="str">
        <f t="shared" si="68"/>
        <v/>
      </c>
      <c r="AD63" s="132"/>
      <c r="AE63" s="133"/>
      <c r="AF63" s="134"/>
      <c r="AG63" s="135"/>
      <c r="AH63" s="135"/>
      <c r="AI63" s="133"/>
      <c r="AJ63" s="134"/>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row>
    <row r="64" spans="1:68" ht="151.5" customHeight="1" x14ac:dyDescent="0.3">
      <c r="A64" s="602">
        <v>10</v>
      </c>
      <c r="B64" s="605"/>
      <c r="C64" s="605"/>
      <c r="D64" s="605"/>
      <c r="E64" s="608"/>
      <c r="F64" s="605"/>
      <c r="G64" s="611"/>
      <c r="H64" s="614" t="str">
        <f>IF(G64&lt;=0,"",IF(G64&lt;=2,"Muy Baja",IF(G64&lt;=24,"Baja",IF(G64&lt;=500,"Media",IF(G64&lt;=5000,"Alta","Muy Alta")))))</f>
        <v/>
      </c>
      <c r="I64" s="596" t="str">
        <f>IF(H64="","",IF(H64="Muy Baja",0.2,IF(H64="Baja",0.4,IF(H64="Media",0.6,IF(H64="Alta",0.8,IF(H64="Muy Alta",1,))))))</f>
        <v/>
      </c>
      <c r="J64" s="617"/>
      <c r="K64" s="596">
        <f ca="1">IF(NOT(ISERROR(MATCH(J64,'Tabla Impacto'!$B$221:$B$223,0))),'Tabla Impacto'!$F$223&amp;"Por favor no seleccionar los criterios de impacto(Afectación Económica o presupuestal y Pérdida Reputacional)",J64)</f>
        <v>0</v>
      </c>
      <c r="L64" s="614" t="str">
        <f ca="1">IF(OR(K64='Tabla Impacto'!$C$11,K64='Tabla Impacto'!$D$11),"Leve",IF(OR(K64='Tabla Impacto'!$C$12,K64='Tabla Impacto'!$D$12),"Menor",IF(OR(K64='Tabla Impacto'!$C$13,K64='Tabla Impacto'!$D$13),"Moderado",IF(OR(K64='Tabla Impacto'!$C$14,K64='Tabla Impacto'!$D$14),"Mayor",IF(OR(K64='Tabla Impacto'!$C$15,K64='Tabla Impacto'!$D$15),"Catastrófico","")))))</f>
        <v/>
      </c>
      <c r="M64" s="596" t="str">
        <f ca="1">IF(L64="","",IF(L64="Leve",0.2,IF(L64="Menor",0.4,IF(L64="Moderado",0.6,IF(L64="Mayor",0.8,IF(L64="Catastrófico",1,))))))</f>
        <v/>
      </c>
      <c r="N64" s="599"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123">
        <v>1</v>
      </c>
      <c r="P64" s="124"/>
      <c r="Q64" s="125" t="str">
        <f>IF(OR(R64="Preventivo",R64="Detectivo"),"Probabilidad",IF(R64="Correctivo","Impacto",""))</f>
        <v/>
      </c>
      <c r="R64" s="126"/>
      <c r="S64" s="126"/>
      <c r="T64" s="127" t="str">
        <f>IF(AND(R64="Preventivo",S64="Automático"),"50%",IF(AND(R64="Preventivo",S64="Manual"),"40%",IF(AND(R64="Detectivo",S64="Automático"),"40%",IF(AND(R64="Detectivo",S64="Manual"),"30%",IF(AND(R64="Correctivo",S64="Automático"),"35%",IF(AND(R64="Correctivo",S64="Manual"),"25%",""))))))</f>
        <v/>
      </c>
      <c r="U64" s="126"/>
      <c r="V64" s="126"/>
      <c r="W64" s="126"/>
      <c r="X64" s="128" t="str">
        <f>IFERROR(IF(Q64="Probabilidad",(I64-(+I64*T64)),IF(Q64="Impacto",I64,"")),"")</f>
        <v/>
      </c>
      <c r="Y64" s="129" t="str">
        <f>IFERROR(IF(X64="","",IF(X64&lt;=0.2,"Muy Baja",IF(X64&lt;=0.4,"Baja",IF(X64&lt;=0.6,"Media",IF(X64&lt;=0.8,"Alta","Muy Alta"))))),"")</f>
        <v/>
      </c>
      <c r="Z64" s="130" t="str">
        <f>+X64</f>
        <v/>
      </c>
      <c r="AA64" s="129" t="str">
        <f>IFERROR(IF(AB64="","",IF(AB64&lt;=0.2,"Leve",IF(AB64&lt;=0.4,"Menor",IF(AB64&lt;=0.6,"Moderado",IF(AB64&lt;=0.8,"Mayor","Catastrófico"))))),"")</f>
        <v/>
      </c>
      <c r="AB64" s="130" t="str">
        <f>IFERROR(IF(Q64="Impacto",(M64-(+M64*T64)),IF(Q64="Probabilidad",M64,"")),"")</f>
        <v/>
      </c>
      <c r="AC64" s="131"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132"/>
      <c r="AE64" s="133"/>
      <c r="AF64" s="134"/>
      <c r="AG64" s="135"/>
      <c r="AH64" s="135"/>
      <c r="AI64" s="133"/>
      <c r="AJ64" s="134"/>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row>
    <row r="65" spans="1:36" ht="151.5" customHeight="1" x14ac:dyDescent="0.3">
      <c r="A65" s="603"/>
      <c r="B65" s="606"/>
      <c r="C65" s="606"/>
      <c r="D65" s="606"/>
      <c r="E65" s="609"/>
      <c r="F65" s="606"/>
      <c r="G65" s="612"/>
      <c r="H65" s="615"/>
      <c r="I65" s="597"/>
      <c r="J65" s="618"/>
      <c r="K65" s="597">
        <f ca="1">IF(NOT(ISERROR(MATCH(J65,_xlfn.ANCHORARRAY(E76),0))),I78&amp;"Por favor no seleccionar los criterios de impacto",J65)</f>
        <v>0</v>
      </c>
      <c r="L65" s="615"/>
      <c r="M65" s="597"/>
      <c r="N65" s="600"/>
      <c r="O65" s="123">
        <v>2</v>
      </c>
      <c r="P65" s="124"/>
      <c r="Q65" s="125" t="str">
        <f>IF(OR(R65="Preventivo",R65="Detectivo"),"Probabilidad",IF(R65="Correctivo","Impacto",""))</f>
        <v/>
      </c>
      <c r="R65" s="126"/>
      <c r="S65" s="126"/>
      <c r="T65" s="127" t="str">
        <f t="shared" ref="T65:T69" si="69">IF(AND(R65="Preventivo",S65="Automático"),"50%",IF(AND(R65="Preventivo",S65="Manual"),"40%",IF(AND(R65="Detectivo",S65="Automático"),"40%",IF(AND(R65="Detectivo",S65="Manual"),"30%",IF(AND(R65="Correctivo",S65="Automático"),"35%",IF(AND(R65="Correctivo",S65="Manual"),"25%",""))))))</f>
        <v/>
      </c>
      <c r="U65" s="126"/>
      <c r="V65" s="126"/>
      <c r="W65" s="126"/>
      <c r="X65" s="128" t="str">
        <f>IFERROR(IF(AND(Q64="Probabilidad",Q65="Probabilidad"),(Z64-(+Z64*T65)),IF(Q65="Probabilidad",(I64-(+I64*T65)),IF(Q65="Impacto",Z64,""))),"")</f>
        <v/>
      </c>
      <c r="Y65" s="129" t="str">
        <f t="shared" si="1"/>
        <v/>
      </c>
      <c r="Z65" s="130" t="str">
        <f t="shared" ref="Z65:Z69" si="70">+X65</f>
        <v/>
      </c>
      <c r="AA65" s="129" t="str">
        <f t="shared" si="3"/>
        <v/>
      </c>
      <c r="AB65" s="130" t="str">
        <f>IFERROR(IF(AND(Q64="Impacto",Q65="Impacto"),(AB58-(+AB58*T65)),IF(Q65="Impacto",($M$64-(+$M$64*T65)),IF(Q65="Probabilidad",AB58,""))),"")</f>
        <v/>
      </c>
      <c r="AC65" s="131"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132"/>
      <c r="AE65" s="133"/>
      <c r="AF65" s="134"/>
      <c r="AG65" s="135"/>
      <c r="AH65" s="135"/>
      <c r="AI65" s="133"/>
      <c r="AJ65" s="134"/>
    </row>
    <row r="66" spans="1:36" ht="151.5" customHeight="1" x14ac:dyDescent="0.3">
      <c r="A66" s="603"/>
      <c r="B66" s="606"/>
      <c r="C66" s="606"/>
      <c r="D66" s="606"/>
      <c r="E66" s="609"/>
      <c r="F66" s="606"/>
      <c r="G66" s="612"/>
      <c r="H66" s="615"/>
      <c r="I66" s="597"/>
      <c r="J66" s="618"/>
      <c r="K66" s="597">
        <f ca="1">IF(NOT(ISERROR(MATCH(J66,_xlfn.ANCHORARRAY(E77),0))),I79&amp;"Por favor no seleccionar los criterios de impacto",J66)</f>
        <v>0</v>
      </c>
      <c r="L66" s="615"/>
      <c r="M66" s="597"/>
      <c r="N66" s="600"/>
      <c r="O66" s="123">
        <v>3</v>
      </c>
      <c r="P66" s="136"/>
      <c r="Q66" s="125" t="str">
        <f>IF(OR(R66="Preventivo",R66="Detectivo"),"Probabilidad",IF(R66="Correctivo","Impacto",""))</f>
        <v/>
      </c>
      <c r="R66" s="126"/>
      <c r="S66" s="126"/>
      <c r="T66" s="127" t="str">
        <f t="shared" si="69"/>
        <v/>
      </c>
      <c r="U66" s="126"/>
      <c r="V66" s="126"/>
      <c r="W66" s="126"/>
      <c r="X66" s="128" t="str">
        <f>IFERROR(IF(AND(Q65="Probabilidad",Q66="Probabilidad"),(Z65-(+Z65*T66)),IF(AND(Q65="Impacto",Q66="Probabilidad"),(Z64-(+Z64*T66)),IF(Q66="Impacto",Z65,""))),"")</f>
        <v/>
      </c>
      <c r="Y66" s="129" t="str">
        <f t="shared" si="1"/>
        <v/>
      </c>
      <c r="Z66" s="130" t="str">
        <f t="shared" si="70"/>
        <v/>
      </c>
      <c r="AA66" s="129" t="str">
        <f t="shared" si="3"/>
        <v/>
      </c>
      <c r="AB66" s="130" t="str">
        <f>IFERROR(IF(AND(Q65="Impacto",Q66="Impacto"),(AB65-(+AB65*T66)),IF(AND(Q65="Probabilidad",Q66="Impacto"),(AB64-(+AB64*T66)),IF(Q66="Probabilidad",AB65,""))),"")</f>
        <v/>
      </c>
      <c r="AC66" s="131" t="str">
        <f t="shared" si="71"/>
        <v/>
      </c>
      <c r="AD66" s="132"/>
      <c r="AE66" s="133"/>
      <c r="AF66" s="134"/>
      <c r="AG66" s="135"/>
      <c r="AH66" s="135"/>
      <c r="AI66" s="133"/>
      <c r="AJ66" s="134"/>
    </row>
    <row r="67" spans="1:36" ht="151.5" customHeight="1" x14ac:dyDescent="0.3">
      <c r="A67" s="603"/>
      <c r="B67" s="606"/>
      <c r="C67" s="606"/>
      <c r="D67" s="606"/>
      <c r="E67" s="609"/>
      <c r="F67" s="606"/>
      <c r="G67" s="612"/>
      <c r="H67" s="615"/>
      <c r="I67" s="597"/>
      <c r="J67" s="618"/>
      <c r="K67" s="597">
        <f ca="1">IF(NOT(ISERROR(MATCH(J67,_xlfn.ANCHORARRAY(E78),0))),I80&amp;"Por favor no seleccionar los criterios de impacto",J67)</f>
        <v>0</v>
      </c>
      <c r="L67" s="615"/>
      <c r="M67" s="597"/>
      <c r="N67" s="600"/>
      <c r="O67" s="123">
        <v>4</v>
      </c>
      <c r="P67" s="124"/>
      <c r="Q67" s="125" t="str">
        <f t="shared" ref="Q67:Q69" si="72">IF(OR(R67="Preventivo",R67="Detectivo"),"Probabilidad",IF(R67="Correctivo","Impacto",""))</f>
        <v/>
      </c>
      <c r="R67" s="126"/>
      <c r="S67" s="126"/>
      <c r="T67" s="127" t="str">
        <f t="shared" si="69"/>
        <v/>
      </c>
      <c r="U67" s="126"/>
      <c r="V67" s="126"/>
      <c r="W67" s="126"/>
      <c r="X67" s="128" t="str">
        <f t="shared" ref="X67:X69" si="73">IFERROR(IF(AND(Q66="Probabilidad",Q67="Probabilidad"),(Z66-(+Z66*T67)),IF(AND(Q66="Impacto",Q67="Probabilidad"),(Z65-(+Z65*T67)),IF(Q67="Impacto",Z66,""))),"")</f>
        <v/>
      </c>
      <c r="Y67" s="129" t="str">
        <f t="shared" si="1"/>
        <v/>
      </c>
      <c r="Z67" s="130" t="str">
        <f t="shared" si="70"/>
        <v/>
      </c>
      <c r="AA67" s="129" t="str">
        <f t="shared" si="3"/>
        <v/>
      </c>
      <c r="AB67" s="130" t="str">
        <f t="shared" ref="AB67:AB69" si="74">IFERROR(IF(AND(Q66="Impacto",Q67="Impacto"),(AB66-(+AB66*T67)),IF(AND(Q66="Probabilidad",Q67="Impacto"),(AB65-(+AB65*T67)),IF(Q67="Probabilidad",AB66,""))),"")</f>
        <v/>
      </c>
      <c r="AC67" s="131"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132"/>
      <c r="AE67" s="133"/>
      <c r="AF67" s="134"/>
      <c r="AG67" s="135"/>
      <c r="AH67" s="135"/>
      <c r="AI67" s="133"/>
      <c r="AJ67" s="134"/>
    </row>
    <row r="68" spans="1:36" ht="151.5" customHeight="1" x14ac:dyDescent="0.3">
      <c r="A68" s="603"/>
      <c r="B68" s="606"/>
      <c r="C68" s="606"/>
      <c r="D68" s="606"/>
      <c r="E68" s="609"/>
      <c r="F68" s="606"/>
      <c r="G68" s="612"/>
      <c r="H68" s="615"/>
      <c r="I68" s="597"/>
      <c r="J68" s="618"/>
      <c r="K68" s="597">
        <f ca="1">IF(NOT(ISERROR(MATCH(J68,_xlfn.ANCHORARRAY(E79),0))),I81&amp;"Por favor no seleccionar los criterios de impacto",J68)</f>
        <v>0</v>
      </c>
      <c r="L68" s="615"/>
      <c r="M68" s="597"/>
      <c r="N68" s="600"/>
      <c r="O68" s="123">
        <v>5</v>
      </c>
      <c r="P68" s="124"/>
      <c r="Q68" s="125" t="str">
        <f t="shared" si="72"/>
        <v/>
      </c>
      <c r="R68" s="126"/>
      <c r="S68" s="126"/>
      <c r="T68" s="127" t="str">
        <f t="shared" si="69"/>
        <v/>
      </c>
      <c r="U68" s="126"/>
      <c r="V68" s="126"/>
      <c r="W68" s="126"/>
      <c r="X68" s="128" t="str">
        <f t="shared" si="73"/>
        <v/>
      </c>
      <c r="Y68" s="129" t="str">
        <f t="shared" si="1"/>
        <v/>
      </c>
      <c r="Z68" s="130" t="str">
        <f t="shared" si="70"/>
        <v/>
      </c>
      <c r="AA68" s="129" t="str">
        <f t="shared" si="3"/>
        <v/>
      </c>
      <c r="AB68" s="130" t="str">
        <f t="shared" si="74"/>
        <v/>
      </c>
      <c r="AC68" s="131"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132"/>
      <c r="AE68" s="133"/>
      <c r="AF68" s="134"/>
      <c r="AG68" s="135"/>
      <c r="AH68" s="135"/>
      <c r="AI68" s="133"/>
      <c r="AJ68" s="134"/>
    </row>
    <row r="69" spans="1:36" ht="151.5" customHeight="1" x14ac:dyDescent="0.3">
      <c r="A69" s="604"/>
      <c r="B69" s="607"/>
      <c r="C69" s="607"/>
      <c r="D69" s="607"/>
      <c r="E69" s="610"/>
      <c r="F69" s="607"/>
      <c r="G69" s="613"/>
      <c r="H69" s="616"/>
      <c r="I69" s="598"/>
      <c r="J69" s="619"/>
      <c r="K69" s="598">
        <f ca="1">IF(NOT(ISERROR(MATCH(J69,_xlfn.ANCHORARRAY(E80),0))),I82&amp;"Por favor no seleccionar los criterios de impacto",J69)</f>
        <v>0</v>
      </c>
      <c r="L69" s="616"/>
      <c r="M69" s="598"/>
      <c r="N69" s="601"/>
      <c r="O69" s="123">
        <v>6</v>
      </c>
      <c r="P69" s="124"/>
      <c r="Q69" s="125" t="str">
        <f t="shared" si="72"/>
        <v/>
      </c>
      <c r="R69" s="126"/>
      <c r="S69" s="126"/>
      <c r="T69" s="127" t="str">
        <f t="shared" si="69"/>
        <v/>
      </c>
      <c r="U69" s="126"/>
      <c r="V69" s="126"/>
      <c r="W69" s="126"/>
      <c r="X69" s="128" t="str">
        <f t="shared" si="73"/>
        <v/>
      </c>
      <c r="Y69" s="129" t="str">
        <f t="shared" si="1"/>
        <v/>
      </c>
      <c r="Z69" s="130" t="str">
        <f t="shared" si="70"/>
        <v/>
      </c>
      <c r="AA69" s="129" t="str">
        <f t="shared" si="3"/>
        <v/>
      </c>
      <c r="AB69" s="130" t="str">
        <f t="shared" si="74"/>
        <v/>
      </c>
      <c r="AC69" s="131" t="str">
        <f t="shared" si="75"/>
        <v/>
      </c>
      <c r="AD69" s="132"/>
      <c r="AE69" s="133"/>
      <c r="AF69" s="134"/>
      <c r="AG69" s="135"/>
      <c r="AH69" s="135"/>
      <c r="AI69" s="133"/>
      <c r="AJ69" s="134"/>
    </row>
    <row r="70" spans="1:36" ht="49.5" customHeight="1" x14ac:dyDescent="0.3">
      <c r="A70" s="6"/>
      <c r="B70" s="593" t="s">
        <v>131</v>
      </c>
      <c r="C70" s="594"/>
      <c r="D70" s="594"/>
      <c r="E70" s="594"/>
      <c r="F70" s="594"/>
      <c r="G70" s="594"/>
      <c r="H70" s="594"/>
      <c r="I70" s="594"/>
      <c r="J70" s="594"/>
      <c r="K70" s="594"/>
      <c r="L70" s="594"/>
      <c r="M70" s="594"/>
      <c r="N70" s="594"/>
      <c r="O70" s="594"/>
      <c r="P70" s="594"/>
      <c r="Q70" s="594"/>
      <c r="R70" s="594"/>
      <c r="S70" s="594"/>
      <c r="T70" s="594"/>
      <c r="U70" s="594"/>
      <c r="V70" s="594"/>
      <c r="W70" s="594"/>
      <c r="X70" s="594"/>
      <c r="Y70" s="594"/>
      <c r="Z70" s="594"/>
      <c r="AA70" s="594"/>
      <c r="AB70" s="594"/>
      <c r="AC70" s="594"/>
      <c r="AD70" s="594"/>
      <c r="AE70" s="594"/>
      <c r="AF70" s="594"/>
      <c r="AG70" s="594"/>
      <c r="AH70" s="594"/>
      <c r="AI70" s="594"/>
      <c r="AJ70" s="595"/>
    </row>
    <row r="72" spans="1:36" x14ac:dyDescent="0.3">
      <c r="A72" s="1"/>
      <c r="B72" s="24" t="s">
        <v>143</v>
      </c>
      <c r="C72" s="1"/>
      <c r="D72" s="1"/>
      <c r="F72" s="1"/>
    </row>
  </sheetData>
  <sheetProtection algorithmName="SHA-512" hashValue="EvJ1+PiI29PplkW7FammMLnuc1LYWeFXJM7HpIdaRHlaYQf9cdUH3BF8ftff5fDT4dbbQ3OnIBT9eOomvzmtCw==" saltValue="pPzcpNDct/p6BSwOcYSWYQ==" spinCount="100000" sheet="1" objects="1" scenarios="1"/>
  <dataConsolidate/>
  <mergeCells count="185">
    <mergeCell ref="F10:F15"/>
    <mergeCell ref="G10:G15"/>
    <mergeCell ref="H10:H15"/>
    <mergeCell ref="A10:A15"/>
    <mergeCell ref="B10:B15"/>
    <mergeCell ref="C10:C15"/>
    <mergeCell ref="D10:D15"/>
    <mergeCell ref="E10:E15"/>
    <mergeCell ref="N10:N15"/>
    <mergeCell ref="I10:I15"/>
    <mergeCell ref="J10:J15"/>
    <mergeCell ref="K10:K15"/>
    <mergeCell ref="L10:L15"/>
    <mergeCell ref="M10:M15"/>
    <mergeCell ref="AA8:AA9"/>
    <mergeCell ref="Y8:Y9"/>
    <mergeCell ref="Z8:Z9"/>
    <mergeCell ref="G8:G9"/>
    <mergeCell ref="H8:H9"/>
    <mergeCell ref="I8:I9"/>
    <mergeCell ref="L8:L9"/>
    <mergeCell ref="M8:M9"/>
    <mergeCell ref="B8:B9"/>
    <mergeCell ref="N8:N9"/>
    <mergeCell ref="J8:J9"/>
    <mergeCell ref="K8:K9"/>
    <mergeCell ref="Q8:Q9"/>
    <mergeCell ref="R8:W8"/>
    <mergeCell ref="D16:D21"/>
    <mergeCell ref="E16:E21"/>
    <mergeCell ref="AE8:AE9"/>
    <mergeCell ref="AJ8:AJ9"/>
    <mergeCell ref="AI8:AI9"/>
    <mergeCell ref="AH8:AH9"/>
    <mergeCell ref="AG8:AG9"/>
    <mergeCell ref="AF8:AF9"/>
    <mergeCell ref="A4:B4"/>
    <mergeCell ref="A5:B5"/>
    <mergeCell ref="A6:B6"/>
    <mergeCell ref="A8:A9"/>
    <mergeCell ref="F8:F9"/>
    <mergeCell ref="E8:E9"/>
    <mergeCell ref="D8:D9"/>
    <mergeCell ref="C8:C9"/>
    <mergeCell ref="AD8:AD9"/>
    <mergeCell ref="C5:N5"/>
    <mergeCell ref="C6:N6"/>
    <mergeCell ref="O8:O9"/>
    <mergeCell ref="AC8:AC9"/>
    <mergeCell ref="AB8:AB9"/>
    <mergeCell ref="X8:X9"/>
    <mergeCell ref="P8:P9"/>
    <mergeCell ref="K16:K21"/>
    <mergeCell ref="L16:L21"/>
    <mergeCell ref="M16:M21"/>
    <mergeCell ref="N16:N21"/>
    <mergeCell ref="A22:A27"/>
    <mergeCell ref="B22:B27"/>
    <mergeCell ref="C22:C27"/>
    <mergeCell ref="D22:D27"/>
    <mergeCell ref="E22:E27"/>
    <mergeCell ref="F22:F27"/>
    <mergeCell ref="G22:G27"/>
    <mergeCell ref="H22:H27"/>
    <mergeCell ref="I22:I27"/>
    <mergeCell ref="J22:J27"/>
    <mergeCell ref="K22:K27"/>
    <mergeCell ref="L22:L27"/>
    <mergeCell ref="F16:F21"/>
    <mergeCell ref="G16:G21"/>
    <mergeCell ref="H16:H21"/>
    <mergeCell ref="I16:I21"/>
    <mergeCell ref="J16:J21"/>
    <mergeCell ref="A16:A21"/>
    <mergeCell ref="B16:B21"/>
    <mergeCell ref="C16:C21"/>
    <mergeCell ref="M22:M27"/>
    <mergeCell ref="N22:N27"/>
    <mergeCell ref="A28:A33"/>
    <mergeCell ref="B28:B33"/>
    <mergeCell ref="C28:C33"/>
    <mergeCell ref="D28:D33"/>
    <mergeCell ref="E28:E33"/>
    <mergeCell ref="F28:F33"/>
    <mergeCell ref="G28:G33"/>
    <mergeCell ref="H28:H33"/>
    <mergeCell ref="I28:I33"/>
    <mergeCell ref="J28:J33"/>
    <mergeCell ref="K28:K33"/>
    <mergeCell ref="L28:L33"/>
    <mergeCell ref="M28:M33"/>
    <mergeCell ref="N28:N33"/>
    <mergeCell ref="M34:M39"/>
    <mergeCell ref="N34:N39"/>
    <mergeCell ref="M40:M45"/>
    <mergeCell ref="N40:N45"/>
    <mergeCell ref="J46:J51"/>
    <mergeCell ref="K46:K51"/>
    <mergeCell ref="L46:L51"/>
    <mergeCell ref="A34:A39"/>
    <mergeCell ref="B34:B39"/>
    <mergeCell ref="C34:C39"/>
    <mergeCell ref="A40:A45"/>
    <mergeCell ref="B40:B45"/>
    <mergeCell ref="C40:C45"/>
    <mergeCell ref="D40:D45"/>
    <mergeCell ref="E40:E45"/>
    <mergeCell ref="F40:F45"/>
    <mergeCell ref="D34:D39"/>
    <mergeCell ref="E34:E39"/>
    <mergeCell ref="J40:J45"/>
    <mergeCell ref="K40:K45"/>
    <mergeCell ref="L40:L45"/>
    <mergeCell ref="F34:F39"/>
    <mergeCell ref="G34:G39"/>
    <mergeCell ref="H34:H39"/>
    <mergeCell ref="I34:I39"/>
    <mergeCell ref="J34:J39"/>
    <mergeCell ref="G40:G45"/>
    <mergeCell ref="H40:H45"/>
    <mergeCell ref="I40:I45"/>
    <mergeCell ref="K34:K39"/>
    <mergeCell ref="L34:L39"/>
    <mergeCell ref="A52:A57"/>
    <mergeCell ref="B52:B57"/>
    <mergeCell ref="C52:C57"/>
    <mergeCell ref="D52:D57"/>
    <mergeCell ref="E52:E57"/>
    <mergeCell ref="A46:A51"/>
    <mergeCell ref="B46:B51"/>
    <mergeCell ref="C46:C51"/>
    <mergeCell ref="D46:D51"/>
    <mergeCell ref="E46:E51"/>
    <mergeCell ref="M46:M51"/>
    <mergeCell ref="N46:N51"/>
    <mergeCell ref="F52:F57"/>
    <mergeCell ref="G52:G57"/>
    <mergeCell ref="H52:H57"/>
    <mergeCell ref="I52:I57"/>
    <mergeCell ref="J52:J57"/>
    <mergeCell ref="F46:F51"/>
    <mergeCell ref="G46:G51"/>
    <mergeCell ref="H46:H51"/>
    <mergeCell ref="I46:I51"/>
    <mergeCell ref="K52:K57"/>
    <mergeCell ref="L52:L57"/>
    <mergeCell ref="M52:M57"/>
    <mergeCell ref="N52:N57"/>
    <mergeCell ref="N64:N69"/>
    <mergeCell ref="J58:J63"/>
    <mergeCell ref="K58:K63"/>
    <mergeCell ref="L58:L63"/>
    <mergeCell ref="A58:A63"/>
    <mergeCell ref="B58:B63"/>
    <mergeCell ref="C58:C63"/>
    <mergeCell ref="D58:D63"/>
    <mergeCell ref="E58:E63"/>
    <mergeCell ref="F58:F63"/>
    <mergeCell ref="G58:G63"/>
    <mergeCell ref="H58:H63"/>
    <mergeCell ref="I58:I63"/>
    <mergeCell ref="C4:N4"/>
    <mergeCell ref="O4:Q4"/>
    <mergeCell ref="A1:AJ2"/>
    <mergeCell ref="A7:G7"/>
    <mergeCell ref="H7:N7"/>
    <mergeCell ref="O7:W7"/>
    <mergeCell ref="X7:AD7"/>
    <mergeCell ref="AE7:AJ7"/>
    <mergeCell ref="B70:AJ70"/>
    <mergeCell ref="M58:M63"/>
    <mergeCell ref="N58:N63"/>
    <mergeCell ref="A64:A69"/>
    <mergeCell ref="B64:B69"/>
    <mergeCell ref="C64:C69"/>
    <mergeCell ref="D64:D69"/>
    <mergeCell ref="E64:E69"/>
    <mergeCell ref="F64:F69"/>
    <mergeCell ref="G64:G69"/>
    <mergeCell ref="H64:H69"/>
    <mergeCell ref="I64:I69"/>
    <mergeCell ref="J64:J69"/>
    <mergeCell ref="K64:K69"/>
    <mergeCell ref="L64:L69"/>
    <mergeCell ref="M64:M69"/>
  </mergeCells>
  <conditionalFormatting sqref="H10 H16">
    <cfRule type="cellIs" dxfId="242" priority="323" operator="equal">
      <formula>"Muy Baja"</formula>
    </cfRule>
    <cfRule type="cellIs" dxfId="241" priority="322" operator="equal">
      <formula>"Baja"</formula>
    </cfRule>
    <cfRule type="cellIs" dxfId="240" priority="319" operator="equal">
      <formula>"Muy Alta"</formula>
    </cfRule>
    <cfRule type="cellIs" dxfId="239" priority="320" operator="equal">
      <formula>"Alta"</formula>
    </cfRule>
    <cfRule type="cellIs" dxfId="238" priority="321" operator="equal">
      <formula>"Media"</formula>
    </cfRule>
  </conditionalFormatting>
  <conditionalFormatting sqref="H22">
    <cfRule type="cellIs" dxfId="237" priority="222" operator="equal">
      <formula>"Alta"</formula>
    </cfRule>
    <cfRule type="cellIs" dxfId="236" priority="223" operator="equal">
      <formula>"Media"</formula>
    </cfRule>
    <cfRule type="cellIs" dxfId="235" priority="224" operator="equal">
      <formula>"Baja"</formula>
    </cfRule>
    <cfRule type="cellIs" dxfId="234" priority="225" operator="equal">
      <formula>"Muy Baja"</formula>
    </cfRule>
    <cfRule type="cellIs" dxfId="233" priority="221" operator="equal">
      <formula>"Muy Alta"</formula>
    </cfRule>
  </conditionalFormatting>
  <conditionalFormatting sqref="H28">
    <cfRule type="cellIs" dxfId="232" priority="194" operator="equal">
      <formula>"Alta"</formula>
    </cfRule>
    <cfRule type="cellIs" dxfId="231" priority="197" operator="equal">
      <formula>"Muy Baja"</formula>
    </cfRule>
    <cfRule type="cellIs" dxfId="230" priority="196" operator="equal">
      <formula>"Baja"</formula>
    </cfRule>
    <cfRule type="cellIs" dxfId="229" priority="195" operator="equal">
      <formula>"Media"</formula>
    </cfRule>
    <cfRule type="cellIs" dxfId="228" priority="193" operator="equal">
      <formula>"Muy Alta"</formula>
    </cfRule>
  </conditionalFormatting>
  <conditionalFormatting sqref="H34">
    <cfRule type="cellIs" dxfId="227" priority="169" operator="equal">
      <formula>"Muy Baja"</formula>
    </cfRule>
    <cfRule type="cellIs" dxfId="226" priority="168" operator="equal">
      <formula>"Baja"</formula>
    </cfRule>
    <cfRule type="cellIs" dxfId="225" priority="167" operator="equal">
      <formula>"Media"</formula>
    </cfRule>
    <cfRule type="cellIs" dxfId="224" priority="166" operator="equal">
      <formula>"Alta"</formula>
    </cfRule>
    <cfRule type="cellIs" dxfId="223" priority="165" operator="equal">
      <formula>"Muy Alta"</formula>
    </cfRule>
  </conditionalFormatting>
  <conditionalFormatting sqref="H40">
    <cfRule type="cellIs" dxfId="222" priority="138" operator="equal">
      <formula>"Alta"</formula>
    </cfRule>
    <cfRule type="cellIs" dxfId="221" priority="139" operator="equal">
      <formula>"Media"</formula>
    </cfRule>
    <cfRule type="cellIs" dxfId="220" priority="140" operator="equal">
      <formula>"Baja"</formula>
    </cfRule>
    <cfRule type="cellIs" dxfId="219" priority="141" operator="equal">
      <formula>"Muy Baja"</formula>
    </cfRule>
    <cfRule type="cellIs" dxfId="218" priority="137" operator="equal">
      <formula>"Muy Alta"</formula>
    </cfRule>
  </conditionalFormatting>
  <conditionalFormatting sqref="H46">
    <cfRule type="cellIs" dxfId="217" priority="113" operator="equal">
      <formula>"Muy Baja"</formula>
    </cfRule>
    <cfRule type="cellIs" dxfId="216" priority="109" operator="equal">
      <formula>"Muy Alta"</formula>
    </cfRule>
    <cfRule type="cellIs" dxfId="215" priority="110" operator="equal">
      <formula>"Alta"</formula>
    </cfRule>
    <cfRule type="cellIs" dxfId="214" priority="111" operator="equal">
      <formula>"Media"</formula>
    </cfRule>
    <cfRule type="cellIs" dxfId="213" priority="112" operator="equal">
      <formula>"Baja"</formula>
    </cfRule>
  </conditionalFormatting>
  <conditionalFormatting sqref="H52">
    <cfRule type="cellIs" dxfId="212" priority="84" operator="equal">
      <formula>"Baja"</formula>
    </cfRule>
    <cfRule type="cellIs" dxfId="211" priority="85" operator="equal">
      <formula>"Muy Baja"</formula>
    </cfRule>
    <cfRule type="cellIs" dxfId="210" priority="81" operator="equal">
      <formula>"Muy Alta"</formula>
    </cfRule>
    <cfRule type="cellIs" dxfId="209" priority="82" operator="equal">
      <formula>"Alta"</formula>
    </cfRule>
    <cfRule type="cellIs" dxfId="208" priority="83" operator="equal">
      <formula>"Media"</formula>
    </cfRule>
  </conditionalFormatting>
  <conditionalFormatting sqref="H58">
    <cfRule type="cellIs" dxfId="207" priority="57" operator="equal">
      <formula>"Muy Baja"</formula>
    </cfRule>
    <cfRule type="cellIs" dxfId="206" priority="53" operator="equal">
      <formula>"Muy Alta"</formula>
    </cfRule>
    <cfRule type="cellIs" dxfId="205" priority="54" operator="equal">
      <formula>"Alta"</formula>
    </cfRule>
    <cfRule type="cellIs" dxfId="204" priority="55" operator="equal">
      <formula>"Media"</formula>
    </cfRule>
    <cfRule type="cellIs" dxfId="203" priority="56" operator="equal">
      <formula>"Baja"</formula>
    </cfRule>
  </conditionalFormatting>
  <conditionalFormatting sqref="H64">
    <cfRule type="cellIs" dxfId="202" priority="28" operator="equal">
      <formula>"Baja"</formula>
    </cfRule>
    <cfRule type="cellIs" dxfId="201" priority="29" operator="equal">
      <formula>"Muy Baja"</formula>
    </cfRule>
    <cfRule type="cellIs" dxfId="200" priority="27" operator="equal">
      <formula>"Media"</formula>
    </cfRule>
    <cfRule type="cellIs" dxfId="199" priority="25" operator="equal">
      <formula>"Muy Alta"</formula>
    </cfRule>
    <cfRule type="cellIs" dxfId="198" priority="26" operator="equal">
      <formula>"Alta"</formula>
    </cfRule>
  </conditionalFormatting>
  <conditionalFormatting sqref="K10:K69">
    <cfRule type="containsText" dxfId="197" priority="1" operator="containsText" text="❌">
      <formula>NOT(ISERROR(SEARCH("❌",K10)))</formula>
    </cfRule>
  </conditionalFormatting>
  <conditionalFormatting sqref="L10 L16 L22 L28 L34 L40 L46 L52 L58 L64">
    <cfRule type="cellIs" dxfId="196" priority="316" operator="equal">
      <formula>"Moderado"</formula>
    </cfRule>
    <cfRule type="cellIs" dxfId="195" priority="315" operator="equal">
      <formula>"Mayor"</formula>
    </cfRule>
    <cfRule type="cellIs" dxfId="194" priority="314" operator="equal">
      <formula>"Catastrófico"</formula>
    </cfRule>
    <cfRule type="cellIs" dxfId="193" priority="318" operator="equal">
      <formula>"Leve"</formula>
    </cfRule>
    <cfRule type="cellIs" dxfId="192" priority="317" operator="equal">
      <formula>"Menor"</formula>
    </cfRule>
  </conditionalFormatting>
  <conditionalFormatting sqref="N10">
    <cfRule type="cellIs" dxfId="191" priority="313" operator="equal">
      <formula>"Bajo"</formula>
    </cfRule>
    <cfRule type="cellIs" dxfId="190" priority="312" operator="equal">
      <formula>"Moderado"</formula>
    </cfRule>
    <cfRule type="cellIs" dxfId="189" priority="311" operator="equal">
      <formula>"Alto"</formula>
    </cfRule>
    <cfRule type="cellIs" dxfId="188" priority="310" operator="equal">
      <formula>"Extremo"</formula>
    </cfRule>
  </conditionalFormatting>
  <conditionalFormatting sqref="N16">
    <cfRule type="cellIs" dxfId="187" priority="242" operator="equal">
      <formula>"Moderado"</formula>
    </cfRule>
    <cfRule type="cellIs" dxfId="186" priority="241" operator="equal">
      <formula>"Alto"</formula>
    </cfRule>
    <cfRule type="cellIs" dxfId="185" priority="240" operator="equal">
      <formula>"Extremo"</formula>
    </cfRule>
    <cfRule type="cellIs" dxfId="184" priority="243" operator="equal">
      <formula>"Bajo"</formula>
    </cfRule>
  </conditionalFormatting>
  <conditionalFormatting sqref="N22">
    <cfRule type="cellIs" dxfId="183" priority="214" operator="equal">
      <formula>"Moderado"</formula>
    </cfRule>
    <cfRule type="cellIs" dxfId="182" priority="213" operator="equal">
      <formula>"Alto"</formula>
    </cfRule>
    <cfRule type="cellIs" dxfId="181" priority="212" operator="equal">
      <formula>"Extremo"</formula>
    </cfRule>
    <cfRule type="cellIs" dxfId="180" priority="215" operator="equal">
      <formula>"Bajo"</formula>
    </cfRule>
  </conditionalFormatting>
  <conditionalFormatting sqref="N28">
    <cfRule type="cellIs" dxfId="179" priority="186" operator="equal">
      <formula>"Moderado"</formula>
    </cfRule>
    <cfRule type="cellIs" dxfId="178" priority="187" operator="equal">
      <formula>"Bajo"</formula>
    </cfRule>
    <cfRule type="cellIs" dxfId="177" priority="185" operator="equal">
      <formula>"Alto"</formula>
    </cfRule>
    <cfRule type="cellIs" dxfId="176" priority="184" operator="equal">
      <formula>"Extremo"</formula>
    </cfRule>
  </conditionalFormatting>
  <conditionalFormatting sqref="N34">
    <cfRule type="cellIs" dxfId="175" priority="157" operator="equal">
      <formula>"Alto"</formula>
    </cfRule>
    <cfRule type="cellIs" dxfId="174" priority="158" operator="equal">
      <formula>"Moderado"</formula>
    </cfRule>
    <cfRule type="cellIs" dxfId="173" priority="156" operator="equal">
      <formula>"Extremo"</formula>
    </cfRule>
    <cfRule type="cellIs" dxfId="172" priority="159" operator="equal">
      <formula>"Bajo"</formula>
    </cfRule>
  </conditionalFormatting>
  <conditionalFormatting sqref="N40">
    <cfRule type="cellIs" dxfId="171" priority="131" operator="equal">
      <formula>"Bajo"</formula>
    </cfRule>
    <cfRule type="cellIs" dxfId="170" priority="128" operator="equal">
      <formula>"Extremo"</formula>
    </cfRule>
    <cfRule type="cellIs" dxfId="169" priority="129" operator="equal">
      <formula>"Alto"</formula>
    </cfRule>
    <cfRule type="cellIs" dxfId="168" priority="130" operator="equal">
      <formula>"Moderado"</formula>
    </cfRule>
  </conditionalFormatting>
  <conditionalFormatting sqref="N46">
    <cfRule type="cellIs" dxfId="167" priority="103" operator="equal">
      <formula>"Bajo"</formula>
    </cfRule>
    <cfRule type="cellIs" dxfId="166" priority="100" operator="equal">
      <formula>"Extremo"</formula>
    </cfRule>
    <cfRule type="cellIs" dxfId="165" priority="101" operator="equal">
      <formula>"Alto"</formula>
    </cfRule>
    <cfRule type="cellIs" dxfId="164" priority="102" operator="equal">
      <formula>"Moderado"</formula>
    </cfRule>
  </conditionalFormatting>
  <conditionalFormatting sqref="N52">
    <cfRule type="cellIs" dxfId="163" priority="75" operator="equal">
      <formula>"Bajo"</formula>
    </cfRule>
    <cfRule type="cellIs" dxfId="162" priority="74" operator="equal">
      <formula>"Moderado"</formula>
    </cfRule>
    <cfRule type="cellIs" dxfId="161" priority="73" operator="equal">
      <formula>"Alto"</formula>
    </cfRule>
    <cfRule type="cellIs" dxfId="160" priority="72" operator="equal">
      <formula>"Extremo"</formula>
    </cfRule>
  </conditionalFormatting>
  <conditionalFormatting sqref="N58">
    <cfRule type="cellIs" dxfId="159" priority="47" operator="equal">
      <formula>"Bajo"</formula>
    </cfRule>
    <cfRule type="cellIs" dxfId="158" priority="44" operator="equal">
      <formula>"Extremo"</formula>
    </cfRule>
    <cfRule type="cellIs" dxfId="157" priority="45" operator="equal">
      <formula>"Alto"</formula>
    </cfRule>
    <cfRule type="cellIs" dxfId="156" priority="46" operator="equal">
      <formula>"Moderado"</formula>
    </cfRule>
  </conditionalFormatting>
  <conditionalFormatting sqref="N64">
    <cfRule type="cellIs" dxfId="155" priority="16" operator="equal">
      <formula>"Extremo"</formula>
    </cfRule>
    <cfRule type="cellIs" dxfId="154" priority="17" operator="equal">
      <formula>"Alto"</formula>
    </cfRule>
    <cfRule type="cellIs" dxfId="153" priority="18" operator="equal">
      <formula>"Moderado"</formula>
    </cfRule>
    <cfRule type="cellIs" dxfId="152" priority="19" operator="equal">
      <formula>"Bajo"</formula>
    </cfRule>
  </conditionalFormatting>
  <conditionalFormatting sqref="Y10:Y69">
    <cfRule type="cellIs" dxfId="151" priority="11" operator="equal">
      <formula>"Muy Alta"</formula>
    </cfRule>
    <cfRule type="cellIs" dxfId="150" priority="12" operator="equal">
      <formula>"Alta"</formula>
    </cfRule>
    <cfRule type="cellIs" dxfId="149" priority="13" operator="equal">
      <formula>"Media"</formula>
    </cfRule>
    <cfRule type="cellIs" dxfId="148" priority="14" operator="equal">
      <formula>"Baja"</formula>
    </cfRule>
    <cfRule type="cellIs" dxfId="147" priority="15" operator="equal">
      <formula>"Muy Baja"</formula>
    </cfRule>
  </conditionalFormatting>
  <conditionalFormatting sqref="AA10:AA69">
    <cfRule type="cellIs" dxfId="146" priority="6" operator="equal">
      <formula>"Catastrófico"</formula>
    </cfRule>
    <cfRule type="cellIs" dxfId="145" priority="7" operator="equal">
      <formula>"Mayor"</formula>
    </cfRule>
    <cfRule type="cellIs" dxfId="144" priority="8" operator="equal">
      <formula>"Moderado"</formula>
    </cfRule>
    <cfRule type="cellIs" dxfId="143" priority="9" operator="equal">
      <formula>"Menor"</formula>
    </cfRule>
    <cfRule type="cellIs" dxfId="142" priority="10" operator="equal">
      <formula>"Leve"</formula>
    </cfRule>
  </conditionalFormatting>
  <conditionalFormatting sqref="AC10:AC69">
    <cfRule type="cellIs" dxfId="141" priority="2" operator="equal">
      <formula>"Extremo"</formula>
    </cfRule>
    <cfRule type="cellIs" dxfId="140" priority="3" operator="equal">
      <formula>"Alto"</formula>
    </cfRule>
    <cfRule type="cellIs" dxfId="139" priority="4" operator="equal">
      <formula>"Moderado"</formula>
    </cfRule>
    <cfRule type="cellIs" dxfId="138" priority="5" operator="equal">
      <formula>"Bajo"</formula>
    </cfRule>
  </conditionalFormatting>
  <pageMargins left="0.7" right="0.7" top="0.75" bottom="0.75" header="0.3" footer="0.3"/>
  <pageSetup orientation="portrait" r:id="rId1"/>
  <ignoredErrors>
    <ignoredError sqref="AB12" formula="1"/>
  </ignoredErrors>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100-000000000000}">
          <x14:formula1>
            <xm:f>'Tabla Valoración controles'!$D$4:$D$6</xm:f>
          </x14:formula1>
          <xm:sqref>R10:R69</xm:sqref>
        </x14:dataValidation>
        <x14:dataValidation type="list" allowBlank="1" showInputMessage="1" showErrorMessage="1" xr:uid="{00000000-0002-0000-0100-000001000000}">
          <x14:formula1>
            <xm:f>'Tabla Valoración controles'!$D$7:$D$8</xm:f>
          </x14:formula1>
          <xm:sqref>S10:S69</xm:sqref>
        </x14:dataValidation>
        <x14:dataValidation type="list" allowBlank="1" showInputMessage="1" showErrorMessage="1" xr:uid="{00000000-0002-0000-0100-000002000000}">
          <x14:formula1>
            <xm:f>'Tabla Valoración controles'!$D$9:$D$10</xm:f>
          </x14:formula1>
          <xm:sqref>U10:U69</xm:sqref>
        </x14:dataValidation>
        <x14:dataValidation type="list" allowBlank="1" showInputMessage="1" showErrorMessage="1" xr:uid="{00000000-0002-0000-0100-000003000000}">
          <x14:formula1>
            <xm:f>'Tabla Valoración controles'!$D$11:$D$12</xm:f>
          </x14:formula1>
          <xm:sqref>V10:V69</xm:sqref>
        </x14:dataValidation>
        <x14:dataValidation type="list" allowBlank="1" showInputMessage="1" showErrorMessage="1" xr:uid="{00000000-0002-0000-0100-000004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 type="list" allowBlank="1" showInputMessage="1" showErrorMessage="1" xr:uid="{00000000-0002-0000-0100-000005000000}">
          <x14:formula1>
            <xm:f>'Tabla Valoración controles'!$D$13:$D$14</xm:f>
          </x14:formula1>
          <xm:sqref>W10:W69</xm:sqref>
        </x14:dataValidation>
        <x14:dataValidation type="list" allowBlank="1" showInputMessage="1" showErrorMessage="1" xr:uid="{00000000-0002-0000-0100-000006000000}">
          <x14:formula1>
            <xm:f>'Opciones Tratamiento'!$B$13:$B$19</xm:f>
          </x14:formula1>
          <xm:sqref>F10:F69</xm:sqref>
        </x14:dataValidation>
        <x14:dataValidation type="list" allowBlank="1" showInputMessage="1" showErrorMessage="1" xr:uid="{00000000-0002-0000-0100-000007000000}">
          <x14:formula1>
            <xm:f>'Opciones Tratamiento'!$E$2:$E$4</xm:f>
          </x14:formula1>
          <xm:sqref>B10:B69</xm:sqref>
        </x14:dataValidation>
        <x14:dataValidation type="list" allowBlank="1" showInputMessage="1" showErrorMessage="1" xr:uid="{00000000-0002-0000-0100-000008000000}">
          <x14:formula1>
            <xm:f>'Opciones Tratamiento'!$B$2:$B$5</xm:f>
          </x14:formula1>
          <xm:sqref>AD10:AD69</xm:sqref>
        </x14:dataValidation>
        <x14:dataValidation type="list" allowBlank="1" showInputMessage="1" showErrorMessage="1" xr:uid="{00000000-0002-0000-0100-000009000000}">
          <x14:formula1>
            <xm:f>'Tabla Impacto'!$F$210:$F$221</xm:f>
          </x14:formula1>
          <xm:sqref>J10:J69</xm:sqref>
        </x14:dataValidation>
        <x14:dataValidation type="custom" allowBlank="1" showInputMessage="1" showErrorMessage="1" error="Recuerde que las acciones se generan bajo la medida de mitigar el riesgo" xr:uid="{00000000-0002-0000-0100-00000A000000}">
          <x14:formula1>
            <xm:f>IF(OR(AD10='Opciones Tratamiento'!$B$2,AD10='Opciones Tratamiento'!$B$3,AD10='Opciones Tratamiento'!$B$4),ISBLANK(AD10),ISTEXT(AD10))</xm:f>
          </x14:formula1>
          <xm:sqref>AE10:AE69</xm:sqref>
        </x14:dataValidation>
        <x14:dataValidation type="custom" allowBlank="1" showInputMessage="1" showErrorMessage="1" error="Recuerde que las acciones se generan bajo la medida de mitigar el riesgo" xr:uid="{00000000-0002-0000-0100-00000B000000}">
          <x14:formula1>
            <xm:f>IF(OR(AD10='Opciones Tratamiento'!$B$2,AD10='Opciones Tratamiento'!$B$3,AD10='Opciones Tratamiento'!$B$4),ISBLANK(AD10),ISTEXT(AD10))</xm:f>
          </x14:formula1>
          <xm:sqref>AF10:AF69</xm:sqref>
        </x14:dataValidation>
        <x14:dataValidation type="custom" allowBlank="1" showInputMessage="1" showErrorMessage="1" error="Recuerde que las acciones se generan bajo la medida de mitigar el riesgo" xr:uid="{00000000-0002-0000-0100-00000C000000}">
          <x14:formula1>
            <xm:f>IF(OR(AD10='Opciones Tratamiento'!$B$2,AD10='Opciones Tratamiento'!$B$3,AD10='Opciones Tratamiento'!$B$4),ISBLANK(AD10),ISTEXT(AD10))</xm:f>
          </x14:formula1>
          <xm:sqref>AG10:AG69</xm:sqref>
        </x14:dataValidation>
        <x14:dataValidation type="custom" allowBlank="1" showInputMessage="1" showErrorMessage="1" error="Recuerde que las acciones se generan bajo la medida de mitigar el riesgo" xr:uid="{00000000-0002-0000-0100-00000D000000}">
          <x14:formula1>
            <xm:f>IF(OR(AD10='Opciones Tratamiento'!$B$2,AD10='Opciones Tratamiento'!$B$3,AD10='Opciones Tratamiento'!$B$4),ISBLANK(AD10),ISTEXT(AD10))</xm:f>
          </x14:formula1>
          <xm:sqref>AH10:AH69</xm:sqref>
        </x14:dataValidation>
        <x14:dataValidation type="custom" allowBlank="1" showInputMessage="1" showErrorMessage="1" error="Recuerde que las acciones se generan bajo la medida de mitigar el riesgo" xr:uid="{00000000-0002-0000-0100-00000E000000}">
          <x14:formula1>
            <xm:f>IF(OR(AD10='Opciones Tratamiento'!$B$2,AD10='Opciones Tratamiento'!$B$3,AD10='Opciones Tratamiento'!$B$4),ISBLANK(AD10),ISTEXT(AD10))</xm:f>
          </x14:formula1>
          <xm:sqref>AI10:AI69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66BD9-D227-41FE-9AD4-6CAAF1C7A242}">
  <sheetPr>
    <tabColor rgb="FFFFFF00"/>
  </sheetPr>
  <dimension ref="A3:B24"/>
  <sheetViews>
    <sheetView topLeftCell="A5" workbookViewId="0">
      <selection activeCell="B23" sqref="B23"/>
    </sheetView>
  </sheetViews>
  <sheetFormatPr baseColWidth="10" defaultRowHeight="15" x14ac:dyDescent="0.25"/>
  <sheetData>
    <row r="3" spans="1:2" x14ac:dyDescent="0.25">
      <c r="A3">
        <v>1</v>
      </c>
      <c r="B3" t="s">
        <v>594</v>
      </c>
    </row>
    <row r="4" spans="1:2" x14ac:dyDescent="0.25">
      <c r="A4">
        <v>12</v>
      </c>
      <c r="B4" t="s">
        <v>595</v>
      </c>
    </row>
    <row r="5" spans="1:2" x14ac:dyDescent="0.25">
      <c r="A5">
        <v>48</v>
      </c>
      <c r="B5" t="s">
        <v>596</v>
      </c>
    </row>
    <row r="6" spans="1:2" x14ac:dyDescent="0.25">
      <c r="A6">
        <v>13</v>
      </c>
      <c r="B6" t="s">
        <v>597</v>
      </c>
    </row>
    <row r="7" spans="1:2" x14ac:dyDescent="0.25">
      <c r="A7">
        <v>4</v>
      </c>
      <c r="B7" t="s">
        <v>598</v>
      </c>
    </row>
    <row r="8" spans="1:2" x14ac:dyDescent="0.25">
      <c r="A8">
        <v>1</v>
      </c>
      <c r="B8" t="s">
        <v>599</v>
      </c>
    </row>
    <row r="9" spans="1:2" x14ac:dyDescent="0.25">
      <c r="A9">
        <v>12</v>
      </c>
      <c r="B9" t="s">
        <v>600</v>
      </c>
    </row>
    <row r="10" spans="1:2" x14ac:dyDescent="0.25">
      <c r="A10">
        <v>12</v>
      </c>
      <c r="B10" t="s">
        <v>601</v>
      </c>
    </row>
    <row r="11" spans="1:2" x14ac:dyDescent="0.25">
      <c r="A11">
        <v>12</v>
      </c>
      <c r="B11" t="s">
        <v>602</v>
      </c>
    </row>
    <row r="12" spans="1:2" x14ac:dyDescent="0.25">
      <c r="A12">
        <v>12</v>
      </c>
      <c r="B12" t="s">
        <v>603</v>
      </c>
    </row>
    <row r="13" spans="1:2" x14ac:dyDescent="0.25">
      <c r="A13">
        <v>6</v>
      </c>
      <c r="B13" t="s">
        <v>604</v>
      </c>
    </row>
    <row r="14" spans="1:2" x14ac:dyDescent="0.25">
      <c r="A14">
        <v>6</v>
      </c>
      <c r="B14" t="s">
        <v>605</v>
      </c>
    </row>
    <row r="15" spans="1:2" x14ac:dyDescent="0.25">
      <c r="A15">
        <v>1</v>
      </c>
      <c r="B15" t="s">
        <v>606</v>
      </c>
    </row>
    <row r="16" spans="1:2" x14ac:dyDescent="0.25">
      <c r="A16">
        <v>1</v>
      </c>
      <c r="B16" t="s">
        <v>607</v>
      </c>
    </row>
    <row r="17" spans="1:2" x14ac:dyDescent="0.25">
      <c r="A17">
        <v>1</v>
      </c>
      <c r="B17" t="s">
        <v>608</v>
      </c>
    </row>
    <row r="18" spans="1:2" x14ac:dyDescent="0.25">
      <c r="A18">
        <v>2</v>
      </c>
      <c r="B18" t="s">
        <v>609</v>
      </c>
    </row>
    <row r="19" spans="1:2" x14ac:dyDescent="0.25">
      <c r="A19">
        <v>4</v>
      </c>
      <c r="B19" t="s">
        <v>610</v>
      </c>
    </row>
    <row r="20" spans="1:2" x14ac:dyDescent="0.25">
      <c r="A20">
        <v>4</v>
      </c>
      <c r="B20" t="s">
        <v>611</v>
      </c>
    </row>
    <row r="21" spans="1:2" x14ac:dyDescent="0.25">
      <c r="A21">
        <v>4</v>
      </c>
      <c r="B21" t="s">
        <v>612</v>
      </c>
    </row>
    <row r="22" spans="1:2" x14ac:dyDescent="0.25">
      <c r="A22">
        <v>4</v>
      </c>
      <c r="B22" t="s">
        <v>613</v>
      </c>
    </row>
    <row r="24" spans="1:2" x14ac:dyDescent="0.25">
      <c r="A24" s="221">
        <f>SUM(A3:A23)</f>
        <v>160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F370C-3FD1-4D3D-81F7-5A7ED9C76FB4}">
  <sheetPr>
    <tabColor rgb="FF002060"/>
  </sheetPr>
  <dimension ref="A1:QZ125"/>
  <sheetViews>
    <sheetView topLeftCell="N11" zoomScale="57" zoomScaleNormal="53" workbookViewId="0">
      <selection activeCell="AG13" sqref="AG13"/>
    </sheetView>
  </sheetViews>
  <sheetFormatPr baseColWidth="10" defaultColWidth="11.42578125" defaultRowHeight="16.5" x14ac:dyDescent="0.3"/>
  <cols>
    <col min="1" max="1" width="4" style="2" bestFit="1" customWidth="1"/>
    <col min="2" max="2" width="20" style="2" customWidth="1"/>
    <col min="3" max="3" width="13.140625" style="2" customWidth="1"/>
    <col min="4" max="4" width="16.140625" style="2" customWidth="1"/>
    <col min="5" max="5" width="32.42578125" style="1" customWidth="1"/>
    <col min="6" max="6" width="20.5703125" style="5" customWidth="1"/>
    <col min="7" max="7" width="17.85546875" style="1" customWidth="1"/>
    <col min="8" max="8" width="16.5703125" style="1" customWidth="1"/>
    <col min="9" max="9" width="9" style="1" customWidth="1"/>
    <col min="10" max="10" width="27.28515625" style="1" bestFit="1" customWidth="1"/>
    <col min="11" max="11" width="10.140625" style="1" hidden="1" customWidth="1"/>
    <col min="12" max="12" width="17.5703125" style="1" customWidth="1"/>
    <col min="13" max="13" width="9.28515625" style="1" customWidth="1"/>
    <col min="14" max="14" width="16" style="1" customWidth="1"/>
    <col min="15" max="15" width="5.85546875" style="1" customWidth="1"/>
    <col min="16" max="16" width="78.28515625" style="318" customWidth="1"/>
    <col min="17" max="17" width="15.140625" style="1" bestFit="1" customWidth="1"/>
    <col min="18" max="18" width="8.85546875" style="1" customWidth="1"/>
    <col min="19" max="20" width="8.140625" style="1" customWidth="1"/>
    <col min="21" max="23" width="9.5703125" style="1" customWidth="1"/>
    <col min="24" max="24" width="8.140625" style="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1" width="30.85546875" style="1" customWidth="1"/>
    <col min="32" max="32" width="23" style="1" customWidth="1"/>
    <col min="33" max="33" width="18.85546875" style="1" customWidth="1"/>
    <col min="34" max="34" width="21.7109375" style="1" customWidth="1"/>
    <col min="35" max="35" width="23.28515625" style="1" customWidth="1"/>
    <col min="36" max="16384" width="11.42578125" style="1"/>
  </cols>
  <sheetData>
    <row r="1" spans="1:468" ht="103.5" customHeight="1" x14ac:dyDescent="0.3">
      <c r="P1" s="1"/>
    </row>
    <row r="2" spans="1:468" x14ac:dyDescent="0.3">
      <c r="P2" s="1"/>
    </row>
    <row r="3" spans="1:468" ht="76.5" customHeight="1" x14ac:dyDescent="0.3">
      <c r="A3" s="307"/>
      <c r="P3" s="1"/>
    </row>
    <row r="4" spans="1:468" ht="19.5" customHeight="1" thickBot="1" x14ac:dyDescent="0.35">
      <c r="P4" s="1"/>
    </row>
    <row r="5" spans="1:468" ht="16.5" customHeight="1" x14ac:dyDescent="0.3">
      <c r="A5" s="536" t="s">
        <v>460</v>
      </c>
      <c r="B5" s="537"/>
      <c r="C5" s="537"/>
      <c r="D5" s="537"/>
      <c r="E5" s="537"/>
      <c r="F5" s="537"/>
      <c r="G5" s="537"/>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8"/>
    </row>
    <row r="6" spans="1:468" ht="24" customHeight="1" thickBot="1" x14ac:dyDescent="0.35">
      <c r="A6" s="674"/>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2"/>
    </row>
    <row r="7" spans="1:468" ht="26.25" customHeight="1" x14ac:dyDescent="0.3">
      <c r="A7" s="543" t="s">
        <v>43</v>
      </c>
      <c r="B7" s="543"/>
      <c r="C7" s="544" t="str">
        <f>'Datos del proceso'!A10</f>
        <v>GESTIÓN FINANCIERAS</v>
      </c>
      <c r="D7" s="544"/>
      <c r="E7" s="544"/>
      <c r="F7" s="544"/>
      <c r="G7" s="544"/>
      <c r="H7" s="544"/>
      <c r="I7" s="544"/>
      <c r="J7" s="544"/>
      <c r="K7" s="544"/>
      <c r="L7" s="544"/>
      <c r="M7" s="544"/>
      <c r="N7" s="544"/>
      <c r="O7" s="545"/>
      <c r="P7" s="545"/>
      <c r="Q7" s="545"/>
      <c r="R7" s="268"/>
      <c r="S7" s="268"/>
      <c r="T7" s="268"/>
      <c r="U7" s="268"/>
      <c r="V7" s="268"/>
      <c r="W7" s="268"/>
      <c r="X7" s="268"/>
      <c r="Y7" s="268"/>
      <c r="Z7" s="268"/>
      <c r="AA7" s="268"/>
      <c r="AB7" s="268"/>
      <c r="AC7" s="268"/>
      <c r="AD7" s="268"/>
      <c r="AE7" s="268"/>
      <c r="AF7" s="268"/>
      <c r="AG7" s="268"/>
      <c r="AH7" s="268"/>
      <c r="AI7" s="268"/>
    </row>
    <row r="8" spans="1:468" ht="70.5" customHeight="1" x14ac:dyDescent="0.3">
      <c r="A8" s="675" t="s">
        <v>130</v>
      </c>
      <c r="B8" s="675"/>
      <c r="C8" s="676" t="str">
        <f>'Datos del proceso'!I10</f>
        <v>Administrar las operaciones financieras y económicas de la FUGA de manera eficaz, transparente y oportuna para la toma de decisiones en cumplimiento de su misión durante la ejecución del plan de desarrollo, cumpliendo con el 100% de  las solicitudes internas de acuerdo a los procedimientos establecidos</v>
      </c>
      <c r="D8" s="676"/>
      <c r="E8" s="676"/>
      <c r="F8" s="676"/>
      <c r="G8" s="676"/>
      <c r="H8" s="676"/>
      <c r="I8" s="676"/>
      <c r="J8" s="676"/>
      <c r="K8" s="676"/>
      <c r="L8" s="676"/>
      <c r="M8" s="676"/>
      <c r="N8" s="676"/>
      <c r="O8" s="268"/>
      <c r="P8" s="270"/>
      <c r="Q8" s="268"/>
      <c r="R8" s="268"/>
      <c r="S8" s="268"/>
      <c r="T8" s="268"/>
      <c r="U8" s="268"/>
      <c r="V8" s="268"/>
      <c r="W8" s="268"/>
      <c r="X8" s="268"/>
      <c r="Y8" s="268"/>
      <c r="Z8" s="268"/>
      <c r="AA8" s="268"/>
      <c r="AB8" s="268"/>
      <c r="AC8" s="268"/>
      <c r="AD8" s="268"/>
      <c r="AE8" s="268"/>
      <c r="AF8" s="268"/>
      <c r="AG8" s="268"/>
      <c r="AH8" s="268"/>
      <c r="AI8" s="268"/>
    </row>
    <row r="9" spans="1:468" s="270" customFormat="1" ht="15" x14ac:dyDescent="0.2">
      <c r="A9" s="670" t="s">
        <v>139</v>
      </c>
      <c r="B9" s="670"/>
      <c r="C9" s="670"/>
      <c r="D9" s="670"/>
      <c r="E9" s="670"/>
      <c r="F9" s="670"/>
      <c r="G9" s="670"/>
      <c r="H9" s="670" t="s">
        <v>140</v>
      </c>
      <c r="I9" s="670"/>
      <c r="J9" s="670"/>
      <c r="K9" s="670"/>
      <c r="L9" s="670"/>
      <c r="M9" s="670"/>
      <c r="N9" s="670"/>
      <c r="O9" s="670" t="s">
        <v>141</v>
      </c>
      <c r="P9" s="670"/>
      <c r="Q9" s="670"/>
      <c r="R9" s="670"/>
      <c r="S9" s="670"/>
      <c r="T9" s="670"/>
      <c r="U9" s="670"/>
      <c r="V9" s="670"/>
      <c r="W9" s="670"/>
      <c r="X9" s="670" t="s">
        <v>142</v>
      </c>
      <c r="Y9" s="670"/>
      <c r="Z9" s="670"/>
      <c r="AA9" s="670"/>
      <c r="AB9" s="670"/>
      <c r="AC9" s="670"/>
      <c r="AD9" s="670"/>
      <c r="AE9" s="679" t="s">
        <v>34</v>
      </c>
      <c r="AF9" s="680"/>
      <c r="AG9" s="681"/>
      <c r="AH9" s="670" t="s">
        <v>553</v>
      </c>
      <c r="AI9" s="670"/>
    </row>
    <row r="10" spans="1:468" s="270" customFormat="1" ht="16.5" customHeight="1" x14ac:dyDescent="0.2">
      <c r="A10" s="678" t="s">
        <v>0</v>
      </c>
      <c r="B10" s="534" t="s">
        <v>627</v>
      </c>
      <c r="C10" s="534" t="s">
        <v>544</v>
      </c>
      <c r="D10" s="534" t="s">
        <v>545</v>
      </c>
      <c r="E10" s="533" t="s">
        <v>1</v>
      </c>
      <c r="F10" s="534" t="s">
        <v>477</v>
      </c>
      <c r="G10" s="548" t="s">
        <v>550</v>
      </c>
      <c r="H10" s="535" t="s">
        <v>480</v>
      </c>
      <c r="I10" s="534" t="s">
        <v>481</v>
      </c>
      <c r="J10" s="548" t="s">
        <v>628</v>
      </c>
      <c r="K10" s="677" t="s">
        <v>92</v>
      </c>
      <c r="L10" s="677" t="s">
        <v>482</v>
      </c>
      <c r="M10" s="677" t="s">
        <v>483</v>
      </c>
      <c r="N10" s="534" t="s">
        <v>484</v>
      </c>
      <c r="O10" s="551" t="s">
        <v>11</v>
      </c>
      <c r="P10" s="534" t="s">
        <v>163</v>
      </c>
      <c r="Q10" s="534" t="s">
        <v>503</v>
      </c>
      <c r="R10" s="534" t="s">
        <v>8</v>
      </c>
      <c r="S10" s="534"/>
      <c r="T10" s="534"/>
      <c r="U10" s="534"/>
      <c r="V10" s="534"/>
      <c r="W10" s="534"/>
      <c r="X10" s="551" t="s">
        <v>502</v>
      </c>
      <c r="Y10" s="551" t="s">
        <v>485</v>
      </c>
      <c r="Z10" s="551" t="s">
        <v>488</v>
      </c>
      <c r="AA10" s="551" t="s">
        <v>486</v>
      </c>
      <c r="AB10" s="551" t="s">
        <v>481</v>
      </c>
      <c r="AC10" s="551" t="s">
        <v>489</v>
      </c>
      <c r="AD10" s="551" t="s">
        <v>29</v>
      </c>
      <c r="AE10" s="534" t="s">
        <v>551</v>
      </c>
      <c r="AF10" s="534" t="s">
        <v>35</v>
      </c>
      <c r="AG10" s="534" t="s">
        <v>506</v>
      </c>
      <c r="AH10" s="534" t="s">
        <v>234</v>
      </c>
      <c r="AI10" s="534" t="s">
        <v>552</v>
      </c>
    </row>
    <row r="11" spans="1:468" s="273" customFormat="1" ht="83.25" customHeight="1" x14ac:dyDescent="0.25">
      <c r="A11" s="678"/>
      <c r="B11" s="533"/>
      <c r="C11" s="534"/>
      <c r="D11" s="534"/>
      <c r="E11" s="533"/>
      <c r="F11" s="534"/>
      <c r="G11" s="548"/>
      <c r="H11" s="535"/>
      <c r="I11" s="534"/>
      <c r="J11" s="548"/>
      <c r="K11" s="677"/>
      <c r="L11" s="573"/>
      <c r="M11" s="677"/>
      <c r="N11" s="534"/>
      <c r="O11" s="551"/>
      <c r="P11" s="534"/>
      <c r="Q11" s="534"/>
      <c r="R11" s="290" t="s">
        <v>490</v>
      </c>
      <c r="S11" s="290" t="s">
        <v>492</v>
      </c>
      <c r="T11" s="290" t="s">
        <v>487</v>
      </c>
      <c r="U11" s="290" t="s">
        <v>499</v>
      </c>
      <c r="V11" s="290" t="s">
        <v>500</v>
      </c>
      <c r="W11" s="290" t="s">
        <v>501</v>
      </c>
      <c r="X11" s="551"/>
      <c r="Y11" s="551"/>
      <c r="Z11" s="551"/>
      <c r="AA11" s="551"/>
      <c r="AB11" s="551"/>
      <c r="AC11" s="551"/>
      <c r="AD11" s="551"/>
      <c r="AE11" s="534"/>
      <c r="AF11" s="534"/>
      <c r="AG11" s="534"/>
      <c r="AH11" s="534"/>
      <c r="AI11" s="534"/>
      <c r="AJ11" s="303"/>
      <c r="AK11" s="303"/>
      <c r="AL11" s="303"/>
      <c r="AM11" s="303"/>
      <c r="AN11" s="303"/>
      <c r="AO11" s="303"/>
      <c r="AP11" s="303"/>
      <c r="AQ11" s="303"/>
      <c r="AR11" s="303"/>
      <c r="AS11" s="303"/>
      <c r="AT11" s="303"/>
      <c r="AU11" s="303"/>
      <c r="AV11" s="303"/>
      <c r="AW11" s="303"/>
      <c r="AX11" s="303"/>
      <c r="AY11" s="303"/>
      <c r="AZ11" s="303"/>
      <c r="BA11" s="303"/>
      <c r="BB11" s="303"/>
      <c r="BC11" s="303"/>
      <c r="BD11" s="303"/>
      <c r="BE11" s="303"/>
      <c r="BF11" s="303"/>
      <c r="BG11" s="303"/>
      <c r="BH11" s="303"/>
      <c r="BI11" s="303"/>
      <c r="BJ11" s="303"/>
      <c r="BK11" s="303"/>
      <c r="BL11" s="303"/>
      <c r="BM11" s="303"/>
      <c r="BN11" s="303"/>
      <c r="BO11" s="303"/>
      <c r="BP11" s="303"/>
      <c r="BQ11" s="303"/>
      <c r="BR11" s="303"/>
      <c r="BS11" s="303"/>
      <c r="BT11" s="303"/>
      <c r="BU11" s="303"/>
      <c r="BV11" s="303"/>
      <c r="BW11" s="303"/>
      <c r="BX11" s="303"/>
      <c r="BY11" s="303"/>
      <c r="BZ11" s="303"/>
      <c r="CA11" s="303"/>
      <c r="CB11" s="303"/>
      <c r="CC11" s="303"/>
      <c r="CD11" s="303"/>
      <c r="CE11" s="303"/>
      <c r="CF11" s="303"/>
      <c r="CG11" s="303"/>
      <c r="CH11" s="303"/>
      <c r="CI11" s="303"/>
      <c r="CJ11" s="303"/>
      <c r="CK11" s="303"/>
      <c r="CL11" s="303"/>
      <c r="CM11" s="303"/>
      <c r="CN11" s="303"/>
      <c r="CO11" s="303"/>
      <c r="CP11" s="303"/>
      <c r="CQ11" s="303"/>
      <c r="CR11" s="303"/>
      <c r="CS11" s="303"/>
      <c r="CT11" s="303"/>
      <c r="CU11" s="303"/>
      <c r="CV11" s="303"/>
      <c r="CW11" s="303"/>
      <c r="CX11" s="303"/>
      <c r="CY11" s="303"/>
      <c r="CZ11" s="303"/>
      <c r="DA11" s="303"/>
      <c r="DB11" s="303"/>
      <c r="DC11" s="303"/>
      <c r="DD11" s="303"/>
      <c r="DE11" s="303"/>
      <c r="DF11" s="303"/>
      <c r="DG11" s="303"/>
      <c r="DH11" s="303"/>
      <c r="DI11" s="303"/>
      <c r="DJ11" s="303"/>
      <c r="DK11" s="303"/>
      <c r="DL11" s="303"/>
      <c r="DM11" s="303"/>
      <c r="DN11" s="303"/>
      <c r="DO11" s="303"/>
      <c r="DP11" s="303"/>
      <c r="DQ11" s="303"/>
      <c r="DR11" s="303"/>
      <c r="DS11" s="303"/>
      <c r="DT11" s="303"/>
      <c r="DU11" s="303"/>
      <c r="DV11" s="303"/>
      <c r="DW11" s="303"/>
      <c r="DX11" s="303"/>
      <c r="DY11" s="303"/>
      <c r="DZ11" s="303"/>
      <c r="EA11" s="303"/>
      <c r="EB11" s="303"/>
      <c r="EC11" s="303"/>
      <c r="ED11" s="303"/>
      <c r="EE11" s="303"/>
      <c r="EF11" s="303"/>
      <c r="EG11" s="303"/>
      <c r="EH11" s="303"/>
      <c r="EI11" s="303"/>
      <c r="EJ11" s="303"/>
      <c r="EK11" s="303"/>
      <c r="EL11" s="303"/>
      <c r="EM11" s="303"/>
      <c r="EN11" s="303"/>
      <c r="EO11" s="303"/>
      <c r="EP11" s="303"/>
      <c r="EQ11" s="303"/>
      <c r="ER11" s="303"/>
      <c r="ES11" s="303"/>
      <c r="ET11" s="303"/>
      <c r="EU11" s="303"/>
      <c r="EV11" s="303"/>
      <c r="EW11" s="303"/>
      <c r="EX11" s="303"/>
      <c r="EY11" s="303"/>
      <c r="EZ11" s="303"/>
      <c r="FA11" s="303"/>
      <c r="FB11" s="303"/>
      <c r="FC11" s="303"/>
      <c r="FD11" s="303"/>
      <c r="FE11" s="303"/>
      <c r="FF11" s="303"/>
      <c r="FG11" s="303"/>
      <c r="FH11" s="303"/>
      <c r="FI11" s="303"/>
      <c r="FJ11" s="303"/>
      <c r="FK11" s="303"/>
      <c r="FL11" s="303"/>
      <c r="FM11" s="303"/>
      <c r="FN11" s="303"/>
      <c r="FO11" s="303"/>
      <c r="FP11" s="303"/>
      <c r="FQ11" s="303"/>
      <c r="FR11" s="303"/>
      <c r="FS11" s="303"/>
      <c r="FT11" s="303"/>
      <c r="FU11" s="303"/>
      <c r="FV11" s="303"/>
      <c r="FW11" s="303"/>
      <c r="FX11" s="303"/>
      <c r="FY11" s="303"/>
      <c r="FZ11" s="303"/>
      <c r="GA11" s="303"/>
      <c r="GB11" s="303"/>
      <c r="GC11" s="303"/>
      <c r="GD11" s="303"/>
      <c r="GE11" s="303"/>
      <c r="GF11" s="303"/>
      <c r="GG11" s="303"/>
      <c r="GH11" s="303"/>
      <c r="GI11" s="303"/>
      <c r="GJ11" s="303"/>
      <c r="GK11" s="303"/>
      <c r="GL11" s="303"/>
      <c r="GM11" s="303"/>
      <c r="GN11" s="303"/>
      <c r="GO11" s="303"/>
      <c r="GP11" s="303"/>
      <c r="GQ11" s="303"/>
      <c r="GR11" s="303"/>
      <c r="GS11" s="303"/>
      <c r="GT11" s="303"/>
      <c r="GU11" s="303"/>
      <c r="GV11" s="303"/>
      <c r="GW11" s="303"/>
      <c r="GX11" s="303"/>
      <c r="GY11" s="303"/>
      <c r="GZ11" s="303"/>
      <c r="HA11" s="303"/>
      <c r="HB11" s="303"/>
      <c r="HC11" s="303"/>
      <c r="HD11" s="303"/>
      <c r="HE11" s="303"/>
      <c r="HF11" s="303"/>
      <c r="HG11" s="303"/>
      <c r="HH11" s="303"/>
      <c r="HI11" s="303"/>
      <c r="HJ11" s="303"/>
      <c r="HK11" s="303"/>
      <c r="HL11" s="303"/>
      <c r="HM11" s="303"/>
      <c r="HN11" s="303"/>
      <c r="HO11" s="303"/>
      <c r="HP11" s="303"/>
      <c r="HQ11" s="303"/>
      <c r="HR11" s="303"/>
      <c r="HS11" s="303"/>
      <c r="HT11" s="303"/>
      <c r="HU11" s="303"/>
      <c r="HV11" s="303"/>
      <c r="HW11" s="303"/>
      <c r="HX11" s="303"/>
      <c r="HY11" s="303"/>
      <c r="HZ11" s="303"/>
      <c r="IA11" s="303"/>
      <c r="IB11" s="303"/>
      <c r="IC11" s="303"/>
      <c r="ID11" s="303"/>
      <c r="IE11" s="303"/>
      <c r="IF11" s="303"/>
      <c r="IG11" s="303"/>
      <c r="IH11" s="303"/>
      <c r="II11" s="303"/>
      <c r="IJ11" s="303"/>
      <c r="IK11" s="303"/>
      <c r="IL11" s="303"/>
      <c r="IM11" s="303"/>
      <c r="IN11" s="303"/>
      <c r="IO11" s="303"/>
      <c r="IP11" s="303"/>
      <c r="IQ11" s="303"/>
      <c r="IR11" s="303"/>
      <c r="IS11" s="303"/>
      <c r="IT11" s="303"/>
      <c r="IU11" s="303"/>
      <c r="IV11" s="303"/>
      <c r="IW11" s="303"/>
      <c r="IX11" s="303"/>
      <c r="IY11" s="303"/>
      <c r="IZ11" s="303"/>
      <c r="JA11" s="303"/>
      <c r="JB11" s="303"/>
      <c r="JC11" s="303"/>
      <c r="JD11" s="303"/>
      <c r="JE11" s="303"/>
      <c r="JF11" s="303"/>
      <c r="JG11" s="303"/>
      <c r="JH11" s="303"/>
      <c r="JI11" s="303"/>
      <c r="JJ11" s="303"/>
      <c r="JK11" s="303"/>
      <c r="JL11" s="303"/>
      <c r="JM11" s="303"/>
      <c r="JN11" s="303"/>
      <c r="JO11" s="303"/>
      <c r="JP11" s="303"/>
      <c r="JQ11" s="303"/>
      <c r="JR11" s="303"/>
      <c r="JS11" s="303"/>
      <c r="JT11" s="303"/>
      <c r="JU11" s="303"/>
      <c r="JV11" s="303"/>
      <c r="JW11" s="303"/>
      <c r="JX11" s="303"/>
      <c r="JY11" s="303"/>
      <c r="JZ11" s="303"/>
      <c r="KA11" s="303"/>
      <c r="KB11" s="303"/>
      <c r="KC11" s="303"/>
      <c r="KD11" s="303"/>
      <c r="KE11" s="303"/>
      <c r="KF11" s="303"/>
      <c r="KG11" s="303"/>
      <c r="KH11" s="303"/>
      <c r="KI11" s="303"/>
      <c r="KJ11" s="303"/>
      <c r="KK11" s="303"/>
      <c r="KL11" s="303"/>
      <c r="KM11" s="303"/>
      <c r="KN11" s="303"/>
      <c r="KO11" s="303"/>
      <c r="KP11" s="303"/>
      <c r="KQ11" s="303"/>
      <c r="KR11" s="303"/>
      <c r="KS11" s="303"/>
      <c r="KT11" s="303"/>
      <c r="KU11" s="303"/>
      <c r="KV11" s="303"/>
      <c r="KW11" s="303"/>
      <c r="KX11" s="303"/>
      <c r="KY11" s="303"/>
      <c r="KZ11" s="303"/>
      <c r="LA11" s="303"/>
      <c r="LB11" s="303"/>
      <c r="LC11" s="303"/>
      <c r="LD11" s="303"/>
      <c r="LE11" s="303"/>
      <c r="LF11" s="303"/>
      <c r="LG11" s="303"/>
      <c r="LH11" s="303"/>
      <c r="LI11" s="303"/>
      <c r="LJ11" s="303"/>
      <c r="LK11" s="303"/>
      <c r="LL11" s="303"/>
      <c r="LM11" s="303"/>
      <c r="LN11" s="303"/>
      <c r="LO11" s="303"/>
      <c r="LP11" s="303"/>
      <c r="LQ11" s="303"/>
      <c r="LR11" s="303"/>
      <c r="LS11" s="303"/>
      <c r="LT11" s="303"/>
      <c r="LU11" s="303"/>
      <c r="LV11" s="303"/>
      <c r="LW11" s="303"/>
      <c r="LX11" s="303"/>
      <c r="LY11" s="303"/>
      <c r="LZ11" s="303"/>
      <c r="MA11" s="303"/>
      <c r="MB11" s="303"/>
      <c r="MC11" s="303"/>
      <c r="MD11" s="303"/>
      <c r="ME11" s="303"/>
      <c r="MF11" s="303"/>
      <c r="MG11" s="303"/>
      <c r="MH11" s="303"/>
      <c r="MI11" s="303"/>
      <c r="MJ11" s="303"/>
      <c r="MK11" s="303"/>
      <c r="ML11" s="303"/>
      <c r="MM11" s="303"/>
      <c r="MN11" s="303"/>
      <c r="MO11" s="303"/>
      <c r="MP11" s="303"/>
      <c r="MQ11" s="303"/>
      <c r="MR11" s="303"/>
      <c r="MS11" s="303"/>
      <c r="MT11" s="303"/>
      <c r="MU11" s="303"/>
      <c r="MV11" s="303"/>
      <c r="MW11" s="303"/>
      <c r="MX11" s="303"/>
      <c r="MY11" s="303"/>
      <c r="MZ11" s="303"/>
      <c r="NA11" s="303"/>
      <c r="NB11" s="303"/>
      <c r="NC11" s="303"/>
      <c r="ND11" s="303"/>
      <c r="NE11" s="303"/>
      <c r="NF11" s="303"/>
      <c r="NG11" s="303"/>
      <c r="NH11" s="303"/>
      <c r="NI11" s="303"/>
      <c r="NJ11" s="303"/>
      <c r="NK11" s="303"/>
      <c r="NL11" s="303"/>
      <c r="NM11" s="303"/>
      <c r="NN11" s="303"/>
      <c r="NO11" s="303"/>
      <c r="NP11" s="303"/>
      <c r="NQ11" s="303"/>
      <c r="NR11" s="303"/>
      <c r="NS11" s="303"/>
      <c r="NT11" s="303"/>
      <c r="NU11" s="303"/>
      <c r="NV11" s="303"/>
      <c r="NW11" s="303"/>
      <c r="NX11" s="303"/>
      <c r="NY11" s="303"/>
      <c r="NZ11" s="303"/>
      <c r="OA11" s="303"/>
      <c r="OB11" s="303"/>
      <c r="OC11" s="303"/>
      <c r="OD11" s="303"/>
      <c r="OE11" s="303"/>
      <c r="OF11" s="303"/>
      <c r="OG11" s="303"/>
      <c r="OH11" s="303"/>
      <c r="OI11" s="303"/>
      <c r="OJ11" s="303"/>
      <c r="OK11" s="303"/>
      <c r="OL11" s="303"/>
      <c r="OM11" s="303"/>
      <c r="ON11" s="303"/>
      <c r="OO11" s="303"/>
      <c r="OP11" s="303"/>
      <c r="OQ11" s="303"/>
      <c r="OR11" s="303"/>
      <c r="OS11" s="303"/>
      <c r="OT11" s="303"/>
      <c r="OU11" s="303"/>
      <c r="OV11" s="303"/>
      <c r="OW11" s="303"/>
      <c r="OX11" s="303"/>
      <c r="OY11" s="303"/>
      <c r="OZ11" s="303"/>
      <c r="PA11" s="303"/>
      <c r="PB11" s="303"/>
      <c r="PC11" s="303"/>
      <c r="PD11" s="303"/>
      <c r="PE11" s="303"/>
      <c r="PF11" s="303"/>
      <c r="PG11" s="303"/>
      <c r="PH11" s="303"/>
      <c r="PI11" s="303"/>
      <c r="PJ11" s="303"/>
      <c r="PK11" s="303"/>
      <c r="PL11" s="303"/>
      <c r="PM11" s="303"/>
      <c r="PN11" s="303"/>
      <c r="PO11" s="303"/>
      <c r="PP11" s="303"/>
      <c r="PQ11" s="303"/>
      <c r="PR11" s="303"/>
      <c r="PS11" s="303"/>
      <c r="PT11" s="303"/>
      <c r="PU11" s="303"/>
      <c r="PV11" s="303"/>
      <c r="PW11" s="303"/>
      <c r="PX11" s="303"/>
      <c r="PY11" s="303"/>
      <c r="PZ11" s="303"/>
      <c r="QA11" s="303"/>
      <c r="QB11" s="303"/>
      <c r="QC11" s="303"/>
      <c r="QD11" s="303"/>
      <c r="QE11" s="303"/>
      <c r="QF11" s="303"/>
      <c r="QG11" s="303"/>
      <c r="QH11" s="303"/>
      <c r="QI11" s="303"/>
      <c r="QJ11" s="303"/>
      <c r="QK11" s="303"/>
      <c r="QL11" s="303"/>
      <c r="QM11" s="303"/>
      <c r="QN11" s="303"/>
      <c r="QO11" s="303"/>
      <c r="QP11" s="303"/>
      <c r="QQ11" s="303"/>
      <c r="QR11" s="303"/>
      <c r="QS11" s="303"/>
      <c r="QT11" s="303"/>
      <c r="QU11" s="303"/>
      <c r="QV11" s="303"/>
      <c r="QW11" s="303"/>
      <c r="QX11" s="303"/>
      <c r="QY11" s="303"/>
    </row>
    <row r="12" spans="1:468" s="287" customFormat="1" ht="174.75" customHeight="1" x14ac:dyDescent="0.25">
      <c r="A12" s="654">
        <v>1</v>
      </c>
      <c r="B12" s="657" t="s">
        <v>617</v>
      </c>
      <c r="C12" s="659" t="s">
        <v>580</v>
      </c>
      <c r="D12" s="659" t="s">
        <v>618</v>
      </c>
      <c r="E12" s="661" t="s">
        <v>619</v>
      </c>
      <c r="F12" s="657" t="s">
        <v>470</v>
      </c>
      <c r="G12" s="664">
        <v>160</v>
      </c>
      <c r="H12" s="645" t="str">
        <f>IF(G12&lt;=0,"",IF(G12&lt;=2,"Muy Baja",IF(G12&lt;=24,"Baja",IF(G12&lt;=500,"Media",IF(G12&lt;=5000,"Alta","Muy Alta")))))</f>
        <v>Media</v>
      </c>
      <c r="I12" s="642">
        <f>IF(H12="","",IF(H12="Muy Baja",0.2,IF(H12="Baja",0.4,IF(H12="Media",0.6,IF(H12="Alta",0.8,IF(H12="Muy Alta",1,))))))</f>
        <v>0.6</v>
      </c>
      <c r="J12" s="689">
        <v>0.6</v>
      </c>
      <c r="K12" s="320">
        <f>IF(NOT(ISERROR(MATCH(J12,'[2]Tabla Impacto'!$B$221:$B$223,0))),'[2]Tabla Impacto'!$F$223&amp;"Por favor no seleccionar los criterios de impacto(Afectación Económica o presupuestal y Pérdida Reputacional)",J12)</f>
        <v>0.6</v>
      </c>
      <c r="L12" s="645" t="str">
        <f>IF(J12&lt;=0,"",IF(J12&lt;=20%,"Leve",IF(J12&lt;=40%,"Menor",IF(J12&lt;=60%,"Moderado",IF(J12&lt;=80%,"Mayor","Catastrófico")))))</f>
        <v>Moderado</v>
      </c>
      <c r="M12" s="642">
        <f>IF(L12="","",IF(L12="Leve",0.2,IF(L12="Menor",0.4,IF(L12="Moderado",0.6,IF(L12="Mayor",0.8,IF(L12="Catastrófico",1,))))))</f>
        <v>0.6</v>
      </c>
      <c r="N12" s="639" t="str">
        <f>IF(OR(AND(H12="Muy Baja",L12="Leve"),AND(H12="Muy Baja",L12="Menor"),AND(H12="Baja",L12="Leve")),"Bajo",IF(OR(AND(H12="Muy baja",L12="Moderado"),AND(H12="Baja",L12="Menor"),AND(H12="Baja",L12="Moderado"),AND(H12="Media",L12="Leve"),AND(H12="Media",L12="Menor"),AND(H12="Media",L12="Moderado"),AND(H12="Alta",L12="Leve"),AND(H12="Alta",L12="Menor")),"Moderado",IF(OR(AND(H12="Muy Baja",L12="Mayor"),AND(H12="Baja",L12="Mayor"),AND(H12="Media",L12="Mayor"),AND(H12="Alta",L12="Moderado"),AND(H12="Alta",L12="Mayor"),AND(H12="Muy Alta",L12="Leve"),AND(H12="Muy Alta",L12="Menor"),AND(H12="Muy Alta",L12="Moderado"),AND(H12="Muy Alta",L12="Mayor")),"Alto",IF(OR(AND(H12="Muy Baja",L12="Catastrófico"),AND(H12="Baja",L12="Catastrófico"),AND(H12="Media",L12="Catastrófico"),AND(H12="Alta",L12="Catastrófico"),AND(H12="Muy Alta",L12="Catastrófico")),"Extremo",""))))</f>
        <v>Moderado</v>
      </c>
      <c r="O12" s="321">
        <v>1</v>
      </c>
      <c r="P12" s="434" t="s">
        <v>620</v>
      </c>
      <c r="Q12" s="276" t="str">
        <f>IF(OR(R12="Preventivo",R12="Detectivo"),"Probabilidad",IF(R12="Correctivo","Impacto",""))</f>
        <v>Probabilidad</v>
      </c>
      <c r="R12" s="277" t="s">
        <v>14</v>
      </c>
      <c r="S12" s="277" t="s">
        <v>9</v>
      </c>
      <c r="T12" s="278" t="str">
        <f>IF(AND(R12="Preventivo",S12="Automático"),"50%",IF(AND(R12="Preventivo",S12="Manual"),"40%",IF(AND(R12="Detectivo",S12="Automático"),"40%",IF(AND(R12="Detectivo",S12="Manual"),"30%",IF(AND(R12="Correctivo",S12="Automático"),"35%",IF(AND(R12="Correctivo",S12="Manual"),"25%",""))))))</f>
        <v>40%</v>
      </c>
      <c r="U12" s="277" t="s">
        <v>493</v>
      </c>
      <c r="V12" s="277" t="s">
        <v>22</v>
      </c>
      <c r="W12" s="277" t="s">
        <v>497</v>
      </c>
      <c r="X12" s="279">
        <f>IFERROR(IF(Q12="Probabilidad",(I12-(+I12*T12)),IF(Q12="Impacto",I12,"")),"")</f>
        <v>0.36</v>
      </c>
      <c r="Y12" s="280" t="str">
        <f>IFERROR(IF(X12="","",IF(X12&lt;=0.2,"Muy Baja",IF(X12&lt;=0.4,"Baja",IF(X12&lt;=0.6,"Media",IF(X12&lt;=0.8,"Alta","Muy Alta"))))),"")</f>
        <v>Baja</v>
      </c>
      <c r="Z12" s="278">
        <f>+X12</f>
        <v>0.36</v>
      </c>
      <c r="AA12" s="280" t="str">
        <f>IFERROR(IF(AB12="","",IF(AB12&lt;=0.2,"Leve",IF(AB12&lt;=0.4,"Menor",IF(AB12&lt;=0.6,"Moderado",IF(AB12&lt;=0.8,"Mayor","Catastrófico"))))),"")</f>
        <v>Moderado</v>
      </c>
      <c r="AB12" s="278">
        <f>IFERROR(IF(Q12="Impacto",(M12-(+M12*T12)),IF(Q12="Probabilidad",M12,"")),"")</f>
        <v>0.6</v>
      </c>
      <c r="AC12" s="281"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Moderado</v>
      </c>
      <c r="AD12" s="277" t="s">
        <v>30</v>
      </c>
      <c r="AE12" s="434" t="s">
        <v>621</v>
      </c>
      <c r="AF12" s="323" t="s">
        <v>622</v>
      </c>
      <c r="AG12" s="324">
        <v>44803</v>
      </c>
      <c r="AH12" s="651" t="s">
        <v>634</v>
      </c>
      <c r="AI12" s="651" t="s">
        <v>633</v>
      </c>
      <c r="AJ12" s="304"/>
      <c r="AK12" s="304"/>
      <c r="AL12" s="304"/>
      <c r="AM12" s="304"/>
      <c r="AN12" s="304"/>
      <c r="AO12" s="304"/>
      <c r="AP12" s="304"/>
      <c r="AQ12" s="304"/>
      <c r="AR12" s="304"/>
      <c r="AS12" s="304"/>
      <c r="AT12" s="304"/>
      <c r="AU12" s="304"/>
      <c r="AV12" s="304"/>
      <c r="AW12" s="304"/>
      <c r="AX12" s="304"/>
      <c r="AY12" s="304"/>
      <c r="AZ12" s="304"/>
      <c r="BA12" s="304"/>
      <c r="BB12" s="304"/>
      <c r="BC12" s="304"/>
      <c r="BD12" s="304"/>
      <c r="BE12" s="304"/>
      <c r="BF12" s="304"/>
      <c r="BG12" s="304"/>
      <c r="BH12" s="304"/>
      <c r="BI12" s="304"/>
      <c r="BJ12" s="304"/>
      <c r="BK12" s="304"/>
      <c r="BL12" s="304"/>
      <c r="BM12" s="304"/>
      <c r="BN12" s="304"/>
      <c r="BO12" s="304"/>
      <c r="BP12" s="304"/>
      <c r="BQ12" s="304"/>
      <c r="BR12" s="304"/>
      <c r="BS12" s="304"/>
      <c r="BT12" s="304"/>
      <c r="BU12" s="304"/>
      <c r="BV12" s="304"/>
      <c r="BW12" s="304"/>
      <c r="BX12" s="304"/>
      <c r="BY12" s="304"/>
      <c r="BZ12" s="304"/>
      <c r="CA12" s="304"/>
      <c r="CB12" s="304"/>
      <c r="CC12" s="304"/>
      <c r="CD12" s="304"/>
      <c r="CE12" s="304"/>
      <c r="CF12" s="304"/>
      <c r="CG12" s="304"/>
      <c r="CH12" s="304"/>
      <c r="CI12" s="304"/>
      <c r="CJ12" s="304"/>
      <c r="CK12" s="304"/>
      <c r="CL12" s="304"/>
      <c r="CM12" s="304"/>
      <c r="CN12" s="304"/>
      <c r="CO12" s="304"/>
      <c r="CP12" s="304"/>
      <c r="CQ12" s="304"/>
      <c r="CR12" s="304"/>
      <c r="CS12" s="304"/>
      <c r="CT12" s="304"/>
      <c r="CU12" s="304"/>
      <c r="CV12" s="304"/>
      <c r="CW12" s="304"/>
      <c r="CX12" s="304"/>
      <c r="CY12" s="304"/>
      <c r="CZ12" s="304"/>
      <c r="DA12" s="304"/>
      <c r="DB12" s="304"/>
      <c r="DC12" s="304"/>
      <c r="DD12" s="304"/>
      <c r="DE12" s="304"/>
      <c r="DF12" s="304"/>
      <c r="DG12" s="304"/>
      <c r="DH12" s="304"/>
      <c r="DI12" s="304"/>
      <c r="DJ12" s="304"/>
      <c r="DK12" s="304"/>
      <c r="DL12" s="304"/>
      <c r="DM12" s="304"/>
      <c r="DN12" s="304"/>
      <c r="DO12" s="304"/>
      <c r="DP12" s="304"/>
      <c r="DQ12" s="304"/>
      <c r="DR12" s="304"/>
      <c r="DS12" s="304"/>
      <c r="DT12" s="304"/>
      <c r="DU12" s="304"/>
      <c r="DV12" s="304"/>
      <c r="DW12" s="304"/>
      <c r="DX12" s="304"/>
      <c r="DY12" s="304"/>
      <c r="DZ12" s="304"/>
      <c r="EA12" s="304"/>
      <c r="EB12" s="304"/>
      <c r="EC12" s="304"/>
      <c r="ED12" s="304"/>
      <c r="EE12" s="304"/>
      <c r="EF12" s="304"/>
      <c r="EG12" s="304"/>
      <c r="EH12" s="304"/>
      <c r="EI12" s="304"/>
      <c r="EJ12" s="304"/>
      <c r="EK12" s="304"/>
      <c r="EL12" s="304"/>
      <c r="EM12" s="304"/>
      <c r="EN12" s="304"/>
      <c r="EO12" s="304"/>
      <c r="EP12" s="304"/>
      <c r="EQ12" s="304"/>
      <c r="ER12" s="304"/>
      <c r="ES12" s="304"/>
      <c r="ET12" s="304"/>
      <c r="EU12" s="304"/>
      <c r="EV12" s="304"/>
      <c r="EW12" s="304"/>
      <c r="EX12" s="304"/>
      <c r="EY12" s="304"/>
      <c r="EZ12" s="304"/>
      <c r="FA12" s="304"/>
      <c r="FB12" s="304"/>
      <c r="FC12" s="304"/>
      <c r="FD12" s="304"/>
      <c r="FE12" s="304"/>
      <c r="FF12" s="304"/>
      <c r="FG12" s="304"/>
      <c r="FH12" s="304"/>
      <c r="FI12" s="304"/>
      <c r="FJ12" s="304"/>
      <c r="FK12" s="304"/>
      <c r="FL12" s="304"/>
      <c r="FM12" s="304"/>
      <c r="FN12" s="304"/>
      <c r="FO12" s="304"/>
      <c r="FP12" s="304"/>
      <c r="FQ12" s="304"/>
      <c r="FR12" s="304"/>
      <c r="FS12" s="304"/>
      <c r="FT12" s="304"/>
      <c r="FU12" s="304"/>
      <c r="FV12" s="304"/>
      <c r="FW12" s="304"/>
      <c r="FX12" s="304"/>
      <c r="FY12" s="304"/>
      <c r="FZ12" s="304"/>
      <c r="GA12" s="304"/>
      <c r="GB12" s="304"/>
      <c r="GC12" s="304"/>
      <c r="GD12" s="304"/>
      <c r="GE12" s="304"/>
      <c r="GF12" s="304"/>
      <c r="GG12" s="304"/>
      <c r="GH12" s="304"/>
      <c r="GI12" s="304"/>
      <c r="GJ12" s="304"/>
      <c r="GK12" s="304"/>
      <c r="GL12" s="304"/>
      <c r="GM12" s="304"/>
      <c r="GN12" s="304"/>
      <c r="GO12" s="304"/>
      <c r="GP12" s="304"/>
      <c r="GQ12" s="304"/>
      <c r="GR12" s="304"/>
      <c r="GS12" s="304"/>
      <c r="GT12" s="304"/>
      <c r="GU12" s="304"/>
      <c r="GV12" s="304"/>
      <c r="GW12" s="304"/>
      <c r="GX12" s="304"/>
      <c r="GY12" s="304"/>
      <c r="GZ12" s="304"/>
      <c r="HA12" s="304"/>
      <c r="HB12" s="304"/>
      <c r="HC12" s="304"/>
      <c r="HD12" s="304"/>
      <c r="HE12" s="304"/>
      <c r="HF12" s="304"/>
      <c r="HG12" s="304"/>
      <c r="HH12" s="304"/>
      <c r="HI12" s="304"/>
      <c r="HJ12" s="304"/>
      <c r="HK12" s="304"/>
      <c r="HL12" s="304"/>
      <c r="HM12" s="304"/>
      <c r="HN12" s="304"/>
      <c r="HO12" s="304"/>
      <c r="HP12" s="304"/>
      <c r="HQ12" s="304"/>
      <c r="HR12" s="304"/>
      <c r="HS12" s="304"/>
      <c r="HT12" s="304"/>
      <c r="HU12" s="304"/>
      <c r="HV12" s="304"/>
      <c r="HW12" s="304"/>
      <c r="HX12" s="304"/>
      <c r="HY12" s="304"/>
      <c r="HZ12" s="304"/>
      <c r="IA12" s="304"/>
      <c r="IB12" s="304"/>
      <c r="IC12" s="304"/>
      <c r="ID12" s="304"/>
      <c r="IE12" s="304"/>
      <c r="IF12" s="304"/>
      <c r="IG12" s="304"/>
      <c r="IH12" s="304"/>
      <c r="II12" s="304"/>
      <c r="IJ12" s="304"/>
      <c r="IK12" s="304"/>
      <c r="IL12" s="304"/>
      <c r="IM12" s="304"/>
      <c r="IN12" s="304"/>
      <c r="IO12" s="304"/>
      <c r="IP12" s="304"/>
      <c r="IQ12" s="304"/>
      <c r="IR12" s="304"/>
      <c r="IS12" s="304"/>
      <c r="IT12" s="304"/>
      <c r="IU12" s="304"/>
      <c r="IV12" s="304"/>
      <c r="IW12" s="304"/>
      <c r="IX12" s="304"/>
      <c r="IY12" s="304"/>
      <c r="IZ12" s="304"/>
      <c r="JA12" s="304"/>
      <c r="JB12" s="304"/>
      <c r="JC12" s="304"/>
      <c r="JD12" s="304"/>
      <c r="JE12" s="304"/>
      <c r="JF12" s="304"/>
      <c r="JG12" s="304"/>
      <c r="JH12" s="304"/>
      <c r="JI12" s="304"/>
      <c r="JJ12" s="304"/>
      <c r="JK12" s="304"/>
      <c r="JL12" s="304"/>
      <c r="JM12" s="304"/>
      <c r="JN12" s="304"/>
      <c r="JO12" s="304"/>
      <c r="JP12" s="304"/>
      <c r="JQ12" s="304"/>
      <c r="JR12" s="304"/>
      <c r="JS12" s="304"/>
      <c r="JT12" s="304"/>
      <c r="JU12" s="304"/>
      <c r="JV12" s="304"/>
      <c r="JW12" s="304"/>
      <c r="JX12" s="304"/>
      <c r="JY12" s="304"/>
      <c r="JZ12" s="304"/>
      <c r="KA12" s="304"/>
      <c r="KB12" s="304"/>
      <c r="KC12" s="304"/>
      <c r="KD12" s="304"/>
      <c r="KE12" s="304"/>
      <c r="KF12" s="304"/>
      <c r="KG12" s="304"/>
      <c r="KH12" s="304"/>
      <c r="KI12" s="304"/>
      <c r="KJ12" s="304"/>
      <c r="KK12" s="304"/>
      <c r="KL12" s="304"/>
      <c r="KM12" s="304"/>
      <c r="KN12" s="304"/>
      <c r="KO12" s="304"/>
      <c r="KP12" s="304"/>
      <c r="KQ12" s="304"/>
      <c r="KR12" s="304"/>
      <c r="KS12" s="304"/>
      <c r="KT12" s="304"/>
      <c r="KU12" s="304"/>
      <c r="KV12" s="304"/>
      <c r="KW12" s="304"/>
      <c r="KX12" s="304"/>
      <c r="KY12" s="304"/>
      <c r="KZ12" s="304"/>
      <c r="LA12" s="304"/>
      <c r="LB12" s="304"/>
      <c r="LC12" s="304"/>
      <c r="LD12" s="304"/>
      <c r="LE12" s="304"/>
      <c r="LF12" s="304"/>
      <c r="LG12" s="304"/>
      <c r="LH12" s="304"/>
      <c r="LI12" s="304"/>
      <c r="LJ12" s="304"/>
      <c r="LK12" s="304"/>
      <c r="LL12" s="304"/>
      <c r="LM12" s="304"/>
      <c r="LN12" s="304"/>
      <c r="LO12" s="304"/>
      <c r="LP12" s="304"/>
      <c r="LQ12" s="304"/>
      <c r="LR12" s="304"/>
      <c r="LS12" s="304"/>
      <c r="LT12" s="304"/>
      <c r="LU12" s="304"/>
      <c r="LV12" s="304"/>
      <c r="LW12" s="304"/>
      <c r="LX12" s="304"/>
      <c r="LY12" s="304"/>
      <c r="LZ12" s="304"/>
      <c r="MA12" s="304"/>
      <c r="MB12" s="304"/>
      <c r="MC12" s="304"/>
      <c r="MD12" s="304"/>
      <c r="ME12" s="304"/>
      <c r="MF12" s="304"/>
      <c r="MG12" s="304"/>
      <c r="MH12" s="304"/>
      <c r="MI12" s="304"/>
      <c r="MJ12" s="304"/>
      <c r="MK12" s="304"/>
      <c r="ML12" s="304"/>
      <c r="MM12" s="304"/>
      <c r="MN12" s="304"/>
      <c r="MO12" s="304"/>
      <c r="MP12" s="304"/>
      <c r="MQ12" s="304"/>
      <c r="MR12" s="304"/>
      <c r="MS12" s="304"/>
      <c r="MT12" s="304"/>
      <c r="MU12" s="304"/>
      <c r="MV12" s="304"/>
      <c r="MW12" s="304"/>
      <c r="MX12" s="304"/>
      <c r="MY12" s="304"/>
      <c r="MZ12" s="304"/>
      <c r="NA12" s="304"/>
      <c r="NB12" s="304"/>
      <c r="NC12" s="304"/>
      <c r="ND12" s="304"/>
      <c r="NE12" s="304"/>
      <c r="NF12" s="304"/>
      <c r="NG12" s="304"/>
      <c r="NH12" s="304"/>
      <c r="NI12" s="304"/>
      <c r="NJ12" s="304"/>
      <c r="NK12" s="304"/>
      <c r="NL12" s="304"/>
      <c r="NM12" s="304"/>
      <c r="NN12" s="304"/>
      <c r="NO12" s="304"/>
      <c r="NP12" s="304"/>
      <c r="NQ12" s="304"/>
      <c r="NR12" s="304"/>
      <c r="NS12" s="304"/>
      <c r="NT12" s="304"/>
      <c r="NU12" s="304"/>
      <c r="NV12" s="304"/>
      <c r="NW12" s="304"/>
      <c r="NX12" s="304"/>
      <c r="NY12" s="304"/>
      <c r="NZ12" s="304"/>
      <c r="OA12" s="304"/>
      <c r="OB12" s="304"/>
      <c r="OC12" s="304"/>
      <c r="OD12" s="304"/>
      <c r="OE12" s="304"/>
      <c r="OF12" s="304"/>
      <c r="OG12" s="304"/>
      <c r="OH12" s="304"/>
      <c r="OI12" s="304"/>
      <c r="OJ12" s="304"/>
      <c r="OK12" s="304"/>
      <c r="OL12" s="304"/>
      <c r="OM12" s="304"/>
      <c r="ON12" s="304"/>
      <c r="OO12" s="304"/>
      <c r="OP12" s="304"/>
      <c r="OQ12" s="304"/>
      <c r="OR12" s="304"/>
      <c r="OS12" s="304"/>
      <c r="OT12" s="304"/>
      <c r="OU12" s="304"/>
      <c r="OV12" s="304"/>
      <c r="OW12" s="304"/>
      <c r="OX12" s="304"/>
      <c r="OY12" s="304"/>
      <c r="OZ12" s="304"/>
      <c r="PA12" s="304"/>
      <c r="PB12" s="304"/>
      <c r="PC12" s="304"/>
      <c r="PD12" s="304"/>
      <c r="PE12" s="304"/>
      <c r="PF12" s="304"/>
      <c r="PG12" s="304"/>
      <c r="PH12" s="304"/>
      <c r="PI12" s="304"/>
      <c r="PJ12" s="304"/>
      <c r="PK12" s="304"/>
      <c r="PL12" s="304"/>
      <c r="PM12" s="304"/>
      <c r="PN12" s="304"/>
      <c r="PO12" s="304"/>
      <c r="PP12" s="304"/>
      <c r="PQ12" s="304"/>
      <c r="PR12" s="304"/>
      <c r="PS12" s="304"/>
      <c r="PT12" s="304"/>
      <c r="PU12" s="304"/>
      <c r="PV12" s="304"/>
      <c r="PW12" s="304"/>
      <c r="PX12" s="304"/>
      <c r="PY12" s="304"/>
      <c r="PZ12" s="304"/>
      <c r="QA12" s="304"/>
      <c r="QB12" s="304"/>
      <c r="QC12" s="304"/>
      <c r="QD12" s="304"/>
      <c r="QE12" s="304"/>
      <c r="QF12" s="304"/>
      <c r="QG12" s="304"/>
      <c r="QH12" s="304"/>
      <c r="QI12" s="304"/>
      <c r="QJ12" s="304"/>
      <c r="QK12" s="304"/>
      <c r="QL12" s="304"/>
      <c r="QM12" s="304"/>
      <c r="QN12" s="304"/>
      <c r="QO12" s="304"/>
      <c r="QP12" s="304"/>
      <c r="QQ12" s="304"/>
      <c r="QR12" s="304"/>
      <c r="QS12" s="304"/>
      <c r="QT12" s="304"/>
      <c r="QU12" s="304"/>
      <c r="QV12" s="304"/>
      <c r="QW12" s="304"/>
      <c r="QX12" s="304"/>
      <c r="QY12" s="304"/>
      <c r="QZ12" s="301"/>
    </row>
    <row r="13" spans="1:468" s="289" customFormat="1" ht="170.25" customHeight="1" x14ac:dyDescent="0.2">
      <c r="A13" s="655"/>
      <c r="B13" s="658"/>
      <c r="C13" s="660"/>
      <c r="D13" s="660"/>
      <c r="E13" s="662"/>
      <c r="F13" s="658"/>
      <c r="G13" s="665"/>
      <c r="H13" s="646"/>
      <c r="I13" s="643"/>
      <c r="J13" s="690"/>
      <c r="K13" s="317"/>
      <c r="L13" s="646"/>
      <c r="M13" s="643"/>
      <c r="N13" s="640"/>
      <c r="O13" s="333">
        <v>2</v>
      </c>
      <c r="P13" s="434" t="s">
        <v>623</v>
      </c>
      <c r="Q13" s="276" t="str">
        <f t="shared" ref="Q13:Q14" si="0">IF(OR(R13="Preventivo",R13="Detectivo"),"Probabilidad",IF(R13="Correctivo","Impacto",""))</f>
        <v>Probabilidad</v>
      </c>
      <c r="R13" s="277" t="s">
        <v>14</v>
      </c>
      <c r="S13" s="277" t="s">
        <v>9</v>
      </c>
      <c r="T13" s="278" t="str">
        <f t="shared" ref="T13:T14" si="1">IF(AND(R13="Preventivo",S13="Automático"),"50%",IF(AND(R13="Preventivo",S13="Manual"),"40%",IF(AND(R13="Detectivo",S13="Automático"),"40%",IF(AND(R13="Detectivo",S13="Manual"),"30%",IF(AND(R13="Correctivo",S13="Automático"),"35%",IF(AND(R13="Correctivo",S13="Manual"),"25%",""))))))</f>
        <v>40%</v>
      </c>
      <c r="U13" s="329" t="s">
        <v>494</v>
      </c>
      <c r="V13" s="277" t="s">
        <v>22</v>
      </c>
      <c r="W13" s="277" t="s">
        <v>497</v>
      </c>
      <c r="X13" s="279">
        <f>IFERROR(IF(AND(Q12="Probabilidad",Q13="Probabilidad"),(Z12-(+Z12*T13)),IF(Q13="Probabilidad",(I12-(+I12*T13)),IF(Q13="Impacto",Z12,""))),"")</f>
        <v>0.216</v>
      </c>
      <c r="Y13" s="280" t="str">
        <f t="shared" ref="Y13:Y14" si="2">IFERROR(IF(X13="","",IF(X13&lt;=0.2,"Muy Baja",IF(X13&lt;=0.4,"Baja",IF(X13&lt;=0.6,"Media",IF(X13&lt;=0.8,"Alta","Muy Alta"))))),"")</f>
        <v>Baja</v>
      </c>
      <c r="Z13" s="278">
        <f t="shared" ref="Z13:Z14" si="3">+X13</f>
        <v>0.216</v>
      </c>
      <c r="AA13" s="280" t="str">
        <f>IFERROR(IF(AB13="","",IF(AB13&lt;=0.2,"Leve",IF(AB13&lt;=0.4,"Menor",IF(AB13&lt;=0.6,"Moderado",IF(AB13&lt;=0.8,"Mayor","Catastrófico"))))),"")</f>
        <v>Moderado</v>
      </c>
      <c r="AB13" s="278">
        <f>IFERROR(IF(AND(Q12="Impacto",Q13="Impacto"),(AB9-(+AB12*T13)),IF(Q13="Impacto",($M$12-(+$M$12*T13)),IF(Q13="Probabilidad",AB12,""))),"")</f>
        <v>0.6</v>
      </c>
      <c r="AC13" s="281"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Moderado</v>
      </c>
      <c r="AD13" s="277" t="s">
        <v>30</v>
      </c>
      <c r="AE13" s="434" t="s">
        <v>614</v>
      </c>
      <c r="AF13" s="323" t="s">
        <v>624</v>
      </c>
      <c r="AG13" s="324">
        <v>44803</v>
      </c>
      <c r="AH13" s="652"/>
      <c r="AI13" s="652"/>
      <c r="AJ13" s="270"/>
      <c r="AK13" s="314"/>
      <c r="AL13" s="270"/>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V13" s="270"/>
      <c r="BW13" s="270"/>
      <c r="BX13" s="270"/>
      <c r="BY13" s="270"/>
      <c r="BZ13" s="270"/>
      <c r="CA13" s="270"/>
      <c r="CB13" s="270"/>
      <c r="CC13" s="270"/>
      <c r="CD13" s="270"/>
      <c r="CE13" s="270"/>
      <c r="CF13" s="270"/>
      <c r="CG13" s="270"/>
      <c r="CH13" s="270"/>
      <c r="CI13" s="270"/>
      <c r="CJ13" s="270"/>
      <c r="CK13" s="270"/>
      <c r="CL13" s="270"/>
      <c r="CM13" s="270"/>
      <c r="CN13" s="270"/>
      <c r="CO13" s="270"/>
      <c r="CP13" s="270"/>
      <c r="CQ13" s="270"/>
      <c r="CR13" s="270"/>
      <c r="CS13" s="270"/>
      <c r="CT13" s="270"/>
      <c r="CU13" s="270"/>
      <c r="CV13" s="270"/>
      <c r="CW13" s="270"/>
      <c r="CX13" s="270"/>
      <c r="CY13" s="270"/>
      <c r="CZ13" s="270"/>
      <c r="DA13" s="270"/>
      <c r="DB13" s="270"/>
      <c r="DC13" s="270"/>
      <c r="DD13" s="270"/>
      <c r="DE13" s="270"/>
      <c r="DF13" s="270"/>
      <c r="DG13" s="270"/>
      <c r="DH13" s="270"/>
      <c r="DI13" s="270"/>
      <c r="DJ13" s="270"/>
      <c r="DK13" s="270"/>
      <c r="DL13" s="270"/>
      <c r="DM13" s="270"/>
      <c r="DN13" s="270"/>
      <c r="DO13" s="270"/>
      <c r="DP13" s="270"/>
      <c r="DQ13" s="270"/>
      <c r="DR13" s="270"/>
      <c r="DS13" s="270"/>
      <c r="DT13" s="270"/>
      <c r="DU13" s="270"/>
      <c r="DV13" s="270"/>
      <c r="DW13" s="270"/>
      <c r="DX13" s="270"/>
      <c r="DY13" s="270"/>
      <c r="DZ13" s="270"/>
      <c r="EA13" s="270"/>
      <c r="EB13" s="270"/>
      <c r="EC13" s="270"/>
      <c r="ED13" s="270"/>
      <c r="EE13" s="270"/>
      <c r="EF13" s="270"/>
      <c r="EG13" s="270"/>
      <c r="EH13" s="270"/>
      <c r="EI13" s="270"/>
      <c r="EJ13" s="270"/>
      <c r="EK13" s="270"/>
      <c r="EL13" s="270"/>
      <c r="EM13" s="270"/>
      <c r="EN13" s="270"/>
      <c r="EO13" s="270"/>
      <c r="EP13" s="270"/>
      <c r="EQ13" s="270"/>
      <c r="ER13" s="270"/>
      <c r="ES13" s="270"/>
      <c r="ET13" s="270"/>
      <c r="EU13" s="270"/>
      <c r="EV13" s="270"/>
      <c r="EW13" s="270"/>
      <c r="EX13" s="270"/>
      <c r="EY13" s="270"/>
      <c r="EZ13" s="270"/>
      <c r="FA13" s="270"/>
      <c r="FB13" s="270"/>
      <c r="FC13" s="270"/>
      <c r="FD13" s="270"/>
      <c r="FE13" s="270"/>
      <c r="FF13" s="270"/>
      <c r="FG13" s="270"/>
      <c r="FH13" s="270"/>
      <c r="FI13" s="270"/>
      <c r="FJ13" s="270"/>
      <c r="FK13" s="270"/>
      <c r="FL13" s="270"/>
      <c r="FM13" s="270"/>
      <c r="FN13" s="270"/>
      <c r="FO13" s="270"/>
      <c r="FP13" s="270"/>
      <c r="FQ13" s="270"/>
      <c r="FR13" s="270"/>
      <c r="FS13" s="270"/>
      <c r="FT13" s="270"/>
      <c r="FU13" s="270"/>
      <c r="FV13" s="270"/>
      <c r="FW13" s="270"/>
      <c r="FX13" s="270"/>
      <c r="FY13" s="270"/>
      <c r="FZ13" s="270"/>
      <c r="GA13" s="270"/>
      <c r="GB13" s="270"/>
      <c r="GC13" s="270"/>
      <c r="GD13" s="270"/>
      <c r="GE13" s="270"/>
      <c r="GF13" s="270"/>
      <c r="GG13" s="270"/>
      <c r="GH13" s="270"/>
      <c r="GI13" s="270"/>
      <c r="GJ13" s="270"/>
      <c r="GK13" s="270"/>
      <c r="GL13" s="270"/>
      <c r="GM13" s="270"/>
      <c r="GN13" s="270"/>
      <c r="GO13" s="270"/>
      <c r="GP13" s="270"/>
      <c r="GQ13" s="270"/>
      <c r="GR13" s="270"/>
      <c r="GS13" s="270"/>
      <c r="GT13" s="270"/>
      <c r="GU13" s="270"/>
      <c r="GV13" s="270"/>
      <c r="GW13" s="270"/>
      <c r="GX13" s="270"/>
      <c r="GY13" s="270"/>
      <c r="GZ13" s="270"/>
      <c r="HA13" s="270"/>
      <c r="HB13" s="270"/>
      <c r="HC13" s="270"/>
      <c r="HD13" s="270"/>
      <c r="HE13" s="270"/>
      <c r="HF13" s="270"/>
      <c r="HG13" s="270"/>
      <c r="HH13" s="270"/>
      <c r="HI13" s="270"/>
      <c r="HJ13" s="270"/>
      <c r="HK13" s="270"/>
      <c r="HL13" s="270"/>
      <c r="HM13" s="270"/>
      <c r="HN13" s="270"/>
      <c r="HO13" s="270"/>
      <c r="HP13" s="270"/>
      <c r="HQ13" s="270"/>
      <c r="HR13" s="270"/>
      <c r="HS13" s="270"/>
      <c r="HT13" s="270"/>
      <c r="HU13" s="270"/>
      <c r="HV13" s="270"/>
      <c r="HW13" s="270"/>
      <c r="HX13" s="270"/>
      <c r="HY13" s="270"/>
      <c r="HZ13" s="270"/>
      <c r="IA13" s="270"/>
      <c r="IB13" s="270"/>
      <c r="IC13" s="270"/>
      <c r="ID13" s="270"/>
      <c r="IE13" s="270"/>
      <c r="IF13" s="270"/>
      <c r="IG13" s="270"/>
      <c r="IH13" s="270"/>
      <c r="II13" s="270"/>
      <c r="IJ13" s="270"/>
      <c r="IK13" s="270"/>
      <c r="IL13" s="270"/>
      <c r="IM13" s="270"/>
      <c r="IN13" s="270"/>
      <c r="IO13" s="270"/>
      <c r="IP13" s="270"/>
      <c r="IQ13" s="270"/>
      <c r="IR13" s="270"/>
      <c r="IS13" s="270"/>
      <c r="IT13" s="270"/>
      <c r="IU13" s="270"/>
      <c r="IV13" s="270"/>
      <c r="IW13" s="270"/>
      <c r="IX13" s="270"/>
      <c r="IY13" s="270"/>
      <c r="IZ13" s="270"/>
      <c r="JA13" s="270"/>
      <c r="JB13" s="270"/>
      <c r="JC13" s="270"/>
      <c r="JD13" s="270"/>
      <c r="JE13" s="270"/>
      <c r="JF13" s="270"/>
      <c r="JG13" s="270"/>
      <c r="JH13" s="270"/>
      <c r="JI13" s="270"/>
      <c r="JJ13" s="270"/>
      <c r="JK13" s="270"/>
      <c r="JL13" s="270"/>
      <c r="JM13" s="270"/>
      <c r="JN13" s="270"/>
      <c r="JO13" s="270"/>
      <c r="JP13" s="270"/>
      <c r="JQ13" s="270"/>
      <c r="JR13" s="270"/>
      <c r="JS13" s="270"/>
      <c r="JT13" s="270"/>
      <c r="JU13" s="270"/>
      <c r="JV13" s="270"/>
      <c r="JW13" s="270"/>
      <c r="JX13" s="270"/>
      <c r="JY13" s="270"/>
      <c r="JZ13" s="270"/>
      <c r="KA13" s="270"/>
      <c r="KB13" s="270"/>
      <c r="KC13" s="270"/>
      <c r="KD13" s="270"/>
      <c r="KE13" s="270"/>
      <c r="KF13" s="270"/>
      <c r="KG13" s="270"/>
      <c r="KH13" s="270"/>
      <c r="KI13" s="270"/>
      <c r="KJ13" s="270"/>
      <c r="KK13" s="270"/>
      <c r="KL13" s="270"/>
      <c r="KM13" s="270"/>
      <c r="KN13" s="270"/>
      <c r="KO13" s="270"/>
      <c r="KP13" s="270"/>
      <c r="KQ13" s="270"/>
      <c r="KR13" s="270"/>
      <c r="KS13" s="270"/>
      <c r="KT13" s="270"/>
      <c r="KU13" s="270"/>
      <c r="KV13" s="270"/>
      <c r="KW13" s="270"/>
      <c r="KX13" s="270"/>
      <c r="KY13" s="270"/>
      <c r="KZ13" s="270"/>
      <c r="LA13" s="270"/>
      <c r="LB13" s="270"/>
      <c r="LC13" s="270"/>
      <c r="LD13" s="270"/>
      <c r="LE13" s="270"/>
      <c r="LF13" s="270"/>
      <c r="LG13" s="270"/>
      <c r="LH13" s="270"/>
      <c r="LI13" s="270"/>
      <c r="LJ13" s="270"/>
      <c r="LK13" s="270"/>
      <c r="LL13" s="270"/>
      <c r="LM13" s="270"/>
      <c r="LN13" s="270"/>
      <c r="LO13" s="270"/>
      <c r="LP13" s="270"/>
      <c r="LQ13" s="270"/>
      <c r="LR13" s="270"/>
      <c r="LS13" s="270"/>
      <c r="LT13" s="270"/>
      <c r="LU13" s="270"/>
      <c r="LV13" s="270"/>
      <c r="LW13" s="270"/>
      <c r="LX13" s="270"/>
      <c r="LY13" s="270"/>
      <c r="LZ13" s="270"/>
      <c r="MA13" s="270"/>
      <c r="MB13" s="270"/>
      <c r="MC13" s="270"/>
      <c r="MD13" s="270"/>
      <c r="ME13" s="270"/>
      <c r="MF13" s="270"/>
      <c r="MG13" s="270"/>
      <c r="MH13" s="270"/>
      <c r="MI13" s="270"/>
      <c r="MJ13" s="270"/>
      <c r="MK13" s="270"/>
      <c r="ML13" s="270"/>
      <c r="MM13" s="270"/>
      <c r="MN13" s="270"/>
      <c r="MO13" s="270"/>
      <c r="MP13" s="270"/>
      <c r="MQ13" s="270"/>
      <c r="MR13" s="270"/>
      <c r="MS13" s="270"/>
      <c r="MT13" s="270"/>
      <c r="MU13" s="270"/>
      <c r="MV13" s="270"/>
      <c r="MW13" s="270"/>
      <c r="MX13" s="270"/>
      <c r="MY13" s="270"/>
      <c r="MZ13" s="270"/>
      <c r="NA13" s="270"/>
      <c r="NB13" s="270"/>
      <c r="NC13" s="270"/>
      <c r="ND13" s="270"/>
      <c r="NE13" s="270"/>
      <c r="NF13" s="270"/>
      <c r="NG13" s="270"/>
      <c r="NH13" s="270"/>
      <c r="NI13" s="270"/>
      <c r="NJ13" s="270"/>
      <c r="NK13" s="270"/>
      <c r="NL13" s="270"/>
      <c r="NM13" s="270"/>
      <c r="NN13" s="270"/>
      <c r="NO13" s="270"/>
      <c r="NP13" s="270"/>
      <c r="NQ13" s="270"/>
      <c r="NR13" s="270"/>
      <c r="NS13" s="270"/>
      <c r="NT13" s="270"/>
      <c r="NU13" s="270"/>
      <c r="NV13" s="270"/>
      <c r="NW13" s="270"/>
      <c r="NX13" s="270"/>
      <c r="NY13" s="270"/>
      <c r="NZ13" s="270"/>
      <c r="OA13" s="270"/>
      <c r="OB13" s="270"/>
      <c r="OC13" s="270"/>
      <c r="OD13" s="270"/>
      <c r="OE13" s="270"/>
      <c r="OF13" s="270"/>
      <c r="OG13" s="270"/>
      <c r="OH13" s="270"/>
      <c r="OI13" s="270"/>
      <c r="OJ13" s="270"/>
      <c r="OK13" s="270"/>
      <c r="OL13" s="270"/>
      <c r="OM13" s="270"/>
      <c r="ON13" s="270"/>
      <c r="OO13" s="270"/>
      <c r="OP13" s="270"/>
      <c r="OQ13" s="270"/>
      <c r="OR13" s="270"/>
      <c r="OS13" s="270"/>
      <c r="OT13" s="270"/>
      <c r="OU13" s="270"/>
      <c r="OV13" s="270"/>
      <c r="OW13" s="270"/>
      <c r="OX13" s="270"/>
      <c r="OY13" s="270"/>
      <c r="OZ13" s="270"/>
      <c r="PA13" s="270"/>
      <c r="PB13" s="270"/>
      <c r="PC13" s="270"/>
      <c r="PD13" s="270"/>
      <c r="PE13" s="270"/>
      <c r="PF13" s="270"/>
      <c r="PG13" s="270"/>
      <c r="PH13" s="270"/>
      <c r="PI13" s="270"/>
      <c r="PJ13" s="270"/>
      <c r="PK13" s="270"/>
      <c r="PL13" s="270"/>
      <c r="PM13" s="270"/>
      <c r="PN13" s="270"/>
      <c r="PO13" s="270"/>
      <c r="PP13" s="270"/>
      <c r="PQ13" s="270"/>
      <c r="PR13" s="270"/>
      <c r="PS13" s="270"/>
      <c r="PT13" s="270"/>
      <c r="PU13" s="270"/>
      <c r="PV13" s="270"/>
      <c r="PW13" s="270"/>
      <c r="PX13" s="270"/>
      <c r="PY13" s="270"/>
      <c r="PZ13" s="270"/>
      <c r="QA13" s="270"/>
      <c r="QB13" s="270"/>
      <c r="QC13" s="270"/>
      <c r="QD13" s="270"/>
      <c r="QE13" s="270"/>
      <c r="QF13" s="270"/>
      <c r="QG13" s="270"/>
      <c r="QH13" s="270"/>
      <c r="QI13" s="270"/>
      <c r="QJ13" s="270"/>
      <c r="QK13" s="270"/>
      <c r="QL13" s="270"/>
      <c r="QM13" s="270"/>
      <c r="QN13" s="270"/>
      <c r="QO13" s="270"/>
      <c r="QP13" s="270"/>
      <c r="QQ13" s="270"/>
      <c r="QR13" s="270"/>
      <c r="QS13" s="270"/>
      <c r="QT13" s="270"/>
      <c r="QU13" s="270"/>
      <c r="QV13" s="270"/>
      <c r="QW13" s="270"/>
      <c r="QX13" s="270"/>
      <c r="QY13" s="270"/>
      <c r="QZ13" s="302"/>
    </row>
    <row r="14" spans="1:468" s="289" customFormat="1" ht="181.5" customHeight="1" x14ac:dyDescent="0.2">
      <c r="A14" s="656"/>
      <c r="B14" s="658"/>
      <c r="C14" s="660"/>
      <c r="D14" s="660"/>
      <c r="E14" s="662"/>
      <c r="F14" s="663"/>
      <c r="G14" s="666"/>
      <c r="H14" s="647"/>
      <c r="I14" s="644"/>
      <c r="J14" s="691"/>
      <c r="K14" s="317"/>
      <c r="L14" s="647"/>
      <c r="M14" s="644"/>
      <c r="N14" s="641"/>
      <c r="O14" s="333">
        <v>3</v>
      </c>
      <c r="P14" s="434" t="s">
        <v>625</v>
      </c>
      <c r="Q14" s="276" t="str">
        <f t="shared" si="0"/>
        <v>Probabilidad</v>
      </c>
      <c r="R14" s="277" t="s">
        <v>14</v>
      </c>
      <c r="S14" s="277" t="s">
        <v>9</v>
      </c>
      <c r="T14" s="278" t="str">
        <f t="shared" si="1"/>
        <v>40%</v>
      </c>
      <c r="U14" s="329" t="s">
        <v>494</v>
      </c>
      <c r="V14" s="277" t="s">
        <v>22</v>
      </c>
      <c r="W14" s="277" t="s">
        <v>497</v>
      </c>
      <c r="X14" s="279">
        <f>IFERROR(IF(AND(Q13="Probabilidad",Q14="Probabilidad"),(Z13-(+Z13*T14)),IF(Q14="Probabilidad",(I13-(+I13*T14)),IF(Q14="Impacto",Z13,""))),"")</f>
        <v>0.12959999999999999</v>
      </c>
      <c r="Y14" s="280" t="str">
        <f t="shared" si="2"/>
        <v>Muy Baja</v>
      </c>
      <c r="Z14" s="278">
        <f t="shared" si="3"/>
        <v>0.12959999999999999</v>
      </c>
      <c r="AA14" s="280" t="str">
        <f>IFERROR(IF(AB14="","",IF(AB14&lt;=0.2,"Leve",IF(AB14&lt;=0.4,"Menor",IF(AB14&lt;=0.6,"Moderado",IF(AB14&lt;=0.8,"Mayor","Catastrófico"))))),"")</f>
        <v>Moderado</v>
      </c>
      <c r="AB14" s="278">
        <f>IFERROR(IF(AND(Q13="Impacto",Q14="Impacto"),(AB10-(+AB13*T14)),IF(Q14="Impacto",($M$12-(+$M$12*T14)),IF(Q14="Probabilidad",AB13,""))),"")</f>
        <v>0.6</v>
      </c>
      <c r="AC14" s="281" t="str">
        <f>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Moderado</v>
      </c>
      <c r="AD14" s="277" t="s">
        <v>30</v>
      </c>
      <c r="AE14" s="434" t="s">
        <v>615</v>
      </c>
      <c r="AF14" s="323" t="s">
        <v>616</v>
      </c>
      <c r="AG14" s="324">
        <v>44803</v>
      </c>
      <c r="AH14" s="653"/>
      <c r="AI14" s="653"/>
      <c r="AJ14" s="270"/>
      <c r="AK14" s="314"/>
      <c r="AL14" s="270"/>
      <c r="AM14" s="270"/>
      <c r="AN14" s="270"/>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270"/>
      <c r="BW14" s="270"/>
      <c r="BX14" s="270"/>
      <c r="BY14" s="270"/>
      <c r="BZ14" s="270"/>
      <c r="CA14" s="270"/>
      <c r="CB14" s="270"/>
      <c r="CC14" s="270"/>
      <c r="CD14" s="270"/>
      <c r="CE14" s="270"/>
      <c r="CF14" s="270"/>
      <c r="CG14" s="270"/>
      <c r="CH14" s="270"/>
      <c r="CI14" s="270"/>
      <c r="CJ14" s="270"/>
      <c r="CK14" s="270"/>
      <c r="CL14" s="270"/>
      <c r="CM14" s="270"/>
      <c r="CN14" s="270"/>
      <c r="CO14" s="270"/>
      <c r="CP14" s="270"/>
      <c r="CQ14" s="270"/>
      <c r="CR14" s="270"/>
      <c r="CS14" s="270"/>
      <c r="CT14" s="270"/>
      <c r="CU14" s="270"/>
      <c r="CV14" s="270"/>
      <c r="CW14" s="270"/>
      <c r="CX14" s="270"/>
      <c r="CY14" s="270"/>
      <c r="CZ14" s="270"/>
      <c r="DA14" s="270"/>
      <c r="DB14" s="270"/>
      <c r="DC14" s="270"/>
      <c r="DD14" s="270"/>
      <c r="DE14" s="270"/>
      <c r="DF14" s="270"/>
      <c r="DG14" s="270"/>
      <c r="DH14" s="270"/>
      <c r="DI14" s="270"/>
      <c r="DJ14" s="270"/>
      <c r="DK14" s="270"/>
      <c r="DL14" s="270"/>
      <c r="DM14" s="270"/>
      <c r="DN14" s="270"/>
      <c r="DO14" s="270"/>
      <c r="DP14" s="270"/>
      <c r="DQ14" s="270"/>
      <c r="DR14" s="270"/>
      <c r="DS14" s="270"/>
      <c r="DT14" s="270"/>
      <c r="DU14" s="270"/>
      <c r="DV14" s="270"/>
      <c r="DW14" s="270"/>
      <c r="DX14" s="270"/>
      <c r="DY14" s="270"/>
      <c r="DZ14" s="270"/>
      <c r="EA14" s="270"/>
      <c r="EB14" s="270"/>
      <c r="EC14" s="270"/>
      <c r="ED14" s="270"/>
      <c r="EE14" s="270"/>
      <c r="EF14" s="270"/>
      <c r="EG14" s="270"/>
      <c r="EH14" s="270"/>
      <c r="EI14" s="270"/>
      <c r="EJ14" s="270"/>
      <c r="EK14" s="270"/>
      <c r="EL14" s="270"/>
      <c r="EM14" s="270"/>
      <c r="EN14" s="270"/>
      <c r="EO14" s="270"/>
      <c r="EP14" s="270"/>
      <c r="EQ14" s="270"/>
      <c r="ER14" s="270"/>
      <c r="ES14" s="270"/>
      <c r="ET14" s="270"/>
      <c r="EU14" s="270"/>
      <c r="EV14" s="270"/>
      <c r="EW14" s="270"/>
      <c r="EX14" s="270"/>
      <c r="EY14" s="270"/>
      <c r="EZ14" s="270"/>
      <c r="FA14" s="270"/>
      <c r="FB14" s="270"/>
      <c r="FC14" s="270"/>
      <c r="FD14" s="270"/>
      <c r="FE14" s="270"/>
      <c r="FF14" s="270"/>
      <c r="FG14" s="270"/>
      <c r="FH14" s="270"/>
      <c r="FI14" s="270"/>
      <c r="FJ14" s="270"/>
      <c r="FK14" s="270"/>
      <c r="FL14" s="270"/>
      <c r="FM14" s="270"/>
      <c r="FN14" s="270"/>
      <c r="FO14" s="270"/>
      <c r="FP14" s="270"/>
      <c r="FQ14" s="270"/>
      <c r="FR14" s="270"/>
      <c r="FS14" s="270"/>
      <c r="FT14" s="270"/>
      <c r="FU14" s="270"/>
      <c r="FV14" s="270"/>
      <c r="FW14" s="270"/>
      <c r="FX14" s="270"/>
      <c r="FY14" s="270"/>
      <c r="FZ14" s="270"/>
      <c r="GA14" s="270"/>
      <c r="GB14" s="270"/>
      <c r="GC14" s="270"/>
      <c r="GD14" s="270"/>
      <c r="GE14" s="270"/>
      <c r="GF14" s="270"/>
      <c r="GG14" s="270"/>
      <c r="GH14" s="270"/>
      <c r="GI14" s="270"/>
      <c r="GJ14" s="270"/>
      <c r="GK14" s="270"/>
      <c r="GL14" s="270"/>
      <c r="GM14" s="270"/>
      <c r="GN14" s="270"/>
      <c r="GO14" s="270"/>
      <c r="GP14" s="270"/>
      <c r="GQ14" s="270"/>
      <c r="GR14" s="270"/>
      <c r="GS14" s="270"/>
      <c r="GT14" s="270"/>
      <c r="GU14" s="270"/>
      <c r="GV14" s="270"/>
      <c r="GW14" s="270"/>
      <c r="GX14" s="270"/>
      <c r="GY14" s="270"/>
      <c r="GZ14" s="270"/>
      <c r="HA14" s="270"/>
      <c r="HB14" s="270"/>
      <c r="HC14" s="270"/>
      <c r="HD14" s="270"/>
      <c r="HE14" s="270"/>
      <c r="HF14" s="270"/>
      <c r="HG14" s="270"/>
      <c r="HH14" s="270"/>
      <c r="HI14" s="270"/>
      <c r="HJ14" s="270"/>
      <c r="HK14" s="270"/>
      <c r="HL14" s="270"/>
      <c r="HM14" s="270"/>
      <c r="HN14" s="270"/>
      <c r="HO14" s="270"/>
      <c r="HP14" s="270"/>
      <c r="HQ14" s="270"/>
      <c r="HR14" s="270"/>
      <c r="HS14" s="270"/>
      <c r="HT14" s="270"/>
      <c r="HU14" s="270"/>
      <c r="HV14" s="270"/>
      <c r="HW14" s="270"/>
      <c r="HX14" s="270"/>
      <c r="HY14" s="270"/>
      <c r="HZ14" s="270"/>
      <c r="IA14" s="270"/>
      <c r="IB14" s="270"/>
      <c r="IC14" s="270"/>
      <c r="ID14" s="270"/>
      <c r="IE14" s="270"/>
      <c r="IF14" s="270"/>
      <c r="IG14" s="270"/>
      <c r="IH14" s="270"/>
      <c r="II14" s="270"/>
      <c r="IJ14" s="270"/>
      <c r="IK14" s="270"/>
      <c r="IL14" s="270"/>
      <c r="IM14" s="270"/>
      <c r="IN14" s="270"/>
      <c r="IO14" s="270"/>
      <c r="IP14" s="270"/>
      <c r="IQ14" s="270"/>
      <c r="IR14" s="270"/>
      <c r="IS14" s="270"/>
      <c r="IT14" s="270"/>
      <c r="IU14" s="270"/>
      <c r="IV14" s="270"/>
      <c r="IW14" s="270"/>
      <c r="IX14" s="270"/>
      <c r="IY14" s="270"/>
      <c r="IZ14" s="270"/>
      <c r="JA14" s="270"/>
      <c r="JB14" s="270"/>
      <c r="JC14" s="270"/>
      <c r="JD14" s="270"/>
      <c r="JE14" s="270"/>
      <c r="JF14" s="270"/>
      <c r="JG14" s="270"/>
      <c r="JH14" s="270"/>
      <c r="JI14" s="270"/>
      <c r="JJ14" s="270"/>
      <c r="JK14" s="270"/>
      <c r="JL14" s="270"/>
      <c r="JM14" s="270"/>
      <c r="JN14" s="270"/>
      <c r="JO14" s="270"/>
      <c r="JP14" s="270"/>
      <c r="JQ14" s="270"/>
      <c r="JR14" s="270"/>
      <c r="JS14" s="270"/>
      <c r="JT14" s="270"/>
      <c r="JU14" s="270"/>
      <c r="JV14" s="270"/>
      <c r="JW14" s="270"/>
      <c r="JX14" s="270"/>
      <c r="JY14" s="270"/>
      <c r="JZ14" s="270"/>
      <c r="KA14" s="270"/>
      <c r="KB14" s="270"/>
      <c r="KC14" s="270"/>
      <c r="KD14" s="270"/>
      <c r="KE14" s="270"/>
      <c r="KF14" s="270"/>
      <c r="KG14" s="270"/>
      <c r="KH14" s="270"/>
      <c r="KI14" s="270"/>
      <c r="KJ14" s="270"/>
      <c r="KK14" s="270"/>
      <c r="KL14" s="270"/>
      <c r="KM14" s="270"/>
      <c r="KN14" s="270"/>
      <c r="KO14" s="270"/>
      <c r="KP14" s="270"/>
      <c r="KQ14" s="270"/>
      <c r="KR14" s="270"/>
      <c r="KS14" s="270"/>
      <c r="KT14" s="270"/>
      <c r="KU14" s="270"/>
      <c r="KV14" s="270"/>
      <c r="KW14" s="270"/>
      <c r="KX14" s="270"/>
      <c r="KY14" s="270"/>
      <c r="KZ14" s="270"/>
      <c r="LA14" s="270"/>
      <c r="LB14" s="270"/>
      <c r="LC14" s="270"/>
      <c r="LD14" s="270"/>
      <c r="LE14" s="270"/>
      <c r="LF14" s="270"/>
      <c r="LG14" s="270"/>
      <c r="LH14" s="270"/>
      <c r="LI14" s="270"/>
      <c r="LJ14" s="270"/>
      <c r="LK14" s="270"/>
      <c r="LL14" s="270"/>
      <c r="LM14" s="270"/>
      <c r="LN14" s="270"/>
      <c r="LO14" s="270"/>
      <c r="LP14" s="270"/>
      <c r="LQ14" s="270"/>
      <c r="LR14" s="270"/>
      <c r="LS14" s="270"/>
      <c r="LT14" s="270"/>
      <c r="LU14" s="270"/>
      <c r="LV14" s="270"/>
      <c r="LW14" s="270"/>
      <c r="LX14" s="270"/>
      <c r="LY14" s="270"/>
      <c r="LZ14" s="270"/>
      <c r="MA14" s="270"/>
      <c r="MB14" s="270"/>
      <c r="MC14" s="270"/>
      <c r="MD14" s="270"/>
      <c r="ME14" s="270"/>
      <c r="MF14" s="270"/>
      <c r="MG14" s="270"/>
      <c r="MH14" s="270"/>
      <c r="MI14" s="270"/>
      <c r="MJ14" s="270"/>
      <c r="MK14" s="270"/>
      <c r="ML14" s="270"/>
      <c r="MM14" s="270"/>
      <c r="MN14" s="270"/>
      <c r="MO14" s="270"/>
      <c r="MP14" s="270"/>
      <c r="MQ14" s="270"/>
      <c r="MR14" s="270"/>
      <c r="MS14" s="270"/>
      <c r="MT14" s="270"/>
      <c r="MU14" s="270"/>
      <c r="MV14" s="270"/>
      <c r="MW14" s="270"/>
      <c r="MX14" s="270"/>
      <c r="MY14" s="270"/>
      <c r="MZ14" s="270"/>
      <c r="NA14" s="270"/>
      <c r="NB14" s="270"/>
      <c r="NC14" s="270"/>
      <c r="ND14" s="270"/>
      <c r="NE14" s="270"/>
      <c r="NF14" s="270"/>
      <c r="NG14" s="270"/>
      <c r="NH14" s="270"/>
      <c r="NI14" s="270"/>
      <c r="NJ14" s="270"/>
      <c r="NK14" s="270"/>
      <c r="NL14" s="270"/>
      <c r="NM14" s="270"/>
      <c r="NN14" s="270"/>
      <c r="NO14" s="270"/>
      <c r="NP14" s="270"/>
      <c r="NQ14" s="270"/>
      <c r="NR14" s="270"/>
      <c r="NS14" s="270"/>
      <c r="NT14" s="270"/>
      <c r="NU14" s="270"/>
      <c r="NV14" s="270"/>
      <c r="NW14" s="270"/>
      <c r="NX14" s="270"/>
      <c r="NY14" s="270"/>
      <c r="NZ14" s="270"/>
      <c r="OA14" s="270"/>
      <c r="OB14" s="270"/>
      <c r="OC14" s="270"/>
      <c r="OD14" s="270"/>
      <c r="OE14" s="270"/>
      <c r="OF14" s="270"/>
      <c r="OG14" s="270"/>
      <c r="OH14" s="270"/>
      <c r="OI14" s="270"/>
      <c r="OJ14" s="270"/>
      <c r="OK14" s="270"/>
      <c r="OL14" s="270"/>
      <c r="OM14" s="270"/>
      <c r="ON14" s="270"/>
      <c r="OO14" s="270"/>
      <c r="OP14" s="270"/>
      <c r="OQ14" s="270"/>
      <c r="OR14" s="270"/>
      <c r="OS14" s="270"/>
      <c r="OT14" s="270"/>
      <c r="OU14" s="270"/>
      <c r="OV14" s="270"/>
      <c r="OW14" s="270"/>
      <c r="OX14" s="270"/>
      <c r="OY14" s="270"/>
      <c r="OZ14" s="270"/>
      <c r="PA14" s="270"/>
      <c r="PB14" s="270"/>
      <c r="PC14" s="270"/>
      <c r="PD14" s="270"/>
      <c r="PE14" s="270"/>
      <c r="PF14" s="270"/>
      <c r="PG14" s="270"/>
      <c r="PH14" s="270"/>
      <c r="PI14" s="270"/>
      <c r="PJ14" s="270"/>
      <c r="PK14" s="270"/>
      <c r="PL14" s="270"/>
      <c r="PM14" s="270"/>
      <c r="PN14" s="270"/>
      <c r="PO14" s="270"/>
      <c r="PP14" s="270"/>
      <c r="PQ14" s="270"/>
      <c r="PR14" s="270"/>
      <c r="PS14" s="270"/>
      <c r="PT14" s="270"/>
      <c r="PU14" s="270"/>
      <c r="PV14" s="270"/>
      <c r="PW14" s="270"/>
      <c r="PX14" s="270"/>
      <c r="PY14" s="270"/>
      <c r="PZ14" s="270"/>
      <c r="QA14" s="270"/>
      <c r="QB14" s="270"/>
      <c r="QC14" s="270"/>
      <c r="QD14" s="270"/>
      <c r="QE14" s="270"/>
      <c r="QF14" s="270"/>
      <c r="QG14" s="270"/>
      <c r="QH14" s="270"/>
      <c r="QI14" s="270"/>
      <c r="QJ14" s="270"/>
      <c r="QK14" s="270"/>
      <c r="QL14" s="270"/>
      <c r="QM14" s="270"/>
      <c r="QN14" s="270"/>
      <c r="QO14" s="270"/>
      <c r="QP14" s="270"/>
      <c r="QQ14" s="270"/>
      <c r="QR14" s="270"/>
      <c r="QS14" s="270"/>
      <c r="QT14" s="270"/>
      <c r="QU14" s="270"/>
      <c r="QV14" s="270"/>
      <c r="QW14" s="270"/>
      <c r="QX14" s="270"/>
      <c r="QY14" s="270"/>
      <c r="QZ14" s="302"/>
    </row>
    <row r="15" spans="1:468" s="289" customFormat="1" ht="105" customHeight="1" x14ac:dyDescent="0.2">
      <c r="A15" s="671">
        <v>2</v>
      </c>
      <c r="B15" s="667"/>
      <c r="C15" s="667"/>
      <c r="D15" s="667"/>
      <c r="E15" s="667"/>
      <c r="F15" s="667"/>
      <c r="G15" s="683"/>
      <c r="H15" s="645" t="str">
        <f t="shared" ref="H15" si="4">IF(G15&lt;=0,"",IF(G15&lt;=2,"Muy Baja",IF(G15&lt;=24,"Baja",IF(G15&lt;=500,"Media",IF(G15&lt;=5000,"Alta","Muy Alta")))))</f>
        <v/>
      </c>
      <c r="I15" s="642" t="str">
        <f>IF(H15="","",IF(H15="Muy Baja",0.2,IF(H15="Baja",0.4,IF(H15="Media",0.6,IF(H15="Alta",0.8,IF(H15="Muy Alta",1,))))))</f>
        <v/>
      </c>
      <c r="J15" s="648"/>
      <c r="K15" s="685">
        <v>500</v>
      </c>
      <c r="L15" s="645" t="str">
        <f t="shared" ref="L15" si="5">IF(J15&lt;=0,"",IF(J15&lt;=10,"Leve",IF(J15&lt;=50,"Menor",IF(J15&lt;=100,"Moderado",IF(J15&lt;=500,"Mayor","Catastrófico")))))</f>
        <v/>
      </c>
      <c r="M15" s="642" t="str">
        <f>IF(L15="","",IF(L15="Leve",0.2,IF(L15="Menor",0.4,IF(L15="Moderado",0.6,IF(L15="Mayor",0.8,IF(L15="Catastrófico",1,))))))</f>
        <v/>
      </c>
      <c r="N15" s="639" t="str">
        <f>IF(OR(AND(H15="Muy Baja",L15="Leve"),AND(H15="Muy Baja",L15="Menor"),AND(H15="Baja",L15="Leve")),"Bajo",IF(OR(AND(H15="Muy baja",L15="Moderado"),AND(H15="Baja",L15="Menor"),AND(H15="Baja",L15="Moderado"),AND(H15="Media",L15="Leve"),AND(H15="Media",L15="Menor"),AND(H15="Media",L15="Moderado"),AND(H15="Alta",L15="Leve"),AND(H15="Alta",L15="Menor")),"Moderado",IF(OR(AND(H15="Muy Baja",L15="Mayor"),AND(H15="Baja",L15="Mayor"),AND(H15="Media",L15="Mayor"),AND(H15="Alta",L15="Moderado"),AND(H15="Alta",L15="Mayor"),AND(H15="Muy Alta",L15="Leve"),AND(H15="Muy Alta",L15="Menor"),AND(H15="Muy Alta",L15="Moderado"),AND(H15="Muy Alta",L15="Mayor")),"Alto",IF(OR(AND(H15="Muy Baja",L15="Catastrófico"),AND(H15="Baja",L15="Catastrófico"),AND(H15="Media",L15="Catastrófico"),AND(H15="Alta",L15="Catastrófico"),AND(H15="Muy Alta",L15="Catastrófico")),"Extremo",""))))</f>
        <v/>
      </c>
      <c r="O15" s="274">
        <v>1</v>
      </c>
      <c r="P15" s="330"/>
      <c r="Q15" s="276"/>
      <c r="R15" s="329"/>
      <c r="S15" s="277"/>
      <c r="T15" s="278"/>
      <c r="U15" s="277"/>
      <c r="V15" s="277"/>
      <c r="W15" s="277"/>
      <c r="X15" s="279" t="str">
        <f>IFERROR(IF(Q15="Probabilidad",(I15-(+I15*T15)),IF(Q15="Impacto",I15,"")),"")</f>
        <v/>
      </c>
      <c r="Y15" s="280" t="str">
        <f t="shared" ref="Y15:Y18" si="6">IFERROR(IF(X15="","",IF(X15&lt;=0.2,"Muy Baja",IF(X15&lt;=0.4,"Baja",IF(X15&lt;=0.6,"Media",IF(X15&lt;=0.8,"Alta","Muy Alta"))))),"")</f>
        <v/>
      </c>
      <c r="Z15" s="278" t="str">
        <f>+X15</f>
        <v/>
      </c>
      <c r="AA15" s="280" t="str">
        <f>IFERROR(IF(AB15="","",IF(AB15&lt;=0.2,"Leve",IF(AB15&lt;=0.4,"Menor",IF(AB15&lt;=0.6,"Moderado",IF(AB15&lt;=0.8,"Mayor","Catastrófico"))))),"")</f>
        <v/>
      </c>
      <c r="AB15" s="278" t="str">
        <f>IFERROR(IF(Q15="Impacto",(M15-(+M15*T15)),IF(Q15="Probabilidad",M15,"")),"")</f>
        <v/>
      </c>
      <c r="AC15" s="281" t="str">
        <f>IFERROR(IF(OR(AND(Y15="Muy Baja",AA15="Leve"),AND(Y15="Muy Baja",AA15="Menor"),AND(Y15="Baja",AA15="Leve")),"Bajo",IF(OR(AND(Y15="Muy baja",AA15="Moderado"),AND(Y15="Baja",AA15="Menor"),AND(Y15="Baja",AA15="Moderado"),AND(Y15="Media",AA15="Leve"),AND(Y15="Media",AA15="Menor"),AND(Y15="Media",AA15="Moderado"),AND(Y15="Alta",AA15="Leve"),AND(Y15="Alta",AA15="Menor")),"Moderado",IF(OR(AND(Y15="Muy Baja",AA15="Mayor"),AND(Y15="Baja",AA15="Mayor"),AND(Y15="Media",AA15="Mayor"),AND(Y15="Alta",AA15="Moderado"),AND(Y15="Alta",AA15="Mayor"),AND(Y15="Muy Alta",AA15="Leve"),AND(Y15="Muy Alta",AA15="Menor"),AND(Y15="Muy Alta",AA15="Moderado"),AND(Y15="Muy Alta",AA15="Mayor")),"Alto",IF(OR(AND(Y15="Muy Baja",AA15="Catastrófico"),AND(Y15="Baja",AA15="Catastrófico"),AND(Y15="Media",AA15="Catastrófico"),AND(Y15="Alta",AA15="Catastrófico"),AND(Y15="Muy Alta",AA15="Catastrófico")),"Extremo","")))),"")</f>
        <v/>
      </c>
      <c r="AD15" s="322"/>
      <c r="AE15" s="331"/>
      <c r="AF15" s="282"/>
      <c r="AG15" s="284"/>
      <c r="AH15" s="324"/>
      <c r="AI15" s="324"/>
      <c r="AJ15" s="270"/>
      <c r="AK15" s="270"/>
      <c r="AL15" s="270"/>
      <c r="AM15" s="270"/>
      <c r="AN15" s="315"/>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0"/>
      <c r="BY15" s="270"/>
      <c r="BZ15" s="270"/>
      <c r="CA15" s="270"/>
      <c r="CB15" s="270"/>
      <c r="CC15" s="270"/>
      <c r="CD15" s="270"/>
      <c r="CE15" s="270"/>
      <c r="CF15" s="270"/>
      <c r="CG15" s="270"/>
      <c r="CH15" s="270"/>
      <c r="CI15" s="270"/>
      <c r="CJ15" s="270"/>
      <c r="CK15" s="270"/>
      <c r="CL15" s="270"/>
      <c r="CM15" s="270"/>
      <c r="CN15" s="270"/>
      <c r="CO15" s="270"/>
      <c r="CP15" s="270"/>
      <c r="CQ15" s="270"/>
      <c r="CR15" s="270"/>
      <c r="CS15" s="270"/>
      <c r="CT15" s="270"/>
      <c r="CU15" s="270"/>
      <c r="CV15" s="270"/>
      <c r="CW15" s="270"/>
      <c r="CX15" s="270"/>
      <c r="CY15" s="270"/>
      <c r="CZ15" s="270"/>
      <c r="DA15" s="270"/>
      <c r="DB15" s="270"/>
      <c r="DC15" s="270"/>
      <c r="DD15" s="270"/>
      <c r="DE15" s="270"/>
      <c r="DF15" s="270"/>
      <c r="DG15" s="270"/>
      <c r="DH15" s="270"/>
      <c r="DI15" s="270"/>
      <c r="DJ15" s="270"/>
      <c r="DK15" s="270"/>
      <c r="DL15" s="270"/>
      <c r="DM15" s="270"/>
      <c r="DN15" s="270"/>
      <c r="DO15" s="270"/>
      <c r="DP15" s="270"/>
      <c r="DQ15" s="270"/>
      <c r="DR15" s="270"/>
      <c r="DS15" s="270"/>
      <c r="DT15" s="270"/>
      <c r="DU15" s="270"/>
      <c r="DV15" s="270"/>
      <c r="DW15" s="270"/>
      <c r="DX15" s="270"/>
      <c r="DY15" s="270"/>
      <c r="DZ15" s="270"/>
      <c r="EA15" s="270"/>
      <c r="EB15" s="270"/>
      <c r="EC15" s="270"/>
      <c r="ED15" s="270"/>
      <c r="EE15" s="270"/>
      <c r="EF15" s="270"/>
      <c r="EG15" s="270"/>
      <c r="EH15" s="270"/>
      <c r="EI15" s="270"/>
      <c r="EJ15" s="270"/>
      <c r="EK15" s="270"/>
      <c r="EL15" s="270"/>
      <c r="EM15" s="270"/>
      <c r="EN15" s="270"/>
      <c r="EO15" s="270"/>
      <c r="EP15" s="270"/>
      <c r="EQ15" s="270"/>
      <c r="ER15" s="270"/>
      <c r="ES15" s="270"/>
      <c r="ET15" s="270"/>
      <c r="EU15" s="270"/>
      <c r="EV15" s="270"/>
      <c r="EW15" s="270"/>
      <c r="EX15" s="270"/>
      <c r="EY15" s="270"/>
      <c r="EZ15" s="270"/>
      <c r="FA15" s="270"/>
      <c r="FB15" s="270"/>
      <c r="FC15" s="270"/>
      <c r="FD15" s="270"/>
      <c r="FE15" s="270"/>
      <c r="FF15" s="270"/>
      <c r="FG15" s="270"/>
      <c r="FH15" s="270"/>
      <c r="FI15" s="270"/>
      <c r="FJ15" s="270"/>
      <c r="FK15" s="270"/>
      <c r="FL15" s="270"/>
      <c r="FM15" s="270"/>
      <c r="FN15" s="270"/>
      <c r="FO15" s="270"/>
      <c r="FP15" s="270"/>
      <c r="FQ15" s="270"/>
      <c r="FR15" s="270"/>
      <c r="FS15" s="270"/>
      <c r="FT15" s="270"/>
      <c r="FU15" s="270"/>
      <c r="FV15" s="270"/>
      <c r="FW15" s="270"/>
      <c r="FX15" s="270"/>
      <c r="FY15" s="270"/>
      <c r="FZ15" s="270"/>
      <c r="GA15" s="270"/>
      <c r="GB15" s="270"/>
      <c r="GC15" s="270"/>
      <c r="GD15" s="270"/>
      <c r="GE15" s="270"/>
      <c r="GF15" s="270"/>
      <c r="GG15" s="270"/>
      <c r="GH15" s="270"/>
      <c r="GI15" s="270"/>
      <c r="GJ15" s="270"/>
      <c r="GK15" s="270"/>
      <c r="GL15" s="270"/>
      <c r="GM15" s="270"/>
      <c r="GN15" s="270"/>
      <c r="GO15" s="270"/>
      <c r="GP15" s="270"/>
      <c r="GQ15" s="270"/>
      <c r="GR15" s="270"/>
      <c r="GS15" s="270"/>
      <c r="GT15" s="270"/>
      <c r="GU15" s="270"/>
      <c r="GV15" s="270"/>
      <c r="GW15" s="270"/>
      <c r="GX15" s="270"/>
      <c r="GY15" s="270"/>
      <c r="GZ15" s="270"/>
      <c r="HA15" s="270"/>
      <c r="HB15" s="270"/>
      <c r="HC15" s="270"/>
      <c r="HD15" s="270"/>
      <c r="HE15" s="270"/>
      <c r="HF15" s="270"/>
      <c r="HG15" s="270"/>
      <c r="HH15" s="270"/>
      <c r="HI15" s="270"/>
      <c r="HJ15" s="270"/>
      <c r="HK15" s="270"/>
      <c r="HL15" s="270"/>
      <c r="HM15" s="270"/>
      <c r="HN15" s="270"/>
      <c r="HO15" s="270"/>
      <c r="HP15" s="270"/>
      <c r="HQ15" s="270"/>
      <c r="HR15" s="270"/>
      <c r="HS15" s="270"/>
      <c r="HT15" s="270"/>
      <c r="HU15" s="270"/>
      <c r="HV15" s="270"/>
      <c r="HW15" s="270"/>
      <c r="HX15" s="270"/>
      <c r="HY15" s="270"/>
      <c r="HZ15" s="270"/>
      <c r="IA15" s="270"/>
      <c r="IB15" s="270"/>
      <c r="IC15" s="270"/>
      <c r="ID15" s="270"/>
      <c r="IE15" s="270"/>
      <c r="IF15" s="270"/>
      <c r="IG15" s="270"/>
      <c r="IH15" s="270"/>
      <c r="II15" s="270"/>
      <c r="IJ15" s="270"/>
      <c r="IK15" s="270"/>
      <c r="IL15" s="270"/>
      <c r="IM15" s="270"/>
      <c r="IN15" s="270"/>
      <c r="IO15" s="270"/>
      <c r="IP15" s="270"/>
      <c r="IQ15" s="270"/>
      <c r="IR15" s="270"/>
      <c r="IS15" s="270"/>
      <c r="IT15" s="270"/>
      <c r="IU15" s="270"/>
      <c r="IV15" s="270"/>
      <c r="IW15" s="270"/>
      <c r="IX15" s="270"/>
      <c r="IY15" s="270"/>
      <c r="IZ15" s="270"/>
      <c r="JA15" s="270"/>
      <c r="JB15" s="270"/>
      <c r="JC15" s="270"/>
      <c r="JD15" s="270"/>
      <c r="JE15" s="270"/>
      <c r="JF15" s="270"/>
      <c r="JG15" s="270"/>
      <c r="JH15" s="270"/>
      <c r="JI15" s="270"/>
      <c r="JJ15" s="270"/>
      <c r="JK15" s="270"/>
      <c r="JL15" s="270"/>
      <c r="JM15" s="270"/>
      <c r="JN15" s="270"/>
      <c r="JO15" s="270"/>
      <c r="JP15" s="270"/>
      <c r="JQ15" s="270"/>
      <c r="JR15" s="270"/>
      <c r="JS15" s="270"/>
      <c r="JT15" s="270"/>
      <c r="JU15" s="270"/>
      <c r="JV15" s="270"/>
      <c r="JW15" s="270"/>
      <c r="JX15" s="270"/>
      <c r="JY15" s="270"/>
      <c r="JZ15" s="270"/>
      <c r="KA15" s="270"/>
      <c r="KB15" s="270"/>
      <c r="KC15" s="270"/>
      <c r="KD15" s="270"/>
      <c r="KE15" s="270"/>
      <c r="KF15" s="270"/>
      <c r="KG15" s="270"/>
      <c r="KH15" s="270"/>
      <c r="KI15" s="270"/>
      <c r="KJ15" s="270"/>
      <c r="KK15" s="270"/>
      <c r="KL15" s="270"/>
      <c r="KM15" s="270"/>
      <c r="KN15" s="270"/>
      <c r="KO15" s="270"/>
      <c r="KP15" s="270"/>
      <c r="KQ15" s="270"/>
      <c r="KR15" s="270"/>
      <c r="KS15" s="270"/>
      <c r="KT15" s="270"/>
      <c r="KU15" s="270"/>
      <c r="KV15" s="270"/>
      <c r="KW15" s="270"/>
      <c r="KX15" s="270"/>
      <c r="KY15" s="270"/>
      <c r="KZ15" s="270"/>
      <c r="LA15" s="270"/>
      <c r="LB15" s="270"/>
      <c r="LC15" s="270"/>
      <c r="LD15" s="270"/>
      <c r="LE15" s="270"/>
      <c r="LF15" s="270"/>
      <c r="LG15" s="270"/>
      <c r="LH15" s="270"/>
      <c r="LI15" s="270"/>
      <c r="LJ15" s="270"/>
      <c r="LK15" s="270"/>
      <c r="LL15" s="270"/>
      <c r="LM15" s="270"/>
      <c r="LN15" s="270"/>
      <c r="LO15" s="270"/>
      <c r="LP15" s="270"/>
      <c r="LQ15" s="270"/>
      <c r="LR15" s="270"/>
      <c r="LS15" s="270"/>
      <c r="LT15" s="270"/>
      <c r="LU15" s="270"/>
      <c r="LV15" s="270"/>
      <c r="LW15" s="270"/>
      <c r="LX15" s="270"/>
      <c r="LY15" s="270"/>
      <c r="LZ15" s="270"/>
      <c r="MA15" s="270"/>
      <c r="MB15" s="270"/>
      <c r="MC15" s="270"/>
      <c r="MD15" s="270"/>
      <c r="ME15" s="270"/>
      <c r="MF15" s="270"/>
      <c r="MG15" s="270"/>
      <c r="MH15" s="270"/>
      <c r="MI15" s="270"/>
      <c r="MJ15" s="270"/>
      <c r="MK15" s="270"/>
      <c r="ML15" s="270"/>
      <c r="MM15" s="270"/>
      <c r="MN15" s="270"/>
      <c r="MO15" s="270"/>
      <c r="MP15" s="270"/>
      <c r="MQ15" s="270"/>
      <c r="MR15" s="270"/>
      <c r="MS15" s="270"/>
      <c r="MT15" s="270"/>
      <c r="MU15" s="270"/>
      <c r="MV15" s="270"/>
      <c r="MW15" s="270"/>
      <c r="MX15" s="270"/>
      <c r="MY15" s="270"/>
      <c r="MZ15" s="270"/>
      <c r="NA15" s="270"/>
      <c r="NB15" s="270"/>
      <c r="NC15" s="270"/>
      <c r="ND15" s="270"/>
      <c r="NE15" s="270"/>
      <c r="NF15" s="270"/>
      <c r="NG15" s="270"/>
      <c r="NH15" s="270"/>
      <c r="NI15" s="270"/>
      <c r="NJ15" s="270"/>
      <c r="NK15" s="270"/>
      <c r="NL15" s="270"/>
      <c r="NM15" s="270"/>
      <c r="NN15" s="270"/>
      <c r="NO15" s="270"/>
      <c r="NP15" s="270"/>
      <c r="NQ15" s="270"/>
      <c r="NR15" s="270"/>
      <c r="NS15" s="270"/>
      <c r="NT15" s="270"/>
      <c r="NU15" s="270"/>
      <c r="NV15" s="270"/>
      <c r="NW15" s="270"/>
      <c r="NX15" s="270"/>
      <c r="NY15" s="270"/>
      <c r="NZ15" s="270"/>
      <c r="OA15" s="270"/>
      <c r="OB15" s="270"/>
      <c r="OC15" s="270"/>
      <c r="OD15" s="270"/>
      <c r="OE15" s="270"/>
      <c r="OF15" s="270"/>
      <c r="OG15" s="270"/>
      <c r="OH15" s="270"/>
      <c r="OI15" s="270"/>
      <c r="OJ15" s="270"/>
      <c r="OK15" s="270"/>
      <c r="OL15" s="270"/>
      <c r="OM15" s="270"/>
      <c r="ON15" s="270"/>
      <c r="OO15" s="270"/>
      <c r="OP15" s="270"/>
      <c r="OQ15" s="270"/>
      <c r="OR15" s="270"/>
      <c r="OS15" s="270"/>
      <c r="OT15" s="270"/>
      <c r="OU15" s="270"/>
      <c r="OV15" s="270"/>
      <c r="OW15" s="270"/>
      <c r="OX15" s="270"/>
      <c r="OY15" s="270"/>
      <c r="OZ15" s="270"/>
      <c r="PA15" s="270"/>
      <c r="PB15" s="270"/>
      <c r="PC15" s="270"/>
      <c r="PD15" s="270"/>
      <c r="PE15" s="270"/>
      <c r="PF15" s="270"/>
      <c r="PG15" s="270"/>
      <c r="PH15" s="270"/>
      <c r="PI15" s="270"/>
      <c r="PJ15" s="270"/>
      <c r="PK15" s="270"/>
      <c r="PL15" s="270"/>
      <c r="PM15" s="270"/>
      <c r="PN15" s="270"/>
      <c r="PO15" s="270"/>
      <c r="PP15" s="270"/>
      <c r="PQ15" s="270"/>
      <c r="PR15" s="270"/>
      <c r="PS15" s="270"/>
      <c r="PT15" s="270"/>
      <c r="PU15" s="270"/>
      <c r="PV15" s="270"/>
      <c r="PW15" s="270"/>
      <c r="PX15" s="270"/>
      <c r="PY15" s="270"/>
      <c r="PZ15" s="270"/>
      <c r="QA15" s="270"/>
      <c r="QB15" s="270"/>
      <c r="QC15" s="270"/>
      <c r="QD15" s="270"/>
      <c r="QE15" s="270"/>
      <c r="QF15" s="270"/>
      <c r="QG15" s="270"/>
      <c r="QH15" s="270"/>
      <c r="QI15" s="270"/>
      <c r="QJ15" s="270"/>
      <c r="QK15" s="270"/>
      <c r="QL15" s="270"/>
      <c r="QM15" s="270"/>
      <c r="QN15" s="270"/>
      <c r="QO15" s="270"/>
      <c r="QP15" s="270"/>
      <c r="QQ15" s="270"/>
      <c r="QR15" s="270"/>
      <c r="QS15" s="270"/>
      <c r="QT15" s="270"/>
      <c r="QU15" s="270"/>
      <c r="QV15" s="270"/>
      <c r="QW15" s="270"/>
      <c r="QX15" s="270"/>
      <c r="QY15" s="270"/>
      <c r="QZ15" s="302"/>
    </row>
    <row r="16" spans="1:468" s="289" customFormat="1" ht="99" customHeight="1" x14ac:dyDescent="0.2">
      <c r="A16" s="672"/>
      <c r="B16" s="668"/>
      <c r="C16" s="668"/>
      <c r="D16" s="668"/>
      <c r="E16" s="668"/>
      <c r="F16" s="668"/>
      <c r="G16" s="684"/>
      <c r="H16" s="646"/>
      <c r="I16" s="643"/>
      <c r="J16" s="649"/>
      <c r="K16" s="686"/>
      <c r="L16" s="646"/>
      <c r="M16" s="643"/>
      <c r="N16" s="640"/>
      <c r="O16" s="274">
        <v>2</v>
      </c>
      <c r="P16" s="330"/>
      <c r="Q16" s="276" t="str">
        <f t="shared" ref="Q16:Q32" si="7">IF(OR(R16="Preventivo",R16="Detectivo"),"Probabilidad",IF(R16="Correctivo","Impacto",""))</f>
        <v/>
      </c>
      <c r="R16" s="277"/>
      <c r="S16" s="277"/>
      <c r="T16" s="278" t="str">
        <f t="shared" ref="T16:T17" si="8">IF(AND(R16="Preventivo",S16="Automático"),"50%",IF(AND(R16="Preventivo",S16="Manual"),"40%",IF(AND(R16="Detectivo",S16="Automático"),"40%",IF(AND(R16="Detectivo",S16="Manual"),"30%",IF(AND(R16="Correctivo",S16="Automático"),"35%",IF(AND(R16="Correctivo",S16="Manual"),"25%",""))))))</f>
        <v/>
      </c>
      <c r="U16" s="277"/>
      <c r="V16" s="277"/>
      <c r="W16" s="277"/>
      <c r="X16" s="279" t="str">
        <f>IFERROR(IF(AND(Q15="Probabilidad",Q16="Probabilidad"),(Z15-(+Z15*T16)),IF(Q16="Probabilidad",(I15-(+I15*T16)),IF(Q16="Impacto",Z15,""))),"")</f>
        <v/>
      </c>
      <c r="Y16" s="280" t="str">
        <f t="shared" si="6"/>
        <v/>
      </c>
      <c r="Z16" s="278" t="str">
        <f>+X16</f>
        <v/>
      </c>
      <c r="AA16" s="280" t="str">
        <f t="shared" ref="AA16:AA32" si="9">IFERROR(IF(AB16="","",IF(AB16&lt;=0.2,"Leve",IF(AB16&lt;=0.4,"Menor",IF(AB16&lt;=0.6,"Moderado",IF(AB16&lt;=0.8,"Mayor","Catastrófico"))))),"")</f>
        <v/>
      </c>
      <c r="AB16" s="278" t="str">
        <f>IFERROR(IF(AND(Q15="Impacto",Q16="Impacto"),(AB12-(+AB12*T16)),IF(Q16="Impacto",($M$15-(+$M$15*T16)),IF(Q16="Probabilidad",AB12,""))),"")</f>
        <v/>
      </c>
      <c r="AC16" s="281" t="str">
        <f t="shared" ref="AC16" si="10">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322"/>
      <c r="AE16" s="323"/>
      <c r="AF16" s="282"/>
      <c r="AG16" s="284"/>
      <c r="AH16" s="324"/>
      <c r="AI16" s="324"/>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70"/>
      <c r="CC16" s="270"/>
      <c r="CD16" s="270"/>
      <c r="CE16" s="270"/>
      <c r="CF16" s="270"/>
      <c r="CG16" s="270"/>
      <c r="CH16" s="270"/>
      <c r="CI16" s="270"/>
      <c r="CJ16" s="270"/>
      <c r="CK16" s="270"/>
      <c r="CL16" s="270"/>
      <c r="CM16" s="270"/>
      <c r="CN16" s="270"/>
      <c r="CO16" s="270"/>
      <c r="CP16" s="270"/>
      <c r="CQ16" s="270"/>
      <c r="CR16" s="270"/>
      <c r="CS16" s="270"/>
      <c r="CT16" s="270"/>
      <c r="CU16" s="270"/>
      <c r="CV16" s="270"/>
      <c r="CW16" s="270"/>
      <c r="CX16" s="270"/>
      <c r="CY16" s="270"/>
      <c r="CZ16" s="270"/>
      <c r="DA16" s="270"/>
      <c r="DB16" s="270"/>
      <c r="DC16" s="270"/>
      <c r="DD16" s="270"/>
      <c r="DE16" s="270"/>
      <c r="DF16" s="270"/>
      <c r="DG16" s="270"/>
      <c r="DH16" s="270"/>
      <c r="DI16" s="270"/>
      <c r="DJ16" s="270"/>
      <c r="DK16" s="270"/>
      <c r="DL16" s="270"/>
      <c r="DM16" s="270"/>
      <c r="DN16" s="270"/>
      <c r="DO16" s="270"/>
      <c r="DP16" s="270"/>
      <c r="DQ16" s="270"/>
      <c r="DR16" s="270"/>
      <c r="DS16" s="270"/>
      <c r="DT16" s="270"/>
      <c r="DU16" s="270"/>
      <c r="DV16" s="270"/>
      <c r="DW16" s="270"/>
      <c r="DX16" s="270"/>
      <c r="DY16" s="270"/>
      <c r="DZ16" s="270"/>
      <c r="EA16" s="270"/>
      <c r="EB16" s="270"/>
      <c r="EC16" s="270"/>
      <c r="ED16" s="270"/>
      <c r="EE16" s="270"/>
      <c r="EF16" s="270"/>
      <c r="EG16" s="270"/>
      <c r="EH16" s="270"/>
      <c r="EI16" s="270"/>
      <c r="EJ16" s="270"/>
      <c r="EK16" s="270"/>
      <c r="EL16" s="270"/>
      <c r="EM16" s="270"/>
      <c r="EN16" s="270"/>
      <c r="EO16" s="270"/>
      <c r="EP16" s="270"/>
      <c r="EQ16" s="270"/>
      <c r="ER16" s="270"/>
      <c r="ES16" s="270"/>
      <c r="ET16" s="270"/>
      <c r="EU16" s="270"/>
      <c r="EV16" s="270"/>
      <c r="EW16" s="270"/>
      <c r="EX16" s="270"/>
      <c r="EY16" s="270"/>
      <c r="EZ16" s="270"/>
      <c r="FA16" s="270"/>
      <c r="FB16" s="270"/>
      <c r="FC16" s="270"/>
      <c r="FD16" s="270"/>
      <c r="FE16" s="270"/>
      <c r="FF16" s="270"/>
      <c r="FG16" s="270"/>
      <c r="FH16" s="270"/>
      <c r="FI16" s="270"/>
      <c r="FJ16" s="270"/>
      <c r="FK16" s="270"/>
      <c r="FL16" s="270"/>
      <c r="FM16" s="270"/>
      <c r="FN16" s="270"/>
      <c r="FO16" s="270"/>
      <c r="FP16" s="270"/>
      <c r="FQ16" s="270"/>
      <c r="FR16" s="270"/>
      <c r="FS16" s="270"/>
      <c r="FT16" s="270"/>
      <c r="FU16" s="270"/>
      <c r="FV16" s="270"/>
      <c r="FW16" s="270"/>
      <c r="FX16" s="270"/>
      <c r="FY16" s="270"/>
      <c r="FZ16" s="270"/>
      <c r="GA16" s="270"/>
      <c r="GB16" s="270"/>
      <c r="GC16" s="270"/>
      <c r="GD16" s="270"/>
      <c r="GE16" s="270"/>
      <c r="GF16" s="270"/>
      <c r="GG16" s="270"/>
      <c r="GH16" s="270"/>
      <c r="GI16" s="270"/>
      <c r="GJ16" s="270"/>
      <c r="GK16" s="270"/>
      <c r="GL16" s="270"/>
      <c r="GM16" s="270"/>
      <c r="GN16" s="270"/>
      <c r="GO16" s="270"/>
      <c r="GP16" s="270"/>
      <c r="GQ16" s="270"/>
      <c r="GR16" s="270"/>
      <c r="GS16" s="270"/>
      <c r="GT16" s="270"/>
      <c r="GU16" s="270"/>
      <c r="GV16" s="270"/>
      <c r="GW16" s="270"/>
      <c r="GX16" s="270"/>
      <c r="GY16" s="270"/>
      <c r="GZ16" s="270"/>
      <c r="HA16" s="270"/>
      <c r="HB16" s="270"/>
      <c r="HC16" s="270"/>
      <c r="HD16" s="270"/>
      <c r="HE16" s="270"/>
      <c r="HF16" s="270"/>
      <c r="HG16" s="270"/>
      <c r="HH16" s="270"/>
      <c r="HI16" s="270"/>
      <c r="HJ16" s="270"/>
      <c r="HK16" s="270"/>
      <c r="HL16" s="270"/>
      <c r="HM16" s="270"/>
      <c r="HN16" s="270"/>
      <c r="HO16" s="270"/>
      <c r="HP16" s="270"/>
      <c r="HQ16" s="270"/>
      <c r="HR16" s="270"/>
      <c r="HS16" s="270"/>
      <c r="HT16" s="270"/>
      <c r="HU16" s="270"/>
      <c r="HV16" s="270"/>
      <c r="HW16" s="270"/>
      <c r="HX16" s="270"/>
      <c r="HY16" s="270"/>
      <c r="HZ16" s="270"/>
      <c r="IA16" s="270"/>
      <c r="IB16" s="270"/>
      <c r="IC16" s="270"/>
      <c r="ID16" s="270"/>
      <c r="IE16" s="270"/>
      <c r="IF16" s="270"/>
      <c r="IG16" s="270"/>
      <c r="IH16" s="270"/>
      <c r="II16" s="270"/>
      <c r="IJ16" s="270"/>
      <c r="IK16" s="270"/>
      <c r="IL16" s="270"/>
      <c r="IM16" s="270"/>
      <c r="IN16" s="270"/>
      <c r="IO16" s="270"/>
      <c r="IP16" s="270"/>
      <c r="IQ16" s="270"/>
      <c r="IR16" s="270"/>
      <c r="IS16" s="270"/>
      <c r="IT16" s="270"/>
      <c r="IU16" s="270"/>
      <c r="IV16" s="270"/>
      <c r="IW16" s="270"/>
      <c r="IX16" s="270"/>
      <c r="IY16" s="270"/>
      <c r="IZ16" s="270"/>
      <c r="JA16" s="270"/>
      <c r="JB16" s="270"/>
      <c r="JC16" s="270"/>
      <c r="JD16" s="270"/>
      <c r="JE16" s="270"/>
      <c r="JF16" s="270"/>
      <c r="JG16" s="270"/>
      <c r="JH16" s="270"/>
      <c r="JI16" s="270"/>
      <c r="JJ16" s="270"/>
      <c r="JK16" s="270"/>
      <c r="JL16" s="270"/>
      <c r="JM16" s="270"/>
      <c r="JN16" s="270"/>
      <c r="JO16" s="270"/>
      <c r="JP16" s="270"/>
      <c r="JQ16" s="270"/>
      <c r="JR16" s="270"/>
      <c r="JS16" s="270"/>
      <c r="JT16" s="270"/>
      <c r="JU16" s="270"/>
      <c r="JV16" s="270"/>
      <c r="JW16" s="270"/>
      <c r="JX16" s="270"/>
      <c r="JY16" s="270"/>
      <c r="JZ16" s="270"/>
      <c r="KA16" s="270"/>
      <c r="KB16" s="270"/>
      <c r="KC16" s="270"/>
      <c r="KD16" s="270"/>
      <c r="KE16" s="270"/>
      <c r="KF16" s="270"/>
      <c r="KG16" s="270"/>
      <c r="KH16" s="270"/>
      <c r="KI16" s="270"/>
      <c r="KJ16" s="270"/>
      <c r="KK16" s="270"/>
      <c r="KL16" s="270"/>
      <c r="KM16" s="270"/>
      <c r="KN16" s="270"/>
      <c r="KO16" s="270"/>
      <c r="KP16" s="270"/>
      <c r="KQ16" s="270"/>
      <c r="KR16" s="270"/>
      <c r="KS16" s="270"/>
      <c r="KT16" s="270"/>
      <c r="KU16" s="270"/>
      <c r="KV16" s="270"/>
      <c r="KW16" s="270"/>
      <c r="KX16" s="270"/>
      <c r="KY16" s="270"/>
      <c r="KZ16" s="270"/>
      <c r="LA16" s="270"/>
      <c r="LB16" s="270"/>
      <c r="LC16" s="270"/>
      <c r="LD16" s="270"/>
      <c r="LE16" s="270"/>
      <c r="LF16" s="270"/>
      <c r="LG16" s="270"/>
      <c r="LH16" s="270"/>
      <c r="LI16" s="270"/>
      <c r="LJ16" s="270"/>
      <c r="LK16" s="270"/>
      <c r="LL16" s="270"/>
      <c r="LM16" s="270"/>
      <c r="LN16" s="270"/>
      <c r="LO16" s="270"/>
      <c r="LP16" s="270"/>
      <c r="LQ16" s="270"/>
      <c r="LR16" s="270"/>
      <c r="LS16" s="270"/>
      <c r="LT16" s="270"/>
      <c r="LU16" s="270"/>
      <c r="LV16" s="270"/>
      <c r="LW16" s="270"/>
      <c r="LX16" s="270"/>
      <c r="LY16" s="270"/>
      <c r="LZ16" s="270"/>
      <c r="MA16" s="270"/>
      <c r="MB16" s="270"/>
      <c r="MC16" s="270"/>
      <c r="MD16" s="270"/>
      <c r="ME16" s="270"/>
      <c r="MF16" s="270"/>
      <c r="MG16" s="270"/>
      <c r="MH16" s="270"/>
      <c r="MI16" s="270"/>
      <c r="MJ16" s="270"/>
      <c r="MK16" s="270"/>
      <c r="ML16" s="270"/>
      <c r="MM16" s="270"/>
      <c r="MN16" s="270"/>
      <c r="MO16" s="270"/>
      <c r="MP16" s="270"/>
      <c r="MQ16" s="270"/>
      <c r="MR16" s="270"/>
      <c r="MS16" s="270"/>
      <c r="MT16" s="270"/>
      <c r="MU16" s="270"/>
      <c r="MV16" s="270"/>
      <c r="MW16" s="270"/>
      <c r="MX16" s="270"/>
      <c r="MY16" s="270"/>
      <c r="MZ16" s="270"/>
      <c r="NA16" s="270"/>
      <c r="NB16" s="270"/>
      <c r="NC16" s="270"/>
      <c r="ND16" s="270"/>
      <c r="NE16" s="270"/>
      <c r="NF16" s="270"/>
      <c r="NG16" s="270"/>
      <c r="NH16" s="270"/>
      <c r="NI16" s="270"/>
      <c r="NJ16" s="270"/>
      <c r="NK16" s="270"/>
      <c r="NL16" s="270"/>
      <c r="NM16" s="270"/>
      <c r="NN16" s="270"/>
      <c r="NO16" s="270"/>
      <c r="NP16" s="270"/>
      <c r="NQ16" s="270"/>
      <c r="NR16" s="270"/>
      <c r="NS16" s="270"/>
      <c r="NT16" s="270"/>
      <c r="NU16" s="270"/>
      <c r="NV16" s="270"/>
      <c r="NW16" s="270"/>
      <c r="NX16" s="270"/>
      <c r="NY16" s="270"/>
      <c r="NZ16" s="270"/>
      <c r="OA16" s="270"/>
      <c r="OB16" s="270"/>
      <c r="OC16" s="270"/>
      <c r="OD16" s="270"/>
      <c r="OE16" s="270"/>
      <c r="OF16" s="270"/>
      <c r="OG16" s="270"/>
      <c r="OH16" s="270"/>
      <c r="OI16" s="270"/>
      <c r="OJ16" s="270"/>
      <c r="OK16" s="270"/>
      <c r="OL16" s="270"/>
      <c r="OM16" s="270"/>
      <c r="ON16" s="270"/>
      <c r="OO16" s="270"/>
      <c r="OP16" s="270"/>
      <c r="OQ16" s="270"/>
      <c r="OR16" s="270"/>
      <c r="OS16" s="270"/>
      <c r="OT16" s="270"/>
      <c r="OU16" s="270"/>
      <c r="OV16" s="270"/>
      <c r="OW16" s="270"/>
      <c r="OX16" s="270"/>
      <c r="OY16" s="270"/>
      <c r="OZ16" s="270"/>
      <c r="PA16" s="270"/>
      <c r="PB16" s="270"/>
      <c r="PC16" s="270"/>
      <c r="PD16" s="270"/>
      <c r="PE16" s="270"/>
      <c r="PF16" s="270"/>
      <c r="PG16" s="270"/>
      <c r="PH16" s="270"/>
      <c r="PI16" s="270"/>
      <c r="PJ16" s="270"/>
      <c r="PK16" s="270"/>
      <c r="PL16" s="270"/>
      <c r="PM16" s="270"/>
      <c r="PN16" s="270"/>
      <c r="PO16" s="270"/>
      <c r="PP16" s="270"/>
      <c r="PQ16" s="270"/>
      <c r="PR16" s="270"/>
      <c r="PS16" s="270"/>
      <c r="PT16" s="270"/>
      <c r="PU16" s="270"/>
      <c r="PV16" s="270"/>
      <c r="PW16" s="270"/>
      <c r="PX16" s="270"/>
      <c r="PY16" s="270"/>
      <c r="PZ16" s="270"/>
      <c r="QA16" s="270"/>
      <c r="QB16" s="270"/>
      <c r="QC16" s="270"/>
      <c r="QD16" s="270"/>
      <c r="QE16" s="270"/>
      <c r="QF16" s="270"/>
      <c r="QG16" s="270"/>
      <c r="QH16" s="270"/>
      <c r="QI16" s="270"/>
      <c r="QJ16" s="270"/>
      <c r="QK16" s="270"/>
      <c r="QL16" s="270"/>
      <c r="QM16" s="270"/>
      <c r="QN16" s="270"/>
      <c r="QO16" s="270"/>
      <c r="QP16" s="270"/>
      <c r="QQ16" s="270"/>
      <c r="QR16" s="270"/>
      <c r="QS16" s="270"/>
      <c r="QT16" s="270"/>
      <c r="QU16" s="270"/>
      <c r="QV16" s="270"/>
      <c r="QW16" s="270"/>
      <c r="QX16" s="270"/>
      <c r="QY16" s="270"/>
      <c r="QZ16" s="302"/>
    </row>
    <row r="17" spans="1:468" s="289" customFormat="1" ht="108.75" customHeight="1" x14ac:dyDescent="0.2">
      <c r="A17" s="673"/>
      <c r="B17" s="669"/>
      <c r="C17" s="669"/>
      <c r="D17" s="669"/>
      <c r="E17" s="669"/>
      <c r="F17" s="669"/>
      <c r="G17" s="688"/>
      <c r="H17" s="647"/>
      <c r="I17" s="644"/>
      <c r="J17" s="650"/>
      <c r="K17" s="687"/>
      <c r="L17" s="647"/>
      <c r="M17" s="644"/>
      <c r="N17" s="641"/>
      <c r="O17" s="274">
        <v>3</v>
      </c>
      <c r="P17" s="330"/>
      <c r="Q17" s="276" t="str">
        <f t="shared" si="7"/>
        <v/>
      </c>
      <c r="R17" s="329"/>
      <c r="S17" s="277"/>
      <c r="T17" s="278" t="str">
        <f t="shared" si="8"/>
        <v/>
      </c>
      <c r="U17" s="277"/>
      <c r="V17" s="277"/>
      <c r="W17" s="277"/>
      <c r="X17" s="279" t="str">
        <f>IFERROR(IF(AND(Q16="Probabilidad",Q17="Probabilidad"),(Z16-(+Z16*T17)),IF(Q17="Probabilidad",(I16-(+I16*T17)),IF(Q17="Impacto",Z16,""))),"")</f>
        <v/>
      </c>
      <c r="Y17" s="280" t="str">
        <f t="shared" si="6"/>
        <v/>
      </c>
      <c r="Z17" s="278" t="str">
        <f>+X17</f>
        <v/>
      </c>
      <c r="AA17" s="280" t="str">
        <f t="shared" ref="AA17" si="11">IFERROR(IF(AB17="","",IF(AB17&lt;=0.2,"Leve",IF(AB17&lt;=0.4,"Menor",IF(AB17&lt;=0.6,"Moderado",IF(AB17&lt;=0.8,"Mayor","Catastrófico"))))),"")</f>
        <v/>
      </c>
      <c r="AB17" s="278" t="str">
        <f>IFERROR(IF(AND(Q16="Impacto",Q17="Impacto"),(AB13-(+AB13*T17)),IF(Q17="Impacto",($M$15-(+$M$15*T17)),IF(Q17="Probabilidad",AB13,""))),"")</f>
        <v/>
      </c>
      <c r="AC17" s="281" t="str">
        <f t="shared" ref="AC17" si="12">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322"/>
      <c r="AE17" s="282"/>
      <c r="AF17" s="282"/>
      <c r="AG17" s="284"/>
      <c r="AH17" s="284"/>
      <c r="AI17" s="284"/>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c r="CF17" s="270"/>
      <c r="CG17" s="270"/>
      <c r="CH17" s="270"/>
      <c r="CI17" s="270"/>
      <c r="CJ17" s="270"/>
      <c r="CK17" s="270"/>
      <c r="CL17" s="270"/>
      <c r="CM17" s="270"/>
      <c r="CN17" s="270"/>
      <c r="CO17" s="270"/>
      <c r="CP17" s="270"/>
      <c r="CQ17" s="270"/>
      <c r="CR17" s="270"/>
      <c r="CS17" s="270"/>
      <c r="CT17" s="270"/>
      <c r="CU17" s="270"/>
      <c r="CV17" s="270"/>
      <c r="CW17" s="270"/>
      <c r="CX17" s="270"/>
      <c r="CY17" s="270"/>
      <c r="CZ17" s="270"/>
      <c r="DA17" s="270"/>
      <c r="DB17" s="270"/>
      <c r="DC17" s="270"/>
      <c r="DD17" s="270"/>
      <c r="DE17" s="270"/>
      <c r="DF17" s="270"/>
      <c r="DG17" s="270"/>
      <c r="DH17" s="270"/>
      <c r="DI17" s="270"/>
      <c r="DJ17" s="270"/>
      <c r="DK17" s="270"/>
      <c r="DL17" s="270"/>
      <c r="DM17" s="270"/>
      <c r="DN17" s="270"/>
      <c r="DO17" s="270"/>
      <c r="DP17" s="270"/>
      <c r="DQ17" s="270"/>
      <c r="DR17" s="270"/>
      <c r="DS17" s="270"/>
      <c r="DT17" s="270"/>
      <c r="DU17" s="270"/>
      <c r="DV17" s="270"/>
      <c r="DW17" s="270"/>
      <c r="DX17" s="270"/>
      <c r="DY17" s="270"/>
      <c r="DZ17" s="270"/>
      <c r="EA17" s="270"/>
      <c r="EB17" s="270"/>
      <c r="EC17" s="270"/>
      <c r="ED17" s="270"/>
      <c r="EE17" s="270"/>
      <c r="EF17" s="270"/>
      <c r="EG17" s="270"/>
      <c r="EH17" s="270"/>
      <c r="EI17" s="270"/>
      <c r="EJ17" s="270"/>
      <c r="EK17" s="270"/>
      <c r="EL17" s="270"/>
      <c r="EM17" s="270"/>
      <c r="EN17" s="270"/>
      <c r="EO17" s="270"/>
      <c r="EP17" s="270"/>
      <c r="EQ17" s="270"/>
      <c r="ER17" s="270"/>
      <c r="ES17" s="270"/>
      <c r="ET17" s="270"/>
      <c r="EU17" s="270"/>
      <c r="EV17" s="270"/>
      <c r="EW17" s="270"/>
      <c r="EX17" s="270"/>
      <c r="EY17" s="270"/>
      <c r="EZ17" s="270"/>
      <c r="FA17" s="270"/>
      <c r="FB17" s="270"/>
      <c r="FC17" s="270"/>
      <c r="FD17" s="270"/>
      <c r="FE17" s="270"/>
      <c r="FF17" s="270"/>
      <c r="FG17" s="270"/>
      <c r="FH17" s="270"/>
      <c r="FI17" s="270"/>
      <c r="FJ17" s="270"/>
      <c r="FK17" s="270"/>
      <c r="FL17" s="270"/>
      <c r="FM17" s="270"/>
      <c r="FN17" s="270"/>
      <c r="FO17" s="270"/>
      <c r="FP17" s="270"/>
      <c r="FQ17" s="270"/>
      <c r="FR17" s="270"/>
      <c r="FS17" s="270"/>
      <c r="FT17" s="270"/>
      <c r="FU17" s="270"/>
      <c r="FV17" s="270"/>
      <c r="FW17" s="270"/>
      <c r="FX17" s="270"/>
      <c r="FY17" s="270"/>
      <c r="FZ17" s="270"/>
      <c r="GA17" s="270"/>
      <c r="GB17" s="270"/>
      <c r="GC17" s="270"/>
      <c r="GD17" s="270"/>
      <c r="GE17" s="270"/>
      <c r="GF17" s="270"/>
      <c r="GG17" s="270"/>
      <c r="GH17" s="270"/>
      <c r="GI17" s="270"/>
      <c r="GJ17" s="270"/>
      <c r="GK17" s="270"/>
      <c r="GL17" s="270"/>
      <c r="GM17" s="270"/>
      <c r="GN17" s="270"/>
      <c r="GO17" s="270"/>
      <c r="GP17" s="270"/>
      <c r="GQ17" s="270"/>
      <c r="GR17" s="270"/>
      <c r="GS17" s="270"/>
      <c r="GT17" s="270"/>
      <c r="GU17" s="270"/>
      <c r="GV17" s="270"/>
      <c r="GW17" s="270"/>
      <c r="GX17" s="270"/>
      <c r="GY17" s="270"/>
      <c r="GZ17" s="270"/>
      <c r="HA17" s="270"/>
      <c r="HB17" s="270"/>
      <c r="HC17" s="270"/>
      <c r="HD17" s="270"/>
      <c r="HE17" s="270"/>
      <c r="HF17" s="270"/>
      <c r="HG17" s="270"/>
      <c r="HH17" s="270"/>
      <c r="HI17" s="270"/>
      <c r="HJ17" s="270"/>
      <c r="HK17" s="270"/>
      <c r="HL17" s="270"/>
      <c r="HM17" s="270"/>
      <c r="HN17" s="270"/>
      <c r="HO17" s="270"/>
      <c r="HP17" s="270"/>
      <c r="HQ17" s="270"/>
      <c r="HR17" s="270"/>
      <c r="HS17" s="270"/>
      <c r="HT17" s="270"/>
      <c r="HU17" s="270"/>
      <c r="HV17" s="270"/>
      <c r="HW17" s="270"/>
      <c r="HX17" s="270"/>
      <c r="HY17" s="270"/>
      <c r="HZ17" s="270"/>
      <c r="IA17" s="270"/>
      <c r="IB17" s="270"/>
      <c r="IC17" s="270"/>
      <c r="ID17" s="270"/>
      <c r="IE17" s="270"/>
      <c r="IF17" s="270"/>
      <c r="IG17" s="270"/>
      <c r="IH17" s="270"/>
      <c r="II17" s="270"/>
      <c r="IJ17" s="270"/>
      <c r="IK17" s="270"/>
      <c r="IL17" s="270"/>
      <c r="IM17" s="270"/>
      <c r="IN17" s="270"/>
      <c r="IO17" s="270"/>
      <c r="IP17" s="270"/>
      <c r="IQ17" s="270"/>
      <c r="IR17" s="270"/>
      <c r="IS17" s="270"/>
      <c r="IT17" s="270"/>
      <c r="IU17" s="270"/>
      <c r="IV17" s="270"/>
      <c r="IW17" s="270"/>
      <c r="IX17" s="270"/>
      <c r="IY17" s="270"/>
      <c r="IZ17" s="270"/>
      <c r="JA17" s="270"/>
      <c r="JB17" s="270"/>
      <c r="JC17" s="270"/>
      <c r="JD17" s="270"/>
      <c r="JE17" s="270"/>
      <c r="JF17" s="270"/>
      <c r="JG17" s="270"/>
      <c r="JH17" s="270"/>
      <c r="JI17" s="270"/>
      <c r="JJ17" s="270"/>
      <c r="JK17" s="270"/>
      <c r="JL17" s="270"/>
      <c r="JM17" s="270"/>
      <c r="JN17" s="270"/>
      <c r="JO17" s="270"/>
      <c r="JP17" s="270"/>
      <c r="JQ17" s="270"/>
      <c r="JR17" s="270"/>
      <c r="JS17" s="270"/>
      <c r="JT17" s="270"/>
      <c r="JU17" s="270"/>
      <c r="JV17" s="270"/>
      <c r="JW17" s="270"/>
      <c r="JX17" s="270"/>
      <c r="JY17" s="270"/>
      <c r="JZ17" s="270"/>
      <c r="KA17" s="270"/>
      <c r="KB17" s="270"/>
      <c r="KC17" s="270"/>
      <c r="KD17" s="270"/>
      <c r="KE17" s="270"/>
      <c r="KF17" s="270"/>
      <c r="KG17" s="270"/>
      <c r="KH17" s="270"/>
      <c r="KI17" s="270"/>
      <c r="KJ17" s="270"/>
      <c r="KK17" s="270"/>
      <c r="KL17" s="270"/>
      <c r="KM17" s="270"/>
      <c r="KN17" s="270"/>
      <c r="KO17" s="270"/>
      <c r="KP17" s="270"/>
      <c r="KQ17" s="270"/>
      <c r="KR17" s="270"/>
      <c r="KS17" s="270"/>
      <c r="KT17" s="270"/>
      <c r="KU17" s="270"/>
      <c r="KV17" s="270"/>
      <c r="KW17" s="270"/>
      <c r="KX17" s="270"/>
      <c r="KY17" s="270"/>
      <c r="KZ17" s="270"/>
      <c r="LA17" s="270"/>
      <c r="LB17" s="270"/>
      <c r="LC17" s="270"/>
      <c r="LD17" s="270"/>
      <c r="LE17" s="270"/>
      <c r="LF17" s="270"/>
      <c r="LG17" s="270"/>
      <c r="LH17" s="270"/>
      <c r="LI17" s="270"/>
      <c r="LJ17" s="270"/>
      <c r="LK17" s="270"/>
      <c r="LL17" s="270"/>
      <c r="LM17" s="270"/>
      <c r="LN17" s="270"/>
      <c r="LO17" s="270"/>
      <c r="LP17" s="270"/>
      <c r="LQ17" s="270"/>
      <c r="LR17" s="270"/>
      <c r="LS17" s="270"/>
      <c r="LT17" s="270"/>
      <c r="LU17" s="270"/>
      <c r="LV17" s="270"/>
      <c r="LW17" s="270"/>
      <c r="LX17" s="270"/>
      <c r="LY17" s="270"/>
      <c r="LZ17" s="270"/>
      <c r="MA17" s="270"/>
      <c r="MB17" s="270"/>
      <c r="MC17" s="270"/>
      <c r="MD17" s="270"/>
      <c r="ME17" s="270"/>
      <c r="MF17" s="270"/>
      <c r="MG17" s="270"/>
      <c r="MH17" s="270"/>
      <c r="MI17" s="270"/>
      <c r="MJ17" s="270"/>
      <c r="MK17" s="270"/>
      <c r="ML17" s="270"/>
      <c r="MM17" s="270"/>
      <c r="MN17" s="270"/>
      <c r="MO17" s="270"/>
      <c r="MP17" s="270"/>
      <c r="MQ17" s="270"/>
      <c r="MR17" s="270"/>
      <c r="MS17" s="270"/>
      <c r="MT17" s="270"/>
      <c r="MU17" s="270"/>
      <c r="MV17" s="270"/>
      <c r="MW17" s="270"/>
      <c r="MX17" s="270"/>
      <c r="MY17" s="270"/>
      <c r="MZ17" s="270"/>
      <c r="NA17" s="270"/>
      <c r="NB17" s="270"/>
      <c r="NC17" s="270"/>
      <c r="ND17" s="270"/>
      <c r="NE17" s="270"/>
      <c r="NF17" s="270"/>
      <c r="NG17" s="270"/>
      <c r="NH17" s="270"/>
      <c r="NI17" s="270"/>
      <c r="NJ17" s="270"/>
      <c r="NK17" s="270"/>
      <c r="NL17" s="270"/>
      <c r="NM17" s="270"/>
      <c r="NN17" s="270"/>
      <c r="NO17" s="270"/>
      <c r="NP17" s="270"/>
      <c r="NQ17" s="270"/>
      <c r="NR17" s="270"/>
      <c r="NS17" s="270"/>
      <c r="NT17" s="270"/>
      <c r="NU17" s="270"/>
      <c r="NV17" s="270"/>
      <c r="NW17" s="270"/>
      <c r="NX17" s="270"/>
      <c r="NY17" s="270"/>
      <c r="NZ17" s="270"/>
      <c r="OA17" s="270"/>
      <c r="OB17" s="270"/>
      <c r="OC17" s="270"/>
      <c r="OD17" s="270"/>
      <c r="OE17" s="270"/>
      <c r="OF17" s="270"/>
      <c r="OG17" s="270"/>
      <c r="OH17" s="270"/>
      <c r="OI17" s="270"/>
      <c r="OJ17" s="270"/>
      <c r="OK17" s="270"/>
      <c r="OL17" s="270"/>
      <c r="OM17" s="270"/>
      <c r="ON17" s="270"/>
      <c r="OO17" s="270"/>
      <c r="OP17" s="270"/>
      <c r="OQ17" s="270"/>
      <c r="OR17" s="270"/>
      <c r="OS17" s="270"/>
      <c r="OT17" s="270"/>
      <c r="OU17" s="270"/>
      <c r="OV17" s="270"/>
      <c r="OW17" s="270"/>
      <c r="OX17" s="270"/>
      <c r="OY17" s="270"/>
      <c r="OZ17" s="270"/>
      <c r="PA17" s="270"/>
      <c r="PB17" s="270"/>
      <c r="PC17" s="270"/>
      <c r="PD17" s="270"/>
      <c r="PE17" s="270"/>
      <c r="PF17" s="270"/>
      <c r="PG17" s="270"/>
      <c r="PH17" s="270"/>
      <c r="PI17" s="270"/>
      <c r="PJ17" s="270"/>
      <c r="PK17" s="270"/>
      <c r="PL17" s="270"/>
      <c r="PM17" s="270"/>
      <c r="PN17" s="270"/>
      <c r="PO17" s="270"/>
      <c r="PP17" s="270"/>
      <c r="PQ17" s="270"/>
      <c r="PR17" s="270"/>
      <c r="PS17" s="270"/>
      <c r="PT17" s="270"/>
      <c r="PU17" s="270"/>
      <c r="PV17" s="270"/>
      <c r="PW17" s="270"/>
      <c r="PX17" s="270"/>
      <c r="PY17" s="270"/>
      <c r="PZ17" s="270"/>
      <c r="QA17" s="270"/>
      <c r="QB17" s="270"/>
      <c r="QC17" s="270"/>
      <c r="QD17" s="270"/>
      <c r="QE17" s="270"/>
      <c r="QF17" s="270"/>
      <c r="QG17" s="270"/>
      <c r="QH17" s="270"/>
      <c r="QI17" s="270"/>
      <c r="QJ17" s="270"/>
      <c r="QK17" s="270"/>
      <c r="QL17" s="270"/>
      <c r="QM17" s="270"/>
      <c r="QN17" s="270"/>
      <c r="QO17" s="270"/>
      <c r="QP17" s="270"/>
      <c r="QQ17" s="270"/>
      <c r="QR17" s="270"/>
      <c r="QS17" s="270"/>
      <c r="QT17" s="270"/>
      <c r="QU17" s="270"/>
      <c r="QV17" s="270"/>
      <c r="QW17" s="270"/>
      <c r="QX17" s="270"/>
      <c r="QY17" s="270"/>
      <c r="QZ17" s="302"/>
    </row>
    <row r="18" spans="1:468" s="289" customFormat="1" ht="158.25" customHeight="1" x14ac:dyDescent="0.2">
      <c r="A18" s="671">
        <v>3</v>
      </c>
      <c r="B18" s="683"/>
      <c r="C18" s="683"/>
      <c r="D18" s="683"/>
      <c r="E18" s="667"/>
      <c r="F18" s="683"/>
      <c r="G18" s="559"/>
      <c r="H18" s="645" t="str">
        <f t="shared" ref="H18" si="13">IF(G18&lt;=0,"",IF(G18&lt;=2,"Muy Baja",IF(G18&lt;=24,"Baja",IF(G18&lt;=500,"Media",IF(G18&lt;=5000,"Alta","Muy Alta")))))</f>
        <v/>
      </c>
      <c r="I18" s="642" t="str">
        <f t="shared" ref="I18" si="14">IF(H18="","",IF(H18="Muy Baja",0.2,IF(H18="Baja",0.4,IF(H18="Media",0.6,IF(H18="Alta",0.8,IF(H18="Muy Alta",1,))))))</f>
        <v/>
      </c>
      <c r="J18" s="648"/>
      <c r="K18" s="553">
        <f>IF(NOT(ISERROR(MATCH(J18,'[2]Tabla Impacto'!$B$221:$B$223,0))),'[2]Tabla Impacto'!$F$223&amp;"Por favor no seleccionar los criterios de impacto(Afectación Económica o presupuestal y Pérdida Reputacional)",J18)</f>
        <v>0</v>
      </c>
      <c r="L18" s="645" t="str">
        <f>IF(J18&lt;=0,"",IF(J18&lt;=10,"Leve",IF(J18&lt;=50,"Menor",IF(J18&lt;=100,"Moderado",IF(J18&lt;=500,"Mayor","Catastrófico")))))</f>
        <v/>
      </c>
      <c r="M18" s="642" t="str">
        <f t="shared" ref="M18" si="15">IF(L18="","",IF(L18="Leve",0.2,IF(L18="Menor",0.4,IF(L18="Moderado",0.6,IF(L18="Mayor",0.8,IF(L18="Catastrófico",1,))))))</f>
        <v/>
      </c>
      <c r="N18" s="639" t="str">
        <f t="shared" ref="N18" si="16">IF(OR(AND(H18="Muy Baja",L18="Leve"),AND(H18="Muy Baja",L18="Menor"),AND(H18="Baja",L18="Leve")),"Bajo",IF(OR(AND(H18="Muy baja",L18="Moderado"),AND(H18="Baja",L18="Menor"),AND(H18="Baja",L18="Moderado"),AND(H18="Media",L18="Leve"),AND(H18="Media",L18="Menor"),AND(H18="Media",L18="Moderado"),AND(H18="Alta",L18="Leve"),AND(H18="Alta",L18="Menor")),"Moderado",IF(OR(AND(H18="Muy Baja",L18="Mayor"),AND(H18="Baja",L18="Mayor"),AND(H18="Media",L18="Mayor"),AND(H18="Alta",L18="Moderado"),AND(H18="Alta",L18="Mayor"),AND(H18="Muy Alta",L18="Leve"),AND(H18="Muy Alta",L18="Menor"),AND(H18="Muy Alta",L18="Moderado"),AND(H18="Muy Alta",L18="Mayor")),"Alto",IF(OR(AND(H18="Muy Baja",L18="Catastrófico"),AND(H18="Baja",L18="Catastrófico"),AND(H18="Media",L18="Catastrófico"),AND(H18="Alta",L18="Catastrófico"),AND(H18="Muy Alta",L18="Catastrófico")),"Extremo",""))))</f>
        <v/>
      </c>
      <c r="O18" s="274">
        <v>1</v>
      </c>
      <c r="P18" s="330"/>
      <c r="Q18" s="276" t="str">
        <f t="shared" si="7"/>
        <v/>
      </c>
      <c r="R18" s="277"/>
      <c r="S18" s="277"/>
      <c r="T18" s="278" t="str">
        <f>IF(AND(R18="Preventivo",S18="Automático"),"50%",IF(AND(R18="Preventivo",S18="Manual"),"40%",IF(AND(R18="Detectivo",S18="Automático"),"40%",IF(AND(R18="Detectivo",S18="Manual"),"30%",IF(AND(R18="Correctivo",S18="Automático"),"35%",IF(AND(R18="Correctivo",S18="Manual"),"25%",""))))))</f>
        <v/>
      </c>
      <c r="U18" s="277"/>
      <c r="V18" s="277"/>
      <c r="W18" s="277"/>
      <c r="X18" s="279" t="str">
        <f>IFERROR(IF(Q18="Probabilidad",(I18-(+I18*T18)),IF(Q18="Impacto",I18,"")),"")</f>
        <v/>
      </c>
      <c r="Y18" s="280" t="str">
        <f t="shared" si="6"/>
        <v/>
      </c>
      <c r="Z18" s="278" t="str">
        <f>+X18</f>
        <v/>
      </c>
      <c r="AA18" s="280" t="str">
        <f>IFERROR(IF(AB18="","",IF(AB18&lt;=0.2,"Leve",IF(AB18&lt;=0.4,"Menor",IF(AB18&lt;=0.6,"Moderado",IF(AB18&lt;=0.8,"Mayor","Catastrófico"))))),"")</f>
        <v/>
      </c>
      <c r="AB18" s="278" t="str">
        <f>IFERROR(IF(Q18="Impacto",(M18-(+M18*T18)),IF(Q18="Probabilidad",M18,"")),"")</f>
        <v/>
      </c>
      <c r="AC18" s="281" t="str">
        <f>IFERROR(IF(OR(AND(Y18="Muy Baja",AA18="Leve"),AND(Y18="Muy Baja",AA18="Menor"),AND(Y18="Baja",AA18="Leve")),"Bajo",IF(OR(AND(Y18="Muy baja",AA18="Moderado"),AND(Y18="Baja",AA18="Menor"),AND(Y18="Baja",AA18="Moderado"),AND(Y18="Media",AA18="Leve"),AND(Y18="Media",AA18="Menor"),AND(Y18="Media",AA18="Moderado"),AND(Y18="Alta",AA18="Leve"),AND(Y18="Alta",AA18="Menor")),"Moderado",IF(OR(AND(Y18="Muy Baja",AA18="Mayor"),AND(Y18="Baja",AA18="Mayor"),AND(Y18="Media",AA18="Mayor"),AND(Y18="Alta",AA18="Moderado"),AND(Y18="Alta",AA18="Mayor"),AND(Y18="Muy Alta",AA18="Leve"),AND(Y18="Muy Alta",AA18="Menor"),AND(Y18="Muy Alta",AA18="Moderado"),AND(Y18="Muy Alta",AA18="Mayor")),"Alto",IF(OR(AND(Y18="Muy Baja",AA18="Catastrófico"),AND(Y18="Baja",AA18="Catastrófico"),AND(Y18="Media",AA18="Catastrófico"),AND(Y18="Alta",AA18="Catastrófico"),AND(Y18="Muy Alta",AA18="Catastrófico")),"Extremo","")))),"")</f>
        <v/>
      </c>
      <c r="AD18" s="277"/>
      <c r="AE18" s="282"/>
      <c r="AF18" s="282"/>
      <c r="AG18" s="283"/>
      <c r="AH18" s="284"/>
      <c r="AI18" s="284"/>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c r="BW18" s="270"/>
      <c r="BX18" s="270"/>
      <c r="BY18" s="270"/>
      <c r="BZ18" s="270"/>
      <c r="CA18" s="270"/>
      <c r="CB18" s="270"/>
      <c r="CC18" s="270"/>
      <c r="CD18" s="270"/>
      <c r="CE18" s="270"/>
      <c r="CF18" s="270"/>
      <c r="CG18" s="270"/>
      <c r="CH18" s="270"/>
      <c r="CI18" s="270"/>
      <c r="CJ18" s="270"/>
      <c r="CK18" s="270"/>
      <c r="CL18" s="270"/>
      <c r="CM18" s="270"/>
      <c r="CN18" s="270"/>
      <c r="CO18" s="270"/>
      <c r="CP18" s="270"/>
      <c r="CQ18" s="270"/>
      <c r="CR18" s="270"/>
      <c r="CS18" s="270"/>
      <c r="CT18" s="270"/>
      <c r="CU18" s="270"/>
      <c r="CV18" s="270"/>
      <c r="CW18" s="270"/>
      <c r="CX18" s="270"/>
      <c r="CY18" s="270"/>
      <c r="CZ18" s="270"/>
      <c r="DA18" s="270"/>
      <c r="DB18" s="270"/>
      <c r="DC18" s="270"/>
      <c r="DD18" s="270"/>
      <c r="DE18" s="270"/>
      <c r="DF18" s="270"/>
      <c r="DG18" s="270"/>
      <c r="DH18" s="270"/>
      <c r="DI18" s="270"/>
      <c r="DJ18" s="270"/>
      <c r="DK18" s="270"/>
      <c r="DL18" s="270"/>
      <c r="DM18" s="270"/>
      <c r="DN18" s="270"/>
      <c r="DO18" s="270"/>
      <c r="DP18" s="270"/>
      <c r="DQ18" s="270"/>
      <c r="DR18" s="270"/>
      <c r="DS18" s="270"/>
      <c r="DT18" s="270"/>
      <c r="DU18" s="270"/>
      <c r="DV18" s="270"/>
      <c r="DW18" s="270"/>
      <c r="DX18" s="270"/>
      <c r="DY18" s="270"/>
      <c r="DZ18" s="270"/>
      <c r="EA18" s="270"/>
      <c r="EB18" s="270"/>
      <c r="EC18" s="270"/>
      <c r="ED18" s="270"/>
      <c r="EE18" s="270"/>
      <c r="EF18" s="270"/>
      <c r="EG18" s="270"/>
      <c r="EH18" s="270"/>
      <c r="EI18" s="270"/>
      <c r="EJ18" s="270"/>
      <c r="EK18" s="270"/>
      <c r="EL18" s="270"/>
      <c r="EM18" s="270"/>
      <c r="EN18" s="270"/>
      <c r="EO18" s="270"/>
      <c r="EP18" s="270"/>
      <c r="EQ18" s="270"/>
      <c r="ER18" s="270"/>
      <c r="ES18" s="270"/>
      <c r="ET18" s="270"/>
      <c r="EU18" s="270"/>
      <c r="EV18" s="270"/>
      <c r="EW18" s="270"/>
      <c r="EX18" s="270"/>
      <c r="EY18" s="270"/>
      <c r="EZ18" s="270"/>
      <c r="FA18" s="270"/>
      <c r="FB18" s="270"/>
      <c r="FC18" s="270"/>
      <c r="FD18" s="270"/>
      <c r="FE18" s="270"/>
      <c r="FF18" s="270"/>
      <c r="FG18" s="270"/>
      <c r="FH18" s="270"/>
      <c r="FI18" s="270"/>
      <c r="FJ18" s="270"/>
      <c r="FK18" s="270"/>
      <c r="FL18" s="270"/>
      <c r="FM18" s="270"/>
      <c r="FN18" s="270"/>
      <c r="FO18" s="270"/>
      <c r="FP18" s="270"/>
      <c r="FQ18" s="270"/>
      <c r="FR18" s="270"/>
      <c r="FS18" s="270"/>
      <c r="FT18" s="270"/>
      <c r="FU18" s="270"/>
      <c r="FV18" s="270"/>
      <c r="FW18" s="270"/>
      <c r="FX18" s="270"/>
      <c r="FY18" s="270"/>
      <c r="FZ18" s="270"/>
      <c r="GA18" s="270"/>
      <c r="GB18" s="270"/>
      <c r="GC18" s="270"/>
      <c r="GD18" s="270"/>
      <c r="GE18" s="270"/>
      <c r="GF18" s="270"/>
      <c r="GG18" s="270"/>
      <c r="GH18" s="270"/>
      <c r="GI18" s="270"/>
      <c r="GJ18" s="270"/>
      <c r="GK18" s="270"/>
      <c r="GL18" s="270"/>
      <c r="GM18" s="270"/>
      <c r="GN18" s="270"/>
      <c r="GO18" s="270"/>
      <c r="GP18" s="270"/>
      <c r="GQ18" s="270"/>
      <c r="GR18" s="270"/>
      <c r="GS18" s="270"/>
      <c r="GT18" s="270"/>
      <c r="GU18" s="270"/>
      <c r="GV18" s="270"/>
      <c r="GW18" s="270"/>
      <c r="GX18" s="270"/>
      <c r="GY18" s="270"/>
      <c r="GZ18" s="270"/>
      <c r="HA18" s="270"/>
      <c r="HB18" s="270"/>
      <c r="HC18" s="270"/>
      <c r="HD18" s="270"/>
      <c r="HE18" s="270"/>
      <c r="HF18" s="270"/>
      <c r="HG18" s="270"/>
      <c r="HH18" s="270"/>
      <c r="HI18" s="270"/>
      <c r="HJ18" s="270"/>
      <c r="HK18" s="270"/>
      <c r="HL18" s="270"/>
      <c r="HM18" s="270"/>
      <c r="HN18" s="270"/>
      <c r="HO18" s="270"/>
      <c r="HP18" s="270"/>
      <c r="HQ18" s="270"/>
      <c r="HR18" s="270"/>
      <c r="HS18" s="270"/>
      <c r="HT18" s="270"/>
      <c r="HU18" s="270"/>
      <c r="HV18" s="270"/>
      <c r="HW18" s="270"/>
      <c r="HX18" s="270"/>
      <c r="HY18" s="270"/>
      <c r="HZ18" s="270"/>
      <c r="IA18" s="270"/>
      <c r="IB18" s="270"/>
      <c r="IC18" s="270"/>
      <c r="ID18" s="270"/>
      <c r="IE18" s="270"/>
      <c r="IF18" s="270"/>
      <c r="IG18" s="270"/>
      <c r="IH18" s="270"/>
      <c r="II18" s="270"/>
      <c r="IJ18" s="270"/>
      <c r="IK18" s="270"/>
      <c r="IL18" s="270"/>
      <c r="IM18" s="270"/>
      <c r="IN18" s="270"/>
      <c r="IO18" s="270"/>
      <c r="IP18" s="270"/>
      <c r="IQ18" s="270"/>
      <c r="IR18" s="270"/>
      <c r="IS18" s="270"/>
      <c r="IT18" s="270"/>
      <c r="IU18" s="270"/>
      <c r="IV18" s="270"/>
      <c r="IW18" s="270"/>
      <c r="IX18" s="270"/>
      <c r="IY18" s="270"/>
      <c r="IZ18" s="270"/>
      <c r="JA18" s="270"/>
      <c r="JB18" s="270"/>
      <c r="JC18" s="270"/>
      <c r="JD18" s="270"/>
      <c r="JE18" s="270"/>
      <c r="JF18" s="270"/>
      <c r="JG18" s="270"/>
      <c r="JH18" s="270"/>
      <c r="JI18" s="270"/>
      <c r="JJ18" s="270"/>
      <c r="JK18" s="270"/>
      <c r="JL18" s="270"/>
      <c r="JM18" s="270"/>
      <c r="JN18" s="270"/>
      <c r="JO18" s="270"/>
      <c r="JP18" s="270"/>
      <c r="JQ18" s="270"/>
      <c r="JR18" s="270"/>
      <c r="JS18" s="270"/>
      <c r="JT18" s="270"/>
      <c r="JU18" s="270"/>
      <c r="JV18" s="270"/>
      <c r="JW18" s="270"/>
      <c r="JX18" s="270"/>
      <c r="JY18" s="270"/>
      <c r="JZ18" s="270"/>
      <c r="KA18" s="270"/>
      <c r="KB18" s="270"/>
      <c r="KC18" s="270"/>
      <c r="KD18" s="270"/>
      <c r="KE18" s="270"/>
      <c r="KF18" s="270"/>
      <c r="KG18" s="270"/>
      <c r="KH18" s="270"/>
      <c r="KI18" s="270"/>
      <c r="KJ18" s="270"/>
      <c r="KK18" s="270"/>
      <c r="KL18" s="270"/>
      <c r="KM18" s="270"/>
      <c r="KN18" s="270"/>
      <c r="KO18" s="270"/>
      <c r="KP18" s="270"/>
      <c r="KQ18" s="270"/>
      <c r="KR18" s="270"/>
      <c r="KS18" s="270"/>
      <c r="KT18" s="270"/>
      <c r="KU18" s="270"/>
      <c r="KV18" s="270"/>
      <c r="KW18" s="270"/>
      <c r="KX18" s="270"/>
      <c r="KY18" s="270"/>
      <c r="KZ18" s="270"/>
      <c r="LA18" s="270"/>
      <c r="LB18" s="270"/>
      <c r="LC18" s="270"/>
      <c r="LD18" s="270"/>
      <c r="LE18" s="270"/>
      <c r="LF18" s="270"/>
      <c r="LG18" s="270"/>
      <c r="LH18" s="270"/>
      <c r="LI18" s="270"/>
      <c r="LJ18" s="270"/>
      <c r="LK18" s="270"/>
      <c r="LL18" s="270"/>
      <c r="LM18" s="270"/>
      <c r="LN18" s="270"/>
      <c r="LO18" s="270"/>
      <c r="LP18" s="270"/>
      <c r="LQ18" s="270"/>
      <c r="LR18" s="270"/>
      <c r="LS18" s="270"/>
      <c r="LT18" s="270"/>
      <c r="LU18" s="270"/>
      <c r="LV18" s="270"/>
      <c r="LW18" s="270"/>
      <c r="LX18" s="270"/>
      <c r="LY18" s="270"/>
      <c r="LZ18" s="270"/>
      <c r="MA18" s="270"/>
      <c r="MB18" s="270"/>
      <c r="MC18" s="270"/>
      <c r="MD18" s="270"/>
      <c r="ME18" s="270"/>
      <c r="MF18" s="270"/>
      <c r="MG18" s="270"/>
      <c r="MH18" s="270"/>
      <c r="MI18" s="270"/>
      <c r="MJ18" s="270"/>
      <c r="MK18" s="270"/>
      <c r="ML18" s="270"/>
      <c r="MM18" s="270"/>
      <c r="MN18" s="270"/>
      <c r="MO18" s="270"/>
      <c r="MP18" s="270"/>
      <c r="MQ18" s="270"/>
      <c r="MR18" s="270"/>
      <c r="MS18" s="270"/>
      <c r="MT18" s="270"/>
      <c r="MU18" s="270"/>
      <c r="MV18" s="270"/>
      <c r="MW18" s="270"/>
      <c r="MX18" s="270"/>
      <c r="MY18" s="270"/>
      <c r="MZ18" s="270"/>
      <c r="NA18" s="270"/>
      <c r="NB18" s="270"/>
      <c r="NC18" s="270"/>
      <c r="ND18" s="270"/>
      <c r="NE18" s="270"/>
      <c r="NF18" s="270"/>
      <c r="NG18" s="270"/>
      <c r="NH18" s="270"/>
      <c r="NI18" s="270"/>
      <c r="NJ18" s="270"/>
      <c r="NK18" s="270"/>
      <c r="NL18" s="270"/>
      <c r="NM18" s="270"/>
      <c r="NN18" s="270"/>
      <c r="NO18" s="270"/>
      <c r="NP18" s="270"/>
      <c r="NQ18" s="270"/>
      <c r="NR18" s="270"/>
      <c r="NS18" s="270"/>
      <c r="NT18" s="270"/>
      <c r="NU18" s="270"/>
      <c r="NV18" s="270"/>
      <c r="NW18" s="270"/>
      <c r="NX18" s="270"/>
      <c r="NY18" s="270"/>
      <c r="NZ18" s="270"/>
      <c r="OA18" s="270"/>
      <c r="OB18" s="270"/>
      <c r="OC18" s="270"/>
      <c r="OD18" s="270"/>
      <c r="OE18" s="270"/>
      <c r="OF18" s="270"/>
      <c r="OG18" s="270"/>
      <c r="OH18" s="270"/>
      <c r="OI18" s="270"/>
      <c r="OJ18" s="270"/>
      <c r="OK18" s="270"/>
      <c r="OL18" s="270"/>
      <c r="OM18" s="270"/>
      <c r="ON18" s="270"/>
      <c r="OO18" s="270"/>
      <c r="OP18" s="270"/>
      <c r="OQ18" s="270"/>
      <c r="OR18" s="270"/>
      <c r="OS18" s="270"/>
      <c r="OT18" s="270"/>
      <c r="OU18" s="270"/>
      <c r="OV18" s="270"/>
      <c r="OW18" s="270"/>
      <c r="OX18" s="270"/>
      <c r="OY18" s="270"/>
      <c r="OZ18" s="270"/>
      <c r="PA18" s="270"/>
      <c r="PB18" s="270"/>
      <c r="PC18" s="270"/>
      <c r="PD18" s="270"/>
      <c r="PE18" s="270"/>
      <c r="PF18" s="270"/>
      <c r="PG18" s="270"/>
      <c r="PH18" s="270"/>
      <c r="PI18" s="270"/>
      <c r="PJ18" s="270"/>
      <c r="PK18" s="270"/>
      <c r="PL18" s="270"/>
      <c r="PM18" s="270"/>
      <c r="PN18" s="270"/>
      <c r="PO18" s="270"/>
      <c r="PP18" s="270"/>
      <c r="PQ18" s="270"/>
      <c r="PR18" s="270"/>
      <c r="PS18" s="270"/>
      <c r="PT18" s="270"/>
      <c r="PU18" s="270"/>
      <c r="PV18" s="270"/>
      <c r="PW18" s="270"/>
      <c r="PX18" s="270"/>
      <c r="PY18" s="270"/>
      <c r="PZ18" s="270"/>
      <c r="QA18" s="270"/>
      <c r="QB18" s="270"/>
      <c r="QC18" s="270"/>
      <c r="QD18" s="270"/>
      <c r="QE18" s="270"/>
      <c r="QF18" s="270"/>
      <c r="QG18" s="270"/>
      <c r="QH18" s="270"/>
      <c r="QI18" s="270"/>
      <c r="QJ18" s="270"/>
      <c r="QK18" s="270"/>
      <c r="QL18" s="270"/>
      <c r="QM18" s="270"/>
      <c r="QN18" s="270"/>
      <c r="QO18" s="270"/>
      <c r="QP18" s="270"/>
      <c r="QQ18" s="270"/>
      <c r="QR18" s="270"/>
      <c r="QS18" s="270"/>
      <c r="QT18" s="270"/>
      <c r="QU18" s="270"/>
      <c r="QV18" s="270"/>
      <c r="QW18" s="270"/>
      <c r="QX18" s="270"/>
      <c r="QY18" s="270"/>
      <c r="QZ18" s="302"/>
    </row>
    <row r="19" spans="1:468" s="289" customFormat="1" ht="120.75" customHeight="1" x14ac:dyDescent="0.2">
      <c r="A19" s="672"/>
      <c r="B19" s="684"/>
      <c r="C19" s="684"/>
      <c r="D19" s="684"/>
      <c r="E19" s="668"/>
      <c r="F19" s="684"/>
      <c r="G19" s="682"/>
      <c r="H19" s="646"/>
      <c r="I19" s="643"/>
      <c r="J19" s="705"/>
      <c r="K19" s="553">
        <f ca="1">IF(NOT(ISERROR(MATCH(J19,_xlfn.ANCHORARRAY(E22),0))),#REF!&amp;"Por favor no seleccionar los criterios de impacto",J19)</f>
        <v>0</v>
      </c>
      <c r="L19" s="646"/>
      <c r="M19" s="643"/>
      <c r="N19" s="640"/>
      <c r="O19" s="274">
        <v>2</v>
      </c>
      <c r="P19" s="330"/>
      <c r="Q19" s="276" t="str">
        <f t="shared" si="7"/>
        <v/>
      </c>
      <c r="R19" s="277"/>
      <c r="S19" s="277"/>
      <c r="T19" s="278" t="str">
        <f t="shared" ref="T19" si="17">IF(AND(R19="Preventivo",S19="Automático"),"50%",IF(AND(R19="Preventivo",S19="Manual"),"40%",IF(AND(R19="Detectivo",S19="Automático"),"40%",IF(AND(R19="Detectivo",S19="Manual"),"30%",IF(AND(R19="Correctivo",S19="Automático"),"35%",IF(AND(R19="Correctivo",S19="Manual"),"25%",""))))))</f>
        <v/>
      </c>
      <c r="U19" s="277"/>
      <c r="V19" s="277"/>
      <c r="W19" s="277"/>
      <c r="X19" s="279" t="str">
        <f>IFERROR(IF(AND(Q18="Probabilidad",Q19="Probabilidad"),(Z18-(+Z18*T19)),IF(Q19="Probabilidad",(I18-(+I18*T19)),IF(Q19="Impacto",Z18,""))),"")</f>
        <v/>
      </c>
      <c r="Y19" s="280" t="str">
        <f t="shared" ref="Y19:Y32" si="18">IFERROR(IF(X19="","",IF(X19&lt;=0.2,"Muy Baja",IF(X19&lt;=0.4,"Baja",IF(X19&lt;=0.6,"Media",IF(X19&lt;=0.8,"Alta","Muy Alta"))))),"")</f>
        <v/>
      </c>
      <c r="Z19" s="278" t="str">
        <f t="shared" ref="Z19" si="19">+X19</f>
        <v/>
      </c>
      <c r="AA19" s="280" t="str">
        <f t="shared" si="9"/>
        <v/>
      </c>
      <c r="AB19" s="278" t="str">
        <f>IFERROR(IF(AND(Q18="Impacto",Q19="Impacto"),(AB15-(+AB15*T19)),IF(Q19="Impacto",($M$18-(+$M$18*T19)),IF(Q19="Probabilidad",AB15,""))),"")</f>
        <v/>
      </c>
      <c r="AC19" s="281" t="str">
        <f t="shared" ref="AC19" si="20">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77"/>
      <c r="AE19" s="282"/>
      <c r="AF19" s="282"/>
      <c r="AG19" s="283"/>
      <c r="AH19" s="284"/>
      <c r="AI19" s="284"/>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70"/>
      <c r="CE19" s="270"/>
      <c r="CF19" s="270"/>
      <c r="CG19" s="270"/>
      <c r="CH19" s="270"/>
      <c r="CI19" s="270"/>
      <c r="CJ19" s="270"/>
      <c r="CK19" s="270"/>
      <c r="CL19" s="270"/>
      <c r="CM19" s="270"/>
      <c r="CN19" s="270"/>
      <c r="CO19" s="270"/>
      <c r="CP19" s="270"/>
      <c r="CQ19" s="270"/>
      <c r="CR19" s="270"/>
      <c r="CS19" s="270"/>
      <c r="CT19" s="270"/>
      <c r="CU19" s="270"/>
      <c r="CV19" s="270"/>
      <c r="CW19" s="270"/>
      <c r="CX19" s="270"/>
      <c r="CY19" s="270"/>
      <c r="CZ19" s="270"/>
      <c r="DA19" s="270"/>
      <c r="DB19" s="270"/>
      <c r="DC19" s="270"/>
      <c r="DD19" s="270"/>
      <c r="DE19" s="270"/>
      <c r="DF19" s="270"/>
      <c r="DG19" s="270"/>
      <c r="DH19" s="270"/>
      <c r="DI19" s="270"/>
      <c r="DJ19" s="270"/>
      <c r="DK19" s="270"/>
      <c r="DL19" s="270"/>
      <c r="DM19" s="270"/>
      <c r="DN19" s="270"/>
      <c r="DO19" s="270"/>
      <c r="DP19" s="270"/>
      <c r="DQ19" s="270"/>
      <c r="DR19" s="270"/>
      <c r="DS19" s="270"/>
      <c r="DT19" s="270"/>
      <c r="DU19" s="270"/>
      <c r="DV19" s="270"/>
      <c r="DW19" s="270"/>
      <c r="DX19" s="270"/>
      <c r="DY19" s="270"/>
      <c r="DZ19" s="270"/>
      <c r="EA19" s="270"/>
      <c r="EB19" s="270"/>
      <c r="EC19" s="270"/>
      <c r="ED19" s="270"/>
      <c r="EE19" s="270"/>
      <c r="EF19" s="270"/>
      <c r="EG19" s="270"/>
      <c r="EH19" s="270"/>
      <c r="EI19" s="270"/>
      <c r="EJ19" s="270"/>
      <c r="EK19" s="270"/>
      <c r="EL19" s="270"/>
      <c r="EM19" s="270"/>
      <c r="EN19" s="270"/>
      <c r="EO19" s="270"/>
      <c r="EP19" s="270"/>
      <c r="EQ19" s="270"/>
      <c r="ER19" s="270"/>
      <c r="ES19" s="270"/>
      <c r="ET19" s="270"/>
      <c r="EU19" s="270"/>
      <c r="EV19" s="270"/>
      <c r="EW19" s="270"/>
      <c r="EX19" s="270"/>
      <c r="EY19" s="270"/>
      <c r="EZ19" s="270"/>
      <c r="FA19" s="270"/>
      <c r="FB19" s="270"/>
      <c r="FC19" s="270"/>
      <c r="FD19" s="270"/>
      <c r="FE19" s="270"/>
      <c r="FF19" s="270"/>
      <c r="FG19" s="270"/>
      <c r="FH19" s="270"/>
      <c r="FI19" s="270"/>
      <c r="FJ19" s="270"/>
      <c r="FK19" s="270"/>
      <c r="FL19" s="270"/>
      <c r="FM19" s="270"/>
      <c r="FN19" s="270"/>
      <c r="FO19" s="270"/>
      <c r="FP19" s="270"/>
      <c r="FQ19" s="270"/>
      <c r="FR19" s="270"/>
      <c r="FS19" s="270"/>
      <c r="FT19" s="270"/>
      <c r="FU19" s="270"/>
      <c r="FV19" s="270"/>
      <c r="FW19" s="270"/>
      <c r="FX19" s="270"/>
      <c r="FY19" s="270"/>
      <c r="FZ19" s="270"/>
      <c r="GA19" s="270"/>
      <c r="GB19" s="270"/>
      <c r="GC19" s="270"/>
      <c r="GD19" s="270"/>
      <c r="GE19" s="270"/>
      <c r="GF19" s="270"/>
      <c r="GG19" s="270"/>
      <c r="GH19" s="270"/>
      <c r="GI19" s="270"/>
      <c r="GJ19" s="270"/>
      <c r="GK19" s="270"/>
      <c r="GL19" s="270"/>
      <c r="GM19" s="270"/>
      <c r="GN19" s="270"/>
      <c r="GO19" s="270"/>
      <c r="GP19" s="270"/>
      <c r="GQ19" s="270"/>
      <c r="GR19" s="270"/>
      <c r="GS19" s="270"/>
      <c r="GT19" s="270"/>
      <c r="GU19" s="270"/>
      <c r="GV19" s="270"/>
      <c r="GW19" s="270"/>
      <c r="GX19" s="270"/>
      <c r="GY19" s="270"/>
      <c r="GZ19" s="270"/>
      <c r="HA19" s="270"/>
      <c r="HB19" s="270"/>
      <c r="HC19" s="270"/>
      <c r="HD19" s="270"/>
      <c r="HE19" s="270"/>
      <c r="HF19" s="270"/>
      <c r="HG19" s="270"/>
      <c r="HH19" s="270"/>
      <c r="HI19" s="270"/>
      <c r="HJ19" s="270"/>
      <c r="HK19" s="270"/>
      <c r="HL19" s="270"/>
      <c r="HM19" s="270"/>
      <c r="HN19" s="270"/>
      <c r="HO19" s="270"/>
      <c r="HP19" s="270"/>
      <c r="HQ19" s="270"/>
      <c r="HR19" s="270"/>
      <c r="HS19" s="270"/>
      <c r="HT19" s="270"/>
      <c r="HU19" s="270"/>
      <c r="HV19" s="270"/>
      <c r="HW19" s="270"/>
      <c r="HX19" s="270"/>
      <c r="HY19" s="270"/>
      <c r="HZ19" s="270"/>
      <c r="IA19" s="270"/>
      <c r="IB19" s="270"/>
      <c r="IC19" s="270"/>
      <c r="ID19" s="270"/>
      <c r="IE19" s="270"/>
      <c r="IF19" s="270"/>
      <c r="IG19" s="270"/>
      <c r="IH19" s="270"/>
      <c r="II19" s="270"/>
      <c r="IJ19" s="270"/>
      <c r="IK19" s="270"/>
      <c r="IL19" s="270"/>
      <c r="IM19" s="270"/>
      <c r="IN19" s="270"/>
      <c r="IO19" s="270"/>
      <c r="IP19" s="270"/>
      <c r="IQ19" s="270"/>
      <c r="IR19" s="270"/>
      <c r="IS19" s="270"/>
      <c r="IT19" s="270"/>
      <c r="IU19" s="270"/>
      <c r="IV19" s="270"/>
      <c r="IW19" s="270"/>
      <c r="IX19" s="270"/>
      <c r="IY19" s="270"/>
      <c r="IZ19" s="270"/>
      <c r="JA19" s="270"/>
      <c r="JB19" s="270"/>
      <c r="JC19" s="270"/>
      <c r="JD19" s="270"/>
      <c r="JE19" s="270"/>
      <c r="JF19" s="270"/>
      <c r="JG19" s="270"/>
      <c r="JH19" s="270"/>
      <c r="JI19" s="270"/>
      <c r="JJ19" s="270"/>
      <c r="JK19" s="270"/>
      <c r="JL19" s="270"/>
      <c r="JM19" s="270"/>
      <c r="JN19" s="270"/>
      <c r="JO19" s="270"/>
      <c r="JP19" s="270"/>
      <c r="JQ19" s="270"/>
      <c r="JR19" s="270"/>
      <c r="JS19" s="270"/>
      <c r="JT19" s="270"/>
      <c r="JU19" s="270"/>
      <c r="JV19" s="270"/>
      <c r="JW19" s="270"/>
      <c r="JX19" s="270"/>
      <c r="JY19" s="270"/>
      <c r="JZ19" s="270"/>
      <c r="KA19" s="270"/>
      <c r="KB19" s="270"/>
      <c r="KC19" s="270"/>
      <c r="KD19" s="270"/>
      <c r="KE19" s="270"/>
      <c r="KF19" s="270"/>
      <c r="KG19" s="270"/>
      <c r="KH19" s="270"/>
      <c r="KI19" s="270"/>
      <c r="KJ19" s="270"/>
      <c r="KK19" s="270"/>
      <c r="KL19" s="270"/>
      <c r="KM19" s="270"/>
      <c r="KN19" s="270"/>
      <c r="KO19" s="270"/>
      <c r="KP19" s="270"/>
      <c r="KQ19" s="270"/>
      <c r="KR19" s="270"/>
      <c r="KS19" s="270"/>
      <c r="KT19" s="270"/>
      <c r="KU19" s="270"/>
      <c r="KV19" s="270"/>
      <c r="KW19" s="270"/>
      <c r="KX19" s="270"/>
      <c r="KY19" s="270"/>
      <c r="KZ19" s="270"/>
      <c r="LA19" s="270"/>
      <c r="LB19" s="270"/>
      <c r="LC19" s="270"/>
      <c r="LD19" s="270"/>
      <c r="LE19" s="270"/>
      <c r="LF19" s="270"/>
      <c r="LG19" s="270"/>
      <c r="LH19" s="270"/>
      <c r="LI19" s="270"/>
      <c r="LJ19" s="270"/>
      <c r="LK19" s="270"/>
      <c r="LL19" s="270"/>
      <c r="LM19" s="270"/>
      <c r="LN19" s="270"/>
      <c r="LO19" s="270"/>
      <c r="LP19" s="270"/>
      <c r="LQ19" s="270"/>
      <c r="LR19" s="270"/>
      <c r="LS19" s="270"/>
      <c r="LT19" s="270"/>
      <c r="LU19" s="270"/>
      <c r="LV19" s="270"/>
      <c r="LW19" s="270"/>
      <c r="LX19" s="270"/>
      <c r="LY19" s="270"/>
      <c r="LZ19" s="270"/>
      <c r="MA19" s="270"/>
      <c r="MB19" s="270"/>
      <c r="MC19" s="270"/>
      <c r="MD19" s="270"/>
      <c r="ME19" s="270"/>
      <c r="MF19" s="270"/>
      <c r="MG19" s="270"/>
      <c r="MH19" s="270"/>
      <c r="MI19" s="270"/>
      <c r="MJ19" s="270"/>
      <c r="MK19" s="270"/>
      <c r="ML19" s="270"/>
      <c r="MM19" s="270"/>
      <c r="MN19" s="270"/>
      <c r="MO19" s="270"/>
      <c r="MP19" s="270"/>
      <c r="MQ19" s="270"/>
      <c r="MR19" s="270"/>
      <c r="MS19" s="270"/>
      <c r="MT19" s="270"/>
      <c r="MU19" s="270"/>
      <c r="MV19" s="270"/>
      <c r="MW19" s="270"/>
      <c r="MX19" s="270"/>
      <c r="MY19" s="270"/>
      <c r="MZ19" s="270"/>
      <c r="NA19" s="270"/>
      <c r="NB19" s="270"/>
      <c r="NC19" s="270"/>
      <c r="ND19" s="270"/>
      <c r="NE19" s="270"/>
      <c r="NF19" s="270"/>
      <c r="NG19" s="270"/>
      <c r="NH19" s="270"/>
      <c r="NI19" s="270"/>
      <c r="NJ19" s="270"/>
      <c r="NK19" s="270"/>
      <c r="NL19" s="270"/>
      <c r="NM19" s="270"/>
      <c r="NN19" s="270"/>
      <c r="NO19" s="270"/>
      <c r="NP19" s="270"/>
      <c r="NQ19" s="270"/>
      <c r="NR19" s="270"/>
      <c r="NS19" s="270"/>
      <c r="NT19" s="270"/>
      <c r="NU19" s="270"/>
      <c r="NV19" s="270"/>
      <c r="NW19" s="270"/>
      <c r="NX19" s="270"/>
      <c r="NY19" s="270"/>
      <c r="NZ19" s="270"/>
      <c r="OA19" s="270"/>
      <c r="OB19" s="270"/>
      <c r="OC19" s="270"/>
      <c r="OD19" s="270"/>
      <c r="OE19" s="270"/>
      <c r="OF19" s="270"/>
      <c r="OG19" s="270"/>
      <c r="OH19" s="270"/>
      <c r="OI19" s="270"/>
      <c r="OJ19" s="270"/>
      <c r="OK19" s="270"/>
      <c r="OL19" s="270"/>
      <c r="OM19" s="270"/>
      <c r="ON19" s="270"/>
      <c r="OO19" s="270"/>
      <c r="OP19" s="270"/>
      <c r="OQ19" s="270"/>
      <c r="OR19" s="270"/>
      <c r="OS19" s="270"/>
      <c r="OT19" s="270"/>
      <c r="OU19" s="270"/>
      <c r="OV19" s="270"/>
      <c r="OW19" s="270"/>
      <c r="OX19" s="270"/>
      <c r="OY19" s="270"/>
      <c r="OZ19" s="270"/>
      <c r="PA19" s="270"/>
      <c r="PB19" s="270"/>
      <c r="PC19" s="270"/>
      <c r="PD19" s="270"/>
      <c r="PE19" s="270"/>
      <c r="PF19" s="270"/>
      <c r="PG19" s="270"/>
      <c r="PH19" s="270"/>
      <c r="PI19" s="270"/>
      <c r="PJ19" s="270"/>
      <c r="PK19" s="270"/>
      <c r="PL19" s="270"/>
      <c r="PM19" s="270"/>
      <c r="PN19" s="270"/>
      <c r="PO19" s="270"/>
      <c r="PP19" s="270"/>
      <c r="PQ19" s="270"/>
      <c r="PR19" s="270"/>
      <c r="PS19" s="270"/>
      <c r="PT19" s="270"/>
      <c r="PU19" s="270"/>
      <c r="PV19" s="270"/>
      <c r="PW19" s="270"/>
      <c r="PX19" s="270"/>
      <c r="PY19" s="270"/>
      <c r="PZ19" s="270"/>
      <c r="QA19" s="270"/>
      <c r="QB19" s="270"/>
      <c r="QC19" s="270"/>
      <c r="QD19" s="270"/>
      <c r="QE19" s="270"/>
      <c r="QF19" s="270"/>
      <c r="QG19" s="270"/>
      <c r="QH19" s="270"/>
      <c r="QI19" s="270"/>
      <c r="QJ19" s="270"/>
      <c r="QK19" s="270"/>
      <c r="QL19" s="270"/>
      <c r="QM19" s="270"/>
      <c r="QN19" s="270"/>
      <c r="QO19" s="270"/>
      <c r="QP19" s="270"/>
      <c r="QQ19" s="270"/>
      <c r="QR19" s="270"/>
      <c r="QS19" s="270"/>
      <c r="QT19" s="270"/>
      <c r="QU19" s="270"/>
      <c r="QV19" s="270"/>
      <c r="QW19" s="270"/>
      <c r="QX19" s="270"/>
      <c r="QY19" s="270"/>
      <c r="QZ19" s="302"/>
    </row>
    <row r="20" spans="1:468" s="289" customFormat="1" ht="69" customHeight="1" x14ac:dyDescent="0.2">
      <c r="A20" s="554">
        <v>4</v>
      </c>
      <c r="B20" s="555"/>
      <c r="C20" s="555"/>
      <c r="D20" s="555"/>
      <c r="E20" s="556"/>
      <c r="F20" s="555"/>
      <c r="G20" s="706"/>
      <c r="H20" s="558" t="str">
        <f t="shared" ref="H20" si="21">IF(G20&lt;=0,"",IF(G20&lt;=2,"Muy Baja",IF(G20&lt;=24,"Baja",IF(G20&lt;=500,"Media",IF(G20&lt;=5000,"Alta","Muy Alta")))))</f>
        <v/>
      </c>
      <c r="I20" s="553" t="str">
        <f t="shared" ref="I20" si="22">IF(H20="","",IF(H20="Muy Baja",0.2,IF(H20="Baja",0.4,IF(H20="Media",0.6,IF(H20="Alta",0.8,IF(H20="Muy Alta",1,))))))</f>
        <v/>
      </c>
      <c r="J20" s="707"/>
      <c r="K20" s="553">
        <f>IF(NOT(ISERROR(MATCH(J20,'[2]Tabla Impacto'!$B$221:$B$223,0))),'[2]Tabla Impacto'!$F$223&amp;"Por favor no seleccionar los criterios de impacto(Afectación Económica o presupuestal y Pérdida Reputacional)",J20)</f>
        <v>0</v>
      </c>
      <c r="L20" s="558" t="str">
        <f>IF(J20&lt;=0,"",IF(J20&lt;=20%,"Leve",IF(J20&lt;=40%,"Menor",IF(J20&lt;=60%,"Moderado",IF(J20&lt;=80%,"Mayor","Catastrófico")))))</f>
        <v/>
      </c>
      <c r="M20" s="553" t="str">
        <f t="shared" ref="M20" si="23">IF(L20="","",IF(L20="Leve",0.2,IF(L20="Menor",0.4,IF(L20="Moderado",0.6,IF(L20="Mayor",0.8,IF(L20="Catastrófico",1,))))))</f>
        <v/>
      </c>
      <c r="N20" s="552" t="str">
        <f>IF(OR(AND(H20="Muy Baja",L20="Leve"),AND(H20="Muy Baja",L20="Menor"),AND(H20="Baja",L20="Leve")),"Bajo",IF(OR(AND(H20="Muy baja",L20="Moderado"),AND(H20="Baja",L20="Menor"),AND(H20="Baja",L20="Moderado"),AND(H20="Media",L20="Leve"),AND(H20="Media",L20="Menor"),AND(H20="Media",L20="Moderado"),AND(H20="Alta",L20="Leve"),AND(H20="Alta",L20="Menor")),"Moderado",IF(OR(AND(H20="Muy Baja",L20="Mayor"),AND(H20="Baja",L20="Mayor"),AND(H20="Media",L20="Mayor"),AND(H20="Alta",L20="Moderado"),AND(H20="Alta",L20="Mayor"),AND(H20="Muy Alta",L20="Leve"),AND(H20="Muy Alta",L20="Menor"),AND(H20="Muy Alta",L20="Moderado"),AND(H20="Muy Alta",L20="Mayor")),"Alto",IF(OR(AND(H20="Muy Baja",L20="Catastrófico"),AND(H20="Baja",L20="Catastrófico"),AND(H20="Media",L20="Catastrófico"),AND(H20="Alta",L20="Catastrófico"),AND(H20="Muy Alta",L20="Catastrófico")),"Extremo",""))))</f>
        <v/>
      </c>
      <c r="O20" s="671">
        <v>1</v>
      </c>
      <c r="P20" s="697"/>
      <c r="Q20" s="713" t="str">
        <f t="shared" si="7"/>
        <v/>
      </c>
      <c r="R20" s="715"/>
      <c r="S20" s="699"/>
      <c r="T20" s="709" t="str">
        <f>IF(AND(R20="Preventivo",S20="Automático"),"50%",IF(AND(R20="Preventivo",S20="Manual"),"40%",IF(AND(R20="Detectivo",S20="Automático"),"40%",IF(AND(R20="Detectivo",S20="Manual"),"30%",IF(AND(R20="Correctivo",S20="Automático"),"35%",IF(AND(R20="Correctivo",S20="Manual"),"25%",""))))))</f>
        <v/>
      </c>
      <c r="U20" s="699"/>
      <c r="V20" s="699"/>
      <c r="W20" s="699"/>
      <c r="X20" s="703" t="str">
        <f>IFERROR(IF(Q20="Probabilidad",(I20-(+I20*T20)),IF(Q20="Impacto",I20,"")),"")</f>
        <v/>
      </c>
      <c r="Y20" s="701" t="str">
        <f>IFERROR(IF(X20="","",IF(X20&lt;=0.2,"Muy Baja",IF(X20&lt;=0.4,"Baja",IF(X20&lt;=0.6,"Media",IF(X20&lt;=0.8,"Alta","Muy Alta"))))),"")</f>
        <v/>
      </c>
      <c r="Z20" s="709" t="str">
        <f>+X20</f>
        <v/>
      </c>
      <c r="AA20" s="701" t="str">
        <f>IFERROR(IF(AB20="","",IF(AB20&lt;=0.2,"Leve",IF(AB20&lt;=0.4,"Menor",IF(AB20&lt;=0.6,"Moderado",IF(AB20&lt;=0.8,"Mayor","Catastrófico"))))),"")</f>
        <v/>
      </c>
      <c r="AB20" s="709" t="str">
        <f>IFERROR(IF(Q20="Impacto",(M20-(+M20*T20)),IF(Q20="Probabilidad",M20,"")),"")</f>
        <v/>
      </c>
      <c r="AC20" s="711" t="str">
        <f>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699"/>
      <c r="AE20" s="683"/>
      <c r="AF20" s="683"/>
      <c r="AG20" s="695"/>
      <c r="AH20" s="695"/>
      <c r="AI20" s="695"/>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70"/>
      <c r="CE20" s="270"/>
      <c r="CF20" s="270"/>
      <c r="CG20" s="270"/>
      <c r="CH20" s="270"/>
      <c r="CI20" s="270"/>
      <c r="CJ20" s="270"/>
      <c r="CK20" s="270"/>
      <c r="CL20" s="270"/>
      <c r="CM20" s="270"/>
      <c r="CN20" s="270"/>
      <c r="CO20" s="270"/>
      <c r="CP20" s="270"/>
      <c r="CQ20" s="270"/>
      <c r="CR20" s="270"/>
      <c r="CS20" s="270"/>
      <c r="CT20" s="270"/>
      <c r="CU20" s="270"/>
      <c r="CV20" s="270"/>
      <c r="CW20" s="270"/>
      <c r="CX20" s="270"/>
      <c r="CY20" s="270"/>
      <c r="CZ20" s="270"/>
      <c r="DA20" s="270"/>
      <c r="DB20" s="270"/>
      <c r="DC20" s="270"/>
      <c r="DD20" s="270"/>
      <c r="DE20" s="270"/>
      <c r="DF20" s="270"/>
      <c r="DG20" s="270"/>
      <c r="DH20" s="270"/>
      <c r="DI20" s="270"/>
      <c r="DJ20" s="270"/>
      <c r="DK20" s="270"/>
      <c r="DL20" s="270"/>
      <c r="DM20" s="270"/>
      <c r="DN20" s="270"/>
      <c r="DO20" s="270"/>
      <c r="DP20" s="270"/>
      <c r="DQ20" s="270"/>
      <c r="DR20" s="270"/>
      <c r="DS20" s="270"/>
      <c r="DT20" s="270"/>
      <c r="DU20" s="270"/>
      <c r="DV20" s="270"/>
      <c r="DW20" s="270"/>
      <c r="DX20" s="270"/>
      <c r="DY20" s="270"/>
      <c r="DZ20" s="270"/>
      <c r="EA20" s="270"/>
      <c r="EB20" s="270"/>
      <c r="EC20" s="270"/>
      <c r="ED20" s="270"/>
      <c r="EE20" s="270"/>
      <c r="EF20" s="270"/>
      <c r="EG20" s="270"/>
      <c r="EH20" s="270"/>
      <c r="EI20" s="270"/>
      <c r="EJ20" s="270"/>
      <c r="EK20" s="270"/>
      <c r="EL20" s="270"/>
      <c r="EM20" s="270"/>
      <c r="EN20" s="270"/>
      <c r="EO20" s="270"/>
      <c r="EP20" s="270"/>
      <c r="EQ20" s="270"/>
      <c r="ER20" s="270"/>
      <c r="ES20" s="270"/>
      <c r="ET20" s="270"/>
      <c r="EU20" s="270"/>
      <c r="EV20" s="270"/>
      <c r="EW20" s="270"/>
      <c r="EX20" s="270"/>
      <c r="EY20" s="270"/>
      <c r="EZ20" s="270"/>
      <c r="FA20" s="270"/>
      <c r="FB20" s="270"/>
      <c r="FC20" s="270"/>
      <c r="FD20" s="270"/>
      <c r="FE20" s="270"/>
      <c r="FF20" s="270"/>
      <c r="FG20" s="270"/>
      <c r="FH20" s="270"/>
      <c r="FI20" s="270"/>
      <c r="FJ20" s="270"/>
      <c r="FK20" s="270"/>
      <c r="FL20" s="270"/>
      <c r="FM20" s="270"/>
      <c r="FN20" s="270"/>
      <c r="FO20" s="270"/>
      <c r="FP20" s="270"/>
      <c r="FQ20" s="270"/>
      <c r="FR20" s="270"/>
      <c r="FS20" s="270"/>
      <c r="FT20" s="270"/>
      <c r="FU20" s="270"/>
      <c r="FV20" s="270"/>
      <c r="FW20" s="270"/>
      <c r="FX20" s="270"/>
      <c r="FY20" s="270"/>
      <c r="FZ20" s="270"/>
      <c r="GA20" s="270"/>
      <c r="GB20" s="270"/>
      <c r="GC20" s="270"/>
      <c r="GD20" s="270"/>
      <c r="GE20" s="270"/>
      <c r="GF20" s="270"/>
      <c r="GG20" s="270"/>
      <c r="GH20" s="270"/>
      <c r="GI20" s="270"/>
      <c r="GJ20" s="270"/>
      <c r="GK20" s="270"/>
      <c r="GL20" s="270"/>
      <c r="GM20" s="270"/>
      <c r="GN20" s="270"/>
      <c r="GO20" s="270"/>
      <c r="GP20" s="270"/>
      <c r="GQ20" s="270"/>
      <c r="GR20" s="270"/>
      <c r="GS20" s="270"/>
      <c r="GT20" s="270"/>
      <c r="GU20" s="270"/>
      <c r="GV20" s="270"/>
      <c r="GW20" s="270"/>
      <c r="GX20" s="270"/>
      <c r="GY20" s="270"/>
      <c r="GZ20" s="270"/>
      <c r="HA20" s="270"/>
      <c r="HB20" s="270"/>
      <c r="HC20" s="270"/>
      <c r="HD20" s="270"/>
      <c r="HE20" s="270"/>
      <c r="HF20" s="270"/>
      <c r="HG20" s="270"/>
      <c r="HH20" s="270"/>
      <c r="HI20" s="270"/>
      <c r="HJ20" s="270"/>
      <c r="HK20" s="270"/>
      <c r="HL20" s="270"/>
      <c r="HM20" s="270"/>
      <c r="HN20" s="270"/>
      <c r="HO20" s="270"/>
      <c r="HP20" s="270"/>
      <c r="HQ20" s="270"/>
      <c r="HR20" s="270"/>
      <c r="HS20" s="270"/>
      <c r="HT20" s="270"/>
      <c r="HU20" s="270"/>
      <c r="HV20" s="270"/>
      <c r="HW20" s="270"/>
      <c r="HX20" s="270"/>
      <c r="HY20" s="270"/>
      <c r="HZ20" s="270"/>
      <c r="IA20" s="270"/>
      <c r="IB20" s="270"/>
      <c r="IC20" s="270"/>
      <c r="ID20" s="270"/>
      <c r="IE20" s="270"/>
      <c r="IF20" s="270"/>
      <c r="IG20" s="270"/>
      <c r="IH20" s="270"/>
      <c r="II20" s="270"/>
      <c r="IJ20" s="270"/>
      <c r="IK20" s="270"/>
      <c r="IL20" s="270"/>
      <c r="IM20" s="270"/>
      <c r="IN20" s="270"/>
      <c r="IO20" s="270"/>
      <c r="IP20" s="270"/>
      <c r="IQ20" s="270"/>
      <c r="IR20" s="270"/>
      <c r="IS20" s="270"/>
      <c r="IT20" s="270"/>
      <c r="IU20" s="270"/>
      <c r="IV20" s="270"/>
      <c r="IW20" s="270"/>
      <c r="IX20" s="270"/>
      <c r="IY20" s="270"/>
      <c r="IZ20" s="270"/>
      <c r="JA20" s="270"/>
      <c r="JB20" s="270"/>
      <c r="JC20" s="270"/>
      <c r="JD20" s="270"/>
      <c r="JE20" s="270"/>
      <c r="JF20" s="270"/>
      <c r="JG20" s="270"/>
      <c r="JH20" s="270"/>
      <c r="JI20" s="270"/>
      <c r="JJ20" s="270"/>
      <c r="JK20" s="270"/>
      <c r="JL20" s="270"/>
      <c r="JM20" s="270"/>
      <c r="JN20" s="270"/>
      <c r="JO20" s="270"/>
      <c r="JP20" s="270"/>
      <c r="JQ20" s="270"/>
      <c r="JR20" s="270"/>
      <c r="JS20" s="270"/>
      <c r="JT20" s="270"/>
      <c r="JU20" s="270"/>
      <c r="JV20" s="270"/>
      <c r="JW20" s="270"/>
      <c r="JX20" s="270"/>
      <c r="JY20" s="270"/>
      <c r="JZ20" s="270"/>
      <c r="KA20" s="270"/>
      <c r="KB20" s="270"/>
      <c r="KC20" s="270"/>
      <c r="KD20" s="270"/>
      <c r="KE20" s="270"/>
      <c r="KF20" s="270"/>
      <c r="KG20" s="270"/>
      <c r="KH20" s="270"/>
      <c r="KI20" s="270"/>
      <c r="KJ20" s="270"/>
      <c r="KK20" s="270"/>
      <c r="KL20" s="270"/>
      <c r="KM20" s="270"/>
      <c r="KN20" s="270"/>
      <c r="KO20" s="270"/>
      <c r="KP20" s="270"/>
      <c r="KQ20" s="270"/>
      <c r="KR20" s="270"/>
      <c r="KS20" s="270"/>
      <c r="KT20" s="270"/>
      <c r="KU20" s="270"/>
      <c r="KV20" s="270"/>
      <c r="KW20" s="270"/>
      <c r="KX20" s="270"/>
      <c r="KY20" s="270"/>
      <c r="KZ20" s="270"/>
      <c r="LA20" s="270"/>
      <c r="LB20" s="270"/>
      <c r="LC20" s="270"/>
      <c r="LD20" s="270"/>
      <c r="LE20" s="270"/>
      <c r="LF20" s="270"/>
      <c r="LG20" s="270"/>
      <c r="LH20" s="270"/>
      <c r="LI20" s="270"/>
      <c r="LJ20" s="270"/>
      <c r="LK20" s="270"/>
      <c r="LL20" s="270"/>
      <c r="LM20" s="270"/>
      <c r="LN20" s="270"/>
      <c r="LO20" s="270"/>
      <c r="LP20" s="270"/>
      <c r="LQ20" s="270"/>
      <c r="LR20" s="270"/>
      <c r="LS20" s="270"/>
      <c r="LT20" s="270"/>
      <c r="LU20" s="270"/>
      <c r="LV20" s="270"/>
      <c r="LW20" s="270"/>
      <c r="LX20" s="270"/>
      <c r="LY20" s="270"/>
      <c r="LZ20" s="270"/>
      <c r="MA20" s="270"/>
      <c r="MB20" s="270"/>
      <c r="MC20" s="270"/>
      <c r="MD20" s="270"/>
      <c r="ME20" s="270"/>
      <c r="MF20" s="270"/>
      <c r="MG20" s="270"/>
      <c r="MH20" s="270"/>
      <c r="MI20" s="270"/>
      <c r="MJ20" s="270"/>
      <c r="MK20" s="270"/>
      <c r="ML20" s="270"/>
      <c r="MM20" s="270"/>
      <c r="MN20" s="270"/>
      <c r="MO20" s="270"/>
      <c r="MP20" s="270"/>
      <c r="MQ20" s="270"/>
      <c r="MR20" s="270"/>
      <c r="MS20" s="270"/>
      <c r="MT20" s="270"/>
      <c r="MU20" s="270"/>
      <c r="MV20" s="270"/>
      <c r="MW20" s="270"/>
      <c r="MX20" s="270"/>
      <c r="MY20" s="270"/>
      <c r="MZ20" s="270"/>
      <c r="NA20" s="270"/>
      <c r="NB20" s="270"/>
      <c r="NC20" s="270"/>
      <c r="ND20" s="270"/>
      <c r="NE20" s="270"/>
      <c r="NF20" s="270"/>
      <c r="NG20" s="270"/>
      <c r="NH20" s="270"/>
      <c r="NI20" s="270"/>
      <c r="NJ20" s="270"/>
      <c r="NK20" s="270"/>
      <c r="NL20" s="270"/>
      <c r="NM20" s="270"/>
      <c r="NN20" s="270"/>
      <c r="NO20" s="270"/>
      <c r="NP20" s="270"/>
      <c r="NQ20" s="270"/>
      <c r="NR20" s="270"/>
      <c r="NS20" s="270"/>
      <c r="NT20" s="270"/>
      <c r="NU20" s="270"/>
      <c r="NV20" s="270"/>
      <c r="NW20" s="270"/>
      <c r="NX20" s="270"/>
      <c r="NY20" s="270"/>
      <c r="NZ20" s="270"/>
      <c r="OA20" s="270"/>
      <c r="OB20" s="270"/>
      <c r="OC20" s="270"/>
      <c r="OD20" s="270"/>
      <c r="OE20" s="270"/>
      <c r="OF20" s="270"/>
      <c r="OG20" s="270"/>
      <c r="OH20" s="270"/>
      <c r="OI20" s="270"/>
      <c r="OJ20" s="270"/>
      <c r="OK20" s="270"/>
      <c r="OL20" s="270"/>
      <c r="OM20" s="270"/>
      <c r="ON20" s="270"/>
      <c r="OO20" s="270"/>
      <c r="OP20" s="270"/>
      <c r="OQ20" s="270"/>
      <c r="OR20" s="270"/>
      <c r="OS20" s="270"/>
      <c r="OT20" s="270"/>
      <c r="OU20" s="270"/>
      <c r="OV20" s="270"/>
      <c r="OW20" s="270"/>
      <c r="OX20" s="270"/>
      <c r="OY20" s="270"/>
      <c r="OZ20" s="270"/>
      <c r="PA20" s="270"/>
      <c r="PB20" s="270"/>
      <c r="PC20" s="270"/>
      <c r="PD20" s="270"/>
      <c r="PE20" s="270"/>
      <c r="PF20" s="270"/>
      <c r="PG20" s="270"/>
      <c r="PH20" s="270"/>
      <c r="PI20" s="270"/>
      <c r="PJ20" s="270"/>
      <c r="PK20" s="270"/>
      <c r="PL20" s="270"/>
      <c r="PM20" s="270"/>
      <c r="PN20" s="270"/>
      <c r="PO20" s="270"/>
      <c r="PP20" s="270"/>
      <c r="PQ20" s="270"/>
      <c r="PR20" s="270"/>
      <c r="PS20" s="270"/>
      <c r="PT20" s="270"/>
      <c r="PU20" s="270"/>
      <c r="PV20" s="270"/>
      <c r="PW20" s="270"/>
      <c r="PX20" s="270"/>
      <c r="PY20" s="270"/>
      <c r="PZ20" s="270"/>
      <c r="QA20" s="270"/>
      <c r="QB20" s="270"/>
      <c r="QC20" s="270"/>
      <c r="QD20" s="270"/>
      <c r="QE20" s="270"/>
      <c r="QF20" s="270"/>
      <c r="QG20" s="270"/>
      <c r="QH20" s="270"/>
      <c r="QI20" s="270"/>
      <c r="QJ20" s="270"/>
      <c r="QK20" s="270"/>
      <c r="QL20" s="270"/>
      <c r="QM20" s="270"/>
      <c r="QN20" s="270"/>
      <c r="QO20" s="270"/>
      <c r="QP20" s="270"/>
      <c r="QQ20" s="270"/>
      <c r="QR20" s="270"/>
      <c r="QS20" s="270"/>
      <c r="QT20" s="270"/>
      <c r="QU20" s="270"/>
      <c r="QV20" s="270"/>
      <c r="QW20" s="270"/>
      <c r="QX20" s="270"/>
      <c r="QY20" s="270"/>
      <c r="QZ20" s="302"/>
    </row>
    <row r="21" spans="1:468" s="289" customFormat="1" ht="43.5" customHeight="1" x14ac:dyDescent="0.2">
      <c r="A21" s="554"/>
      <c r="B21" s="555"/>
      <c r="C21" s="555"/>
      <c r="D21" s="555"/>
      <c r="E21" s="556"/>
      <c r="F21" s="555"/>
      <c r="G21" s="706"/>
      <c r="H21" s="558"/>
      <c r="I21" s="553"/>
      <c r="J21" s="708"/>
      <c r="K21" s="553">
        <f ca="1">IF(NOT(ISERROR(MATCH(J21,_xlfn.ANCHORARRAY(E24),0))),#REF!&amp;"Por favor no seleccionar los criterios de impacto",J21)</f>
        <v>0</v>
      </c>
      <c r="L21" s="558"/>
      <c r="M21" s="553"/>
      <c r="N21" s="552"/>
      <c r="O21" s="673"/>
      <c r="P21" s="698"/>
      <c r="Q21" s="714"/>
      <c r="R21" s="716"/>
      <c r="S21" s="700"/>
      <c r="T21" s="710"/>
      <c r="U21" s="700"/>
      <c r="V21" s="700"/>
      <c r="W21" s="700"/>
      <c r="X21" s="704"/>
      <c r="Y21" s="702"/>
      <c r="Z21" s="710"/>
      <c r="AA21" s="702"/>
      <c r="AB21" s="710"/>
      <c r="AC21" s="712"/>
      <c r="AD21" s="700"/>
      <c r="AE21" s="688"/>
      <c r="AF21" s="688"/>
      <c r="AG21" s="560"/>
      <c r="AH21" s="696"/>
      <c r="AI21" s="696"/>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c r="CD21" s="270"/>
      <c r="CE21" s="270"/>
      <c r="CF21" s="270"/>
      <c r="CG21" s="270"/>
      <c r="CH21" s="270"/>
      <c r="CI21" s="270"/>
      <c r="CJ21" s="270"/>
      <c r="CK21" s="270"/>
      <c r="CL21" s="270"/>
      <c r="CM21" s="270"/>
      <c r="CN21" s="270"/>
      <c r="CO21" s="270"/>
      <c r="CP21" s="270"/>
      <c r="CQ21" s="270"/>
      <c r="CR21" s="270"/>
      <c r="CS21" s="270"/>
      <c r="CT21" s="270"/>
      <c r="CU21" s="270"/>
      <c r="CV21" s="270"/>
      <c r="CW21" s="270"/>
      <c r="CX21" s="270"/>
      <c r="CY21" s="270"/>
      <c r="CZ21" s="270"/>
      <c r="DA21" s="270"/>
      <c r="DB21" s="270"/>
      <c r="DC21" s="270"/>
      <c r="DD21" s="270"/>
      <c r="DE21" s="270"/>
      <c r="DF21" s="270"/>
      <c r="DG21" s="270"/>
      <c r="DH21" s="270"/>
      <c r="DI21" s="270"/>
      <c r="DJ21" s="270"/>
      <c r="DK21" s="270"/>
      <c r="DL21" s="270"/>
      <c r="DM21" s="270"/>
      <c r="DN21" s="270"/>
      <c r="DO21" s="270"/>
      <c r="DP21" s="270"/>
      <c r="DQ21" s="270"/>
      <c r="DR21" s="270"/>
      <c r="DS21" s="270"/>
      <c r="DT21" s="270"/>
      <c r="DU21" s="270"/>
      <c r="DV21" s="270"/>
      <c r="DW21" s="270"/>
      <c r="DX21" s="270"/>
      <c r="DY21" s="270"/>
      <c r="DZ21" s="270"/>
      <c r="EA21" s="270"/>
      <c r="EB21" s="270"/>
      <c r="EC21" s="270"/>
      <c r="ED21" s="270"/>
      <c r="EE21" s="270"/>
      <c r="EF21" s="270"/>
      <c r="EG21" s="270"/>
      <c r="EH21" s="270"/>
      <c r="EI21" s="270"/>
      <c r="EJ21" s="270"/>
      <c r="EK21" s="270"/>
      <c r="EL21" s="270"/>
      <c r="EM21" s="270"/>
      <c r="EN21" s="270"/>
      <c r="EO21" s="270"/>
      <c r="EP21" s="270"/>
      <c r="EQ21" s="270"/>
      <c r="ER21" s="270"/>
      <c r="ES21" s="270"/>
      <c r="ET21" s="270"/>
      <c r="EU21" s="270"/>
      <c r="EV21" s="270"/>
      <c r="EW21" s="270"/>
      <c r="EX21" s="270"/>
      <c r="EY21" s="270"/>
      <c r="EZ21" s="270"/>
      <c r="FA21" s="270"/>
      <c r="FB21" s="270"/>
      <c r="FC21" s="270"/>
      <c r="FD21" s="270"/>
      <c r="FE21" s="270"/>
      <c r="FF21" s="270"/>
      <c r="FG21" s="270"/>
      <c r="FH21" s="270"/>
      <c r="FI21" s="270"/>
      <c r="FJ21" s="270"/>
      <c r="FK21" s="270"/>
      <c r="FL21" s="270"/>
      <c r="FM21" s="270"/>
      <c r="FN21" s="270"/>
      <c r="FO21" s="270"/>
      <c r="FP21" s="270"/>
      <c r="FQ21" s="270"/>
      <c r="FR21" s="270"/>
      <c r="FS21" s="270"/>
      <c r="FT21" s="270"/>
      <c r="FU21" s="270"/>
      <c r="FV21" s="270"/>
      <c r="FW21" s="270"/>
      <c r="FX21" s="270"/>
      <c r="FY21" s="270"/>
      <c r="FZ21" s="270"/>
      <c r="GA21" s="270"/>
      <c r="GB21" s="270"/>
      <c r="GC21" s="270"/>
      <c r="GD21" s="270"/>
      <c r="GE21" s="270"/>
      <c r="GF21" s="270"/>
      <c r="GG21" s="270"/>
      <c r="GH21" s="270"/>
      <c r="GI21" s="270"/>
      <c r="GJ21" s="270"/>
      <c r="GK21" s="270"/>
      <c r="GL21" s="270"/>
      <c r="GM21" s="270"/>
      <c r="GN21" s="270"/>
      <c r="GO21" s="270"/>
      <c r="GP21" s="270"/>
      <c r="GQ21" s="270"/>
      <c r="GR21" s="270"/>
      <c r="GS21" s="270"/>
      <c r="GT21" s="270"/>
      <c r="GU21" s="270"/>
      <c r="GV21" s="270"/>
      <c r="GW21" s="270"/>
      <c r="GX21" s="270"/>
      <c r="GY21" s="270"/>
      <c r="GZ21" s="270"/>
      <c r="HA21" s="270"/>
      <c r="HB21" s="270"/>
      <c r="HC21" s="270"/>
      <c r="HD21" s="270"/>
      <c r="HE21" s="270"/>
      <c r="HF21" s="270"/>
      <c r="HG21" s="270"/>
      <c r="HH21" s="270"/>
      <c r="HI21" s="270"/>
      <c r="HJ21" s="270"/>
      <c r="HK21" s="270"/>
      <c r="HL21" s="270"/>
      <c r="HM21" s="270"/>
      <c r="HN21" s="270"/>
      <c r="HO21" s="270"/>
      <c r="HP21" s="270"/>
      <c r="HQ21" s="270"/>
      <c r="HR21" s="270"/>
      <c r="HS21" s="270"/>
      <c r="HT21" s="270"/>
      <c r="HU21" s="270"/>
      <c r="HV21" s="270"/>
      <c r="HW21" s="270"/>
      <c r="HX21" s="270"/>
      <c r="HY21" s="270"/>
      <c r="HZ21" s="270"/>
      <c r="IA21" s="270"/>
      <c r="IB21" s="270"/>
      <c r="IC21" s="270"/>
      <c r="ID21" s="270"/>
      <c r="IE21" s="270"/>
      <c r="IF21" s="270"/>
      <c r="IG21" s="270"/>
      <c r="IH21" s="270"/>
      <c r="II21" s="270"/>
      <c r="IJ21" s="270"/>
      <c r="IK21" s="270"/>
      <c r="IL21" s="270"/>
      <c r="IM21" s="270"/>
      <c r="IN21" s="270"/>
      <c r="IO21" s="270"/>
      <c r="IP21" s="270"/>
      <c r="IQ21" s="270"/>
      <c r="IR21" s="270"/>
      <c r="IS21" s="270"/>
      <c r="IT21" s="270"/>
      <c r="IU21" s="270"/>
      <c r="IV21" s="270"/>
      <c r="IW21" s="270"/>
      <c r="IX21" s="270"/>
      <c r="IY21" s="270"/>
      <c r="IZ21" s="270"/>
      <c r="JA21" s="270"/>
      <c r="JB21" s="270"/>
      <c r="JC21" s="270"/>
      <c r="JD21" s="270"/>
      <c r="JE21" s="270"/>
      <c r="JF21" s="270"/>
      <c r="JG21" s="270"/>
      <c r="JH21" s="270"/>
      <c r="JI21" s="270"/>
      <c r="JJ21" s="270"/>
      <c r="JK21" s="270"/>
      <c r="JL21" s="270"/>
      <c r="JM21" s="270"/>
      <c r="JN21" s="270"/>
      <c r="JO21" s="270"/>
      <c r="JP21" s="270"/>
      <c r="JQ21" s="270"/>
      <c r="JR21" s="270"/>
      <c r="JS21" s="270"/>
      <c r="JT21" s="270"/>
      <c r="JU21" s="270"/>
      <c r="JV21" s="270"/>
      <c r="JW21" s="270"/>
      <c r="JX21" s="270"/>
      <c r="JY21" s="270"/>
      <c r="JZ21" s="270"/>
      <c r="KA21" s="270"/>
      <c r="KB21" s="270"/>
      <c r="KC21" s="270"/>
      <c r="KD21" s="270"/>
      <c r="KE21" s="270"/>
      <c r="KF21" s="270"/>
      <c r="KG21" s="270"/>
      <c r="KH21" s="270"/>
      <c r="KI21" s="270"/>
      <c r="KJ21" s="270"/>
      <c r="KK21" s="270"/>
      <c r="KL21" s="270"/>
      <c r="KM21" s="270"/>
      <c r="KN21" s="270"/>
      <c r="KO21" s="270"/>
      <c r="KP21" s="270"/>
      <c r="KQ21" s="270"/>
      <c r="KR21" s="270"/>
      <c r="KS21" s="270"/>
      <c r="KT21" s="270"/>
      <c r="KU21" s="270"/>
      <c r="KV21" s="270"/>
      <c r="KW21" s="270"/>
      <c r="KX21" s="270"/>
      <c r="KY21" s="270"/>
      <c r="KZ21" s="270"/>
      <c r="LA21" s="270"/>
      <c r="LB21" s="270"/>
      <c r="LC21" s="270"/>
      <c r="LD21" s="270"/>
      <c r="LE21" s="270"/>
      <c r="LF21" s="270"/>
      <c r="LG21" s="270"/>
      <c r="LH21" s="270"/>
      <c r="LI21" s="270"/>
      <c r="LJ21" s="270"/>
      <c r="LK21" s="270"/>
      <c r="LL21" s="270"/>
      <c r="LM21" s="270"/>
      <c r="LN21" s="270"/>
      <c r="LO21" s="270"/>
      <c r="LP21" s="270"/>
      <c r="LQ21" s="270"/>
      <c r="LR21" s="270"/>
      <c r="LS21" s="270"/>
      <c r="LT21" s="270"/>
      <c r="LU21" s="270"/>
      <c r="LV21" s="270"/>
      <c r="LW21" s="270"/>
      <c r="LX21" s="270"/>
      <c r="LY21" s="270"/>
      <c r="LZ21" s="270"/>
      <c r="MA21" s="270"/>
      <c r="MB21" s="270"/>
      <c r="MC21" s="270"/>
      <c r="MD21" s="270"/>
      <c r="ME21" s="270"/>
      <c r="MF21" s="270"/>
      <c r="MG21" s="270"/>
      <c r="MH21" s="270"/>
      <c r="MI21" s="270"/>
      <c r="MJ21" s="270"/>
      <c r="MK21" s="270"/>
      <c r="ML21" s="270"/>
      <c r="MM21" s="270"/>
      <c r="MN21" s="270"/>
      <c r="MO21" s="270"/>
      <c r="MP21" s="270"/>
      <c r="MQ21" s="270"/>
      <c r="MR21" s="270"/>
      <c r="MS21" s="270"/>
      <c r="MT21" s="270"/>
      <c r="MU21" s="270"/>
      <c r="MV21" s="270"/>
      <c r="MW21" s="270"/>
      <c r="MX21" s="270"/>
      <c r="MY21" s="270"/>
      <c r="MZ21" s="270"/>
      <c r="NA21" s="270"/>
      <c r="NB21" s="270"/>
      <c r="NC21" s="270"/>
      <c r="ND21" s="270"/>
      <c r="NE21" s="270"/>
      <c r="NF21" s="270"/>
      <c r="NG21" s="270"/>
      <c r="NH21" s="270"/>
      <c r="NI21" s="270"/>
      <c r="NJ21" s="270"/>
      <c r="NK21" s="270"/>
      <c r="NL21" s="270"/>
      <c r="NM21" s="270"/>
      <c r="NN21" s="270"/>
      <c r="NO21" s="270"/>
      <c r="NP21" s="270"/>
      <c r="NQ21" s="270"/>
      <c r="NR21" s="270"/>
      <c r="NS21" s="270"/>
      <c r="NT21" s="270"/>
      <c r="NU21" s="270"/>
      <c r="NV21" s="270"/>
      <c r="NW21" s="270"/>
      <c r="NX21" s="270"/>
      <c r="NY21" s="270"/>
      <c r="NZ21" s="270"/>
      <c r="OA21" s="270"/>
      <c r="OB21" s="270"/>
      <c r="OC21" s="270"/>
      <c r="OD21" s="270"/>
      <c r="OE21" s="270"/>
      <c r="OF21" s="270"/>
      <c r="OG21" s="270"/>
      <c r="OH21" s="270"/>
      <c r="OI21" s="270"/>
      <c r="OJ21" s="270"/>
      <c r="OK21" s="270"/>
      <c r="OL21" s="270"/>
      <c r="OM21" s="270"/>
      <c r="ON21" s="270"/>
      <c r="OO21" s="270"/>
      <c r="OP21" s="270"/>
      <c r="OQ21" s="270"/>
      <c r="OR21" s="270"/>
      <c r="OS21" s="270"/>
      <c r="OT21" s="270"/>
      <c r="OU21" s="270"/>
      <c r="OV21" s="270"/>
      <c r="OW21" s="270"/>
      <c r="OX21" s="270"/>
      <c r="OY21" s="270"/>
      <c r="OZ21" s="270"/>
      <c r="PA21" s="270"/>
      <c r="PB21" s="270"/>
      <c r="PC21" s="270"/>
      <c r="PD21" s="270"/>
      <c r="PE21" s="270"/>
      <c r="PF21" s="270"/>
      <c r="PG21" s="270"/>
      <c r="PH21" s="270"/>
      <c r="PI21" s="270"/>
      <c r="PJ21" s="270"/>
      <c r="PK21" s="270"/>
      <c r="PL21" s="270"/>
      <c r="PM21" s="270"/>
      <c r="PN21" s="270"/>
      <c r="PO21" s="270"/>
      <c r="PP21" s="270"/>
      <c r="PQ21" s="270"/>
      <c r="PR21" s="270"/>
      <c r="PS21" s="270"/>
      <c r="PT21" s="270"/>
      <c r="PU21" s="270"/>
      <c r="PV21" s="270"/>
      <c r="PW21" s="270"/>
      <c r="PX21" s="270"/>
      <c r="PY21" s="270"/>
      <c r="PZ21" s="270"/>
      <c r="QA21" s="270"/>
      <c r="QB21" s="270"/>
      <c r="QC21" s="270"/>
      <c r="QD21" s="270"/>
      <c r="QE21" s="270"/>
      <c r="QF21" s="270"/>
      <c r="QG21" s="270"/>
      <c r="QH21" s="270"/>
      <c r="QI21" s="270"/>
      <c r="QJ21" s="270"/>
      <c r="QK21" s="270"/>
      <c r="QL21" s="270"/>
      <c r="QM21" s="270"/>
      <c r="QN21" s="270"/>
      <c r="QO21" s="270"/>
      <c r="QP21" s="270"/>
      <c r="QQ21" s="270"/>
      <c r="QR21" s="270"/>
      <c r="QS21" s="270"/>
      <c r="QT21" s="270"/>
      <c r="QU21" s="270"/>
      <c r="QV21" s="270"/>
      <c r="QW21" s="270"/>
      <c r="QX21" s="270"/>
      <c r="QY21" s="270"/>
      <c r="QZ21" s="302"/>
    </row>
    <row r="22" spans="1:468" s="289" customFormat="1" ht="110.25" hidden="1" customHeight="1" x14ac:dyDescent="0.2">
      <c r="A22" s="554">
        <v>7</v>
      </c>
      <c r="B22" s="692"/>
      <c r="C22" s="692"/>
      <c r="D22" s="692"/>
      <c r="E22" s="693"/>
      <c r="F22" s="555"/>
      <c r="G22" s="557"/>
      <c r="H22" s="558" t="str">
        <f t="shared" ref="H22" si="24">IF(G22&lt;=0,"",IF(G22&lt;=2,"Muy Baja",IF(G22&lt;=24,"Baja",IF(G22&lt;=500,"Media",IF(G22&lt;=5000,"Alta","Muy Alta")))))</f>
        <v/>
      </c>
      <c r="I22" s="553" t="str">
        <f t="shared" ref="I22" si="25">IF(H22="","",IF(H22="Muy Baja",0.2,IF(H22="Baja",0.4,IF(H22="Media",0.6,IF(H22="Alta",0.8,IF(H22="Muy Alta",1,))))))</f>
        <v/>
      </c>
      <c r="J22" s="694"/>
      <c r="K22" s="553">
        <f>IF(NOT(ISERROR(MATCH(J22,'[2]Tabla Impacto'!$B$221:$B$223,0))),'[2]Tabla Impacto'!$F$223&amp;"Por favor no seleccionar los criterios de impacto(Afectación Económica o presupuestal y Pérdida Reputacional)",J22)</f>
        <v>0</v>
      </c>
      <c r="L22" s="558" t="str">
        <f t="shared" ref="L22" si="26">IF(J22&lt;=0,"",IF(J22&lt;=20%,"Leve",IF(J22&lt;=40%,"Menor",IF(J22&lt;=60%,"Moderado",IF(J22&lt;=80%,"Mayor","Catastrófico")))))</f>
        <v/>
      </c>
      <c r="M22" s="553" t="str">
        <f t="shared" ref="M22" si="27">IF(L22="","",IF(L22="Leve",0.2,IF(L22="Menor",0.4,IF(L22="Moderado",0.6,IF(L22="Mayor",0.8,IF(L22="Catastrófico",1,))))))</f>
        <v/>
      </c>
      <c r="N22" s="552" t="str">
        <f t="shared" ref="N22" si="28">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74">
        <v>1</v>
      </c>
      <c r="P22" s="319"/>
      <c r="Q22" s="276" t="str">
        <f t="shared" si="7"/>
        <v/>
      </c>
      <c r="R22" s="277"/>
      <c r="S22" s="277"/>
      <c r="T22" s="278" t="str">
        <f>IF(AND(R22="Preventivo",S22="Automático"),"50%",IF(AND(R22="Preventivo",S22="Manual"),"40%",IF(AND(R22="Detectivo",S22="Automático"),"40%",IF(AND(R22="Detectivo",S22="Manual"),"30%",IF(AND(R22="Correctivo",S22="Automático"),"35%",IF(AND(R22="Correctivo",S22="Manual"),"25%",""))))))</f>
        <v/>
      </c>
      <c r="U22" s="277"/>
      <c r="V22" s="277"/>
      <c r="W22" s="277"/>
      <c r="X22" s="279" t="str">
        <f>IFERROR(IF(Q22="Probabilidad",(I22-(+I22*T22)),IF(Q22="Impacto",I22,"")),"")</f>
        <v/>
      </c>
      <c r="Y22" s="280" t="str">
        <f>IFERROR(IF(X22="","",IF(X22&lt;=0.2,"Muy Baja",IF(X22&lt;=0.4,"Baja",IF(X22&lt;=0.6,"Media",IF(X22&lt;=0.8,"Alta","Muy Alta"))))),"")</f>
        <v/>
      </c>
      <c r="Z22" s="278" t="str">
        <f>+X22</f>
        <v/>
      </c>
      <c r="AA22" s="280" t="str">
        <f>IFERROR(IF(AB22="","",IF(AB22&lt;=0.2,"Leve",IF(AB22&lt;=0.4,"Menor",IF(AB22&lt;=0.6,"Moderado",IF(AB22&lt;=0.8,"Mayor","Catastrófico"))))),"")</f>
        <v/>
      </c>
      <c r="AB22" s="278" t="str">
        <f>IFERROR(IF(Q22="Impacto",(M22-(+M22*T22)),IF(Q22="Probabilidad",M22,"")),"")</f>
        <v/>
      </c>
      <c r="AC22" s="281"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77"/>
      <c r="AE22" s="282"/>
      <c r="AF22" s="282"/>
      <c r="AG22" s="283"/>
      <c r="AH22" s="284"/>
      <c r="AI22" s="284"/>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70"/>
      <c r="CC22" s="270"/>
      <c r="CD22" s="270"/>
      <c r="CE22" s="270"/>
      <c r="CF22" s="270"/>
      <c r="CG22" s="270"/>
      <c r="CH22" s="270"/>
      <c r="CI22" s="270"/>
      <c r="CJ22" s="270"/>
      <c r="CK22" s="270"/>
      <c r="CL22" s="270"/>
      <c r="CM22" s="270"/>
      <c r="CN22" s="270"/>
      <c r="CO22" s="270"/>
      <c r="CP22" s="270"/>
      <c r="CQ22" s="270"/>
      <c r="CR22" s="270"/>
      <c r="CS22" s="270"/>
      <c r="CT22" s="270"/>
      <c r="CU22" s="270"/>
      <c r="CV22" s="270"/>
      <c r="CW22" s="270"/>
      <c r="CX22" s="270"/>
      <c r="CY22" s="270"/>
      <c r="CZ22" s="270"/>
      <c r="DA22" s="270"/>
      <c r="DB22" s="270"/>
      <c r="DC22" s="270"/>
      <c r="DD22" s="270"/>
      <c r="DE22" s="270"/>
      <c r="DF22" s="270"/>
      <c r="DG22" s="270"/>
      <c r="DH22" s="270"/>
      <c r="DI22" s="270"/>
      <c r="DJ22" s="270"/>
      <c r="DK22" s="270"/>
      <c r="DL22" s="270"/>
      <c r="DM22" s="270"/>
      <c r="DN22" s="270"/>
      <c r="DO22" s="270"/>
      <c r="DP22" s="270"/>
      <c r="DQ22" s="270"/>
      <c r="DR22" s="270"/>
      <c r="DS22" s="270"/>
      <c r="DT22" s="270"/>
      <c r="DU22" s="270"/>
      <c r="DV22" s="270"/>
      <c r="DW22" s="270"/>
      <c r="DX22" s="270"/>
      <c r="DY22" s="270"/>
      <c r="DZ22" s="270"/>
      <c r="EA22" s="270"/>
      <c r="EB22" s="270"/>
      <c r="EC22" s="270"/>
      <c r="ED22" s="270"/>
      <c r="EE22" s="270"/>
      <c r="EF22" s="270"/>
      <c r="EG22" s="270"/>
      <c r="EH22" s="270"/>
      <c r="EI22" s="270"/>
      <c r="EJ22" s="270"/>
      <c r="EK22" s="270"/>
      <c r="EL22" s="270"/>
      <c r="EM22" s="270"/>
      <c r="EN22" s="270"/>
      <c r="EO22" s="270"/>
      <c r="EP22" s="270"/>
      <c r="EQ22" s="270"/>
      <c r="ER22" s="270"/>
      <c r="ES22" s="270"/>
      <c r="ET22" s="270"/>
      <c r="EU22" s="270"/>
      <c r="EV22" s="270"/>
      <c r="EW22" s="270"/>
      <c r="EX22" s="270"/>
      <c r="EY22" s="270"/>
      <c r="EZ22" s="270"/>
      <c r="FA22" s="270"/>
      <c r="FB22" s="270"/>
      <c r="FC22" s="270"/>
      <c r="FD22" s="270"/>
      <c r="FE22" s="270"/>
      <c r="FF22" s="270"/>
      <c r="FG22" s="270"/>
      <c r="FH22" s="270"/>
      <c r="FI22" s="270"/>
      <c r="FJ22" s="270"/>
      <c r="FK22" s="270"/>
      <c r="FL22" s="270"/>
      <c r="FM22" s="270"/>
      <c r="FN22" s="270"/>
      <c r="FO22" s="270"/>
      <c r="FP22" s="270"/>
      <c r="FQ22" s="270"/>
      <c r="FR22" s="270"/>
      <c r="FS22" s="270"/>
      <c r="FT22" s="270"/>
      <c r="FU22" s="270"/>
      <c r="FV22" s="270"/>
      <c r="FW22" s="270"/>
      <c r="FX22" s="270"/>
      <c r="FY22" s="270"/>
      <c r="FZ22" s="270"/>
      <c r="GA22" s="270"/>
      <c r="GB22" s="270"/>
      <c r="GC22" s="270"/>
      <c r="GD22" s="270"/>
      <c r="GE22" s="270"/>
      <c r="GF22" s="270"/>
      <c r="GG22" s="270"/>
      <c r="GH22" s="270"/>
      <c r="GI22" s="270"/>
      <c r="GJ22" s="270"/>
      <c r="GK22" s="270"/>
      <c r="GL22" s="270"/>
      <c r="GM22" s="270"/>
      <c r="GN22" s="270"/>
      <c r="GO22" s="270"/>
      <c r="GP22" s="270"/>
      <c r="GQ22" s="270"/>
      <c r="GR22" s="270"/>
      <c r="GS22" s="270"/>
      <c r="GT22" s="270"/>
      <c r="GU22" s="270"/>
      <c r="GV22" s="270"/>
      <c r="GW22" s="270"/>
      <c r="GX22" s="270"/>
      <c r="GY22" s="270"/>
      <c r="GZ22" s="270"/>
      <c r="HA22" s="270"/>
      <c r="HB22" s="270"/>
      <c r="HC22" s="270"/>
      <c r="HD22" s="270"/>
      <c r="HE22" s="270"/>
      <c r="HF22" s="270"/>
      <c r="HG22" s="270"/>
      <c r="HH22" s="270"/>
      <c r="HI22" s="270"/>
      <c r="HJ22" s="270"/>
      <c r="HK22" s="270"/>
      <c r="HL22" s="270"/>
      <c r="HM22" s="270"/>
      <c r="HN22" s="270"/>
      <c r="HO22" s="270"/>
      <c r="HP22" s="270"/>
      <c r="HQ22" s="270"/>
      <c r="HR22" s="270"/>
      <c r="HS22" s="270"/>
      <c r="HT22" s="270"/>
      <c r="HU22" s="270"/>
      <c r="HV22" s="270"/>
      <c r="HW22" s="270"/>
      <c r="HX22" s="270"/>
      <c r="HY22" s="270"/>
      <c r="HZ22" s="270"/>
      <c r="IA22" s="270"/>
      <c r="IB22" s="270"/>
      <c r="IC22" s="270"/>
      <c r="ID22" s="270"/>
      <c r="IE22" s="270"/>
      <c r="IF22" s="270"/>
      <c r="IG22" s="270"/>
      <c r="IH22" s="270"/>
      <c r="II22" s="270"/>
      <c r="IJ22" s="270"/>
      <c r="IK22" s="270"/>
      <c r="IL22" s="270"/>
      <c r="IM22" s="270"/>
      <c r="IN22" s="270"/>
      <c r="IO22" s="270"/>
      <c r="IP22" s="270"/>
      <c r="IQ22" s="270"/>
      <c r="IR22" s="270"/>
      <c r="IS22" s="270"/>
      <c r="IT22" s="270"/>
      <c r="IU22" s="270"/>
      <c r="IV22" s="270"/>
      <c r="IW22" s="270"/>
      <c r="IX22" s="270"/>
      <c r="IY22" s="270"/>
      <c r="IZ22" s="270"/>
      <c r="JA22" s="270"/>
      <c r="JB22" s="270"/>
      <c r="JC22" s="270"/>
      <c r="JD22" s="270"/>
      <c r="JE22" s="270"/>
      <c r="JF22" s="270"/>
      <c r="JG22" s="270"/>
      <c r="JH22" s="270"/>
      <c r="JI22" s="270"/>
      <c r="JJ22" s="270"/>
      <c r="JK22" s="270"/>
      <c r="JL22" s="270"/>
      <c r="JM22" s="270"/>
      <c r="JN22" s="270"/>
      <c r="JO22" s="270"/>
      <c r="JP22" s="270"/>
      <c r="JQ22" s="270"/>
      <c r="JR22" s="270"/>
      <c r="JS22" s="270"/>
      <c r="JT22" s="270"/>
      <c r="JU22" s="270"/>
      <c r="JV22" s="270"/>
      <c r="JW22" s="270"/>
      <c r="JX22" s="270"/>
      <c r="JY22" s="270"/>
      <c r="JZ22" s="270"/>
      <c r="KA22" s="270"/>
      <c r="KB22" s="270"/>
      <c r="KC22" s="270"/>
      <c r="KD22" s="270"/>
      <c r="KE22" s="270"/>
      <c r="KF22" s="270"/>
      <c r="KG22" s="270"/>
      <c r="KH22" s="270"/>
      <c r="KI22" s="270"/>
      <c r="KJ22" s="270"/>
      <c r="KK22" s="270"/>
      <c r="KL22" s="270"/>
      <c r="KM22" s="270"/>
      <c r="KN22" s="270"/>
      <c r="KO22" s="270"/>
      <c r="KP22" s="270"/>
      <c r="KQ22" s="270"/>
      <c r="KR22" s="270"/>
      <c r="KS22" s="270"/>
      <c r="KT22" s="270"/>
      <c r="KU22" s="270"/>
      <c r="KV22" s="270"/>
      <c r="KW22" s="270"/>
      <c r="KX22" s="270"/>
      <c r="KY22" s="270"/>
      <c r="KZ22" s="270"/>
      <c r="LA22" s="270"/>
      <c r="LB22" s="270"/>
      <c r="LC22" s="270"/>
      <c r="LD22" s="270"/>
      <c r="LE22" s="270"/>
      <c r="LF22" s="270"/>
      <c r="LG22" s="270"/>
      <c r="LH22" s="270"/>
      <c r="LI22" s="270"/>
      <c r="LJ22" s="270"/>
      <c r="LK22" s="270"/>
      <c r="LL22" s="270"/>
      <c r="LM22" s="270"/>
      <c r="LN22" s="270"/>
      <c r="LO22" s="270"/>
      <c r="LP22" s="270"/>
      <c r="LQ22" s="270"/>
      <c r="LR22" s="270"/>
      <c r="LS22" s="270"/>
      <c r="LT22" s="270"/>
      <c r="LU22" s="270"/>
      <c r="LV22" s="270"/>
      <c r="LW22" s="270"/>
      <c r="LX22" s="270"/>
      <c r="LY22" s="270"/>
      <c r="LZ22" s="270"/>
      <c r="MA22" s="270"/>
      <c r="MB22" s="270"/>
      <c r="MC22" s="270"/>
      <c r="MD22" s="270"/>
      <c r="ME22" s="270"/>
      <c r="MF22" s="270"/>
      <c r="MG22" s="270"/>
      <c r="MH22" s="270"/>
      <c r="MI22" s="270"/>
      <c r="MJ22" s="270"/>
      <c r="MK22" s="270"/>
      <c r="ML22" s="270"/>
      <c r="MM22" s="270"/>
      <c r="MN22" s="270"/>
      <c r="MO22" s="270"/>
      <c r="MP22" s="270"/>
      <c r="MQ22" s="270"/>
      <c r="MR22" s="270"/>
      <c r="MS22" s="270"/>
      <c r="MT22" s="270"/>
      <c r="MU22" s="270"/>
      <c r="MV22" s="270"/>
      <c r="MW22" s="270"/>
      <c r="MX22" s="270"/>
      <c r="MY22" s="270"/>
      <c r="MZ22" s="270"/>
      <c r="NA22" s="270"/>
      <c r="NB22" s="270"/>
      <c r="NC22" s="270"/>
      <c r="ND22" s="270"/>
      <c r="NE22" s="270"/>
      <c r="NF22" s="270"/>
      <c r="NG22" s="270"/>
      <c r="NH22" s="270"/>
      <c r="NI22" s="270"/>
      <c r="NJ22" s="270"/>
      <c r="NK22" s="270"/>
      <c r="NL22" s="270"/>
      <c r="NM22" s="270"/>
      <c r="NN22" s="270"/>
      <c r="NO22" s="270"/>
      <c r="NP22" s="270"/>
      <c r="NQ22" s="270"/>
      <c r="NR22" s="270"/>
      <c r="NS22" s="270"/>
      <c r="NT22" s="270"/>
      <c r="NU22" s="270"/>
      <c r="NV22" s="270"/>
      <c r="NW22" s="270"/>
      <c r="NX22" s="270"/>
      <c r="NY22" s="270"/>
      <c r="NZ22" s="270"/>
      <c r="OA22" s="270"/>
      <c r="OB22" s="270"/>
      <c r="OC22" s="270"/>
      <c r="OD22" s="270"/>
      <c r="OE22" s="270"/>
      <c r="OF22" s="270"/>
      <c r="OG22" s="270"/>
      <c r="OH22" s="270"/>
      <c r="OI22" s="270"/>
      <c r="OJ22" s="270"/>
      <c r="OK22" s="270"/>
      <c r="OL22" s="270"/>
      <c r="OM22" s="270"/>
      <c r="ON22" s="270"/>
      <c r="OO22" s="270"/>
      <c r="OP22" s="270"/>
      <c r="OQ22" s="270"/>
      <c r="OR22" s="270"/>
      <c r="OS22" s="270"/>
      <c r="OT22" s="270"/>
      <c r="OU22" s="270"/>
      <c r="OV22" s="270"/>
      <c r="OW22" s="270"/>
      <c r="OX22" s="270"/>
      <c r="OY22" s="270"/>
      <c r="OZ22" s="270"/>
      <c r="PA22" s="270"/>
      <c r="PB22" s="270"/>
      <c r="PC22" s="270"/>
      <c r="PD22" s="270"/>
      <c r="PE22" s="270"/>
      <c r="PF22" s="270"/>
      <c r="PG22" s="270"/>
      <c r="PH22" s="270"/>
      <c r="PI22" s="270"/>
      <c r="PJ22" s="270"/>
      <c r="PK22" s="270"/>
      <c r="PL22" s="270"/>
      <c r="PM22" s="270"/>
      <c r="PN22" s="270"/>
      <c r="PO22" s="270"/>
      <c r="PP22" s="270"/>
      <c r="PQ22" s="270"/>
      <c r="PR22" s="270"/>
      <c r="PS22" s="270"/>
      <c r="PT22" s="270"/>
      <c r="PU22" s="270"/>
      <c r="PV22" s="270"/>
      <c r="PW22" s="270"/>
      <c r="PX22" s="270"/>
      <c r="PY22" s="270"/>
      <c r="PZ22" s="270"/>
      <c r="QA22" s="270"/>
      <c r="QB22" s="270"/>
      <c r="QC22" s="270"/>
      <c r="QD22" s="270"/>
      <c r="QE22" s="270"/>
      <c r="QF22" s="270"/>
      <c r="QG22" s="270"/>
      <c r="QH22" s="270"/>
      <c r="QI22" s="270"/>
      <c r="QJ22" s="270"/>
      <c r="QK22" s="270"/>
      <c r="QL22" s="270"/>
      <c r="QM22" s="270"/>
      <c r="QN22" s="270"/>
      <c r="QO22" s="270"/>
      <c r="QP22" s="270"/>
      <c r="QQ22" s="270"/>
      <c r="QR22" s="270"/>
      <c r="QS22" s="270"/>
      <c r="QT22" s="270"/>
      <c r="QU22" s="270"/>
      <c r="QV22" s="270"/>
      <c r="QW22" s="270"/>
      <c r="QX22" s="270"/>
      <c r="QY22" s="270"/>
      <c r="QZ22" s="302"/>
    </row>
    <row r="23" spans="1:468" s="289" customFormat="1" ht="17.25" hidden="1" customHeight="1" x14ac:dyDescent="0.2">
      <c r="A23" s="554"/>
      <c r="B23" s="692"/>
      <c r="C23" s="692"/>
      <c r="D23" s="692"/>
      <c r="E23" s="693"/>
      <c r="F23" s="555"/>
      <c r="G23" s="557"/>
      <c r="H23" s="558"/>
      <c r="I23" s="553"/>
      <c r="J23" s="555"/>
      <c r="K23" s="553">
        <f ca="1">IF(NOT(ISERROR(MATCH(J23,_xlfn.ANCHORARRAY(E25),0))),#REF!&amp;"Por favor no seleccionar los criterios de impacto",J23)</f>
        <v>0</v>
      </c>
      <c r="L23" s="558"/>
      <c r="M23" s="553"/>
      <c r="N23" s="552"/>
      <c r="O23" s="274">
        <v>2</v>
      </c>
      <c r="P23" s="319"/>
      <c r="Q23" s="276" t="str">
        <f t="shared" si="7"/>
        <v/>
      </c>
      <c r="R23" s="277"/>
      <c r="S23" s="277"/>
      <c r="T23" s="278" t="str">
        <f t="shared" ref="T23" si="29">IF(AND(R23="Preventivo",S23="Automático"),"50%",IF(AND(R23="Preventivo",S23="Manual"),"40%",IF(AND(R23="Detectivo",S23="Automático"),"40%",IF(AND(R23="Detectivo",S23="Manual"),"30%",IF(AND(R23="Correctivo",S23="Automático"),"35%",IF(AND(R23="Correctivo",S23="Manual"),"25%",""))))))</f>
        <v/>
      </c>
      <c r="U23" s="277"/>
      <c r="V23" s="277"/>
      <c r="W23" s="277"/>
      <c r="X23" s="279" t="str">
        <f>IFERROR(IF(AND(Q22="Probabilidad",Q23="Probabilidad"),(Z22-(+Z22*T23)),IF(Q23="Probabilidad",(I22-(+I22*T23)),IF(Q23="Impacto",Z22,""))),"")</f>
        <v/>
      </c>
      <c r="Y23" s="280" t="str">
        <f t="shared" si="18"/>
        <v/>
      </c>
      <c r="Z23" s="278" t="str">
        <f t="shared" ref="Z23" si="30">+X23</f>
        <v/>
      </c>
      <c r="AA23" s="280" t="str">
        <f t="shared" si="9"/>
        <v/>
      </c>
      <c r="AB23" s="278" t="str">
        <f>IFERROR(IF(AND(Q22="Impacto",Q23="Impacto"),(AB20-(+AB20*T23)),IF(Q23="Impacto",($M$22-(+$M$22*T23)),IF(Q23="Probabilidad",AB20,""))),"")</f>
        <v/>
      </c>
      <c r="AC23" s="281" t="str">
        <f t="shared" ref="AC23" si="31">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77"/>
      <c r="AE23" s="282"/>
      <c r="AF23" s="282"/>
      <c r="AG23" s="283"/>
      <c r="AH23" s="284"/>
      <c r="AI23" s="284"/>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c r="CF23" s="270"/>
      <c r="CG23" s="270"/>
      <c r="CH23" s="270"/>
      <c r="CI23" s="270"/>
      <c r="CJ23" s="270"/>
      <c r="CK23" s="270"/>
      <c r="CL23" s="270"/>
      <c r="CM23" s="270"/>
      <c r="CN23" s="270"/>
      <c r="CO23" s="270"/>
      <c r="CP23" s="270"/>
      <c r="CQ23" s="270"/>
      <c r="CR23" s="270"/>
      <c r="CS23" s="270"/>
      <c r="CT23" s="270"/>
      <c r="CU23" s="270"/>
      <c r="CV23" s="270"/>
      <c r="CW23" s="270"/>
      <c r="CX23" s="270"/>
      <c r="CY23" s="270"/>
      <c r="CZ23" s="270"/>
      <c r="DA23" s="270"/>
      <c r="DB23" s="270"/>
      <c r="DC23" s="270"/>
      <c r="DD23" s="270"/>
      <c r="DE23" s="270"/>
      <c r="DF23" s="270"/>
      <c r="DG23" s="270"/>
      <c r="DH23" s="270"/>
      <c r="DI23" s="270"/>
      <c r="DJ23" s="270"/>
      <c r="DK23" s="270"/>
      <c r="DL23" s="270"/>
      <c r="DM23" s="270"/>
      <c r="DN23" s="270"/>
      <c r="DO23" s="270"/>
      <c r="DP23" s="270"/>
      <c r="DQ23" s="270"/>
      <c r="DR23" s="270"/>
      <c r="DS23" s="270"/>
      <c r="DT23" s="270"/>
      <c r="DU23" s="270"/>
      <c r="DV23" s="270"/>
      <c r="DW23" s="270"/>
      <c r="DX23" s="270"/>
      <c r="DY23" s="270"/>
      <c r="DZ23" s="270"/>
      <c r="EA23" s="270"/>
      <c r="EB23" s="270"/>
      <c r="EC23" s="270"/>
      <c r="ED23" s="270"/>
      <c r="EE23" s="270"/>
      <c r="EF23" s="270"/>
      <c r="EG23" s="270"/>
      <c r="EH23" s="270"/>
      <c r="EI23" s="270"/>
      <c r="EJ23" s="270"/>
      <c r="EK23" s="270"/>
      <c r="EL23" s="270"/>
      <c r="EM23" s="270"/>
      <c r="EN23" s="270"/>
      <c r="EO23" s="270"/>
      <c r="EP23" s="270"/>
      <c r="EQ23" s="270"/>
      <c r="ER23" s="270"/>
      <c r="ES23" s="270"/>
      <c r="ET23" s="270"/>
      <c r="EU23" s="270"/>
      <c r="EV23" s="270"/>
      <c r="EW23" s="270"/>
      <c r="EX23" s="270"/>
      <c r="EY23" s="270"/>
      <c r="EZ23" s="270"/>
      <c r="FA23" s="270"/>
      <c r="FB23" s="270"/>
      <c r="FC23" s="270"/>
      <c r="FD23" s="270"/>
      <c r="FE23" s="270"/>
      <c r="FF23" s="270"/>
      <c r="FG23" s="270"/>
      <c r="FH23" s="270"/>
      <c r="FI23" s="270"/>
      <c r="FJ23" s="270"/>
      <c r="FK23" s="270"/>
      <c r="FL23" s="270"/>
      <c r="FM23" s="270"/>
      <c r="FN23" s="270"/>
      <c r="FO23" s="270"/>
      <c r="FP23" s="270"/>
      <c r="FQ23" s="270"/>
      <c r="FR23" s="270"/>
      <c r="FS23" s="270"/>
      <c r="FT23" s="270"/>
      <c r="FU23" s="270"/>
      <c r="FV23" s="270"/>
      <c r="FW23" s="270"/>
      <c r="FX23" s="270"/>
      <c r="FY23" s="270"/>
      <c r="FZ23" s="270"/>
      <c r="GA23" s="270"/>
      <c r="GB23" s="270"/>
      <c r="GC23" s="270"/>
      <c r="GD23" s="270"/>
      <c r="GE23" s="270"/>
      <c r="GF23" s="270"/>
      <c r="GG23" s="270"/>
      <c r="GH23" s="270"/>
      <c r="GI23" s="270"/>
      <c r="GJ23" s="270"/>
      <c r="GK23" s="270"/>
      <c r="GL23" s="270"/>
      <c r="GM23" s="270"/>
      <c r="GN23" s="270"/>
      <c r="GO23" s="270"/>
      <c r="GP23" s="270"/>
      <c r="GQ23" s="270"/>
      <c r="GR23" s="270"/>
      <c r="GS23" s="270"/>
      <c r="GT23" s="270"/>
      <c r="GU23" s="270"/>
      <c r="GV23" s="270"/>
      <c r="GW23" s="270"/>
      <c r="GX23" s="270"/>
      <c r="GY23" s="270"/>
      <c r="GZ23" s="270"/>
      <c r="HA23" s="270"/>
      <c r="HB23" s="270"/>
      <c r="HC23" s="270"/>
      <c r="HD23" s="270"/>
      <c r="HE23" s="270"/>
      <c r="HF23" s="270"/>
      <c r="HG23" s="270"/>
      <c r="HH23" s="270"/>
      <c r="HI23" s="270"/>
      <c r="HJ23" s="270"/>
      <c r="HK23" s="270"/>
      <c r="HL23" s="270"/>
      <c r="HM23" s="270"/>
      <c r="HN23" s="270"/>
      <c r="HO23" s="270"/>
      <c r="HP23" s="270"/>
      <c r="HQ23" s="270"/>
      <c r="HR23" s="270"/>
      <c r="HS23" s="270"/>
      <c r="HT23" s="270"/>
      <c r="HU23" s="270"/>
      <c r="HV23" s="270"/>
      <c r="HW23" s="270"/>
      <c r="HX23" s="270"/>
      <c r="HY23" s="270"/>
      <c r="HZ23" s="270"/>
      <c r="IA23" s="270"/>
      <c r="IB23" s="270"/>
      <c r="IC23" s="270"/>
      <c r="ID23" s="270"/>
      <c r="IE23" s="270"/>
      <c r="IF23" s="270"/>
      <c r="IG23" s="270"/>
      <c r="IH23" s="270"/>
      <c r="II23" s="270"/>
      <c r="IJ23" s="270"/>
      <c r="IK23" s="270"/>
      <c r="IL23" s="270"/>
      <c r="IM23" s="270"/>
      <c r="IN23" s="270"/>
      <c r="IO23" s="270"/>
      <c r="IP23" s="270"/>
      <c r="IQ23" s="270"/>
      <c r="IR23" s="270"/>
      <c r="IS23" s="270"/>
      <c r="IT23" s="270"/>
      <c r="IU23" s="270"/>
      <c r="IV23" s="270"/>
      <c r="IW23" s="270"/>
      <c r="IX23" s="270"/>
      <c r="IY23" s="270"/>
      <c r="IZ23" s="270"/>
      <c r="JA23" s="270"/>
      <c r="JB23" s="270"/>
      <c r="JC23" s="270"/>
      <c r="JD23" s="270"/>
      <c r="JE23" s="270"/>
      <c r="JF23" s="270"/>
      <c r="JG23" s="270"/>
      <c r="JH23" s="270"/>
      <c r="JI23" s="270"/>
      <c r="JJ23" s="270"/>
      <c r="JK23" s="270"/>
      <c r="JL23" s="270"/>
      <c r="JM23" s="270"/>
      <c r="JN23" s="270"/>
      <c r="JO23" s="270"/>
      <c r="JP23" s="270"/>
      <c r="JQ23" s="270"/>
      <c r="JR23" s="270"/>
      <c r="JS23" s="270"/>
      <c r="JT23" s="270"/>
      <c r="JU23" s="270"/>
      <c r="JV23" s="270"/>
      <c r="JW23" s="270"/>
      <c r="JX23" s="270"/>
      <c r="JY23" s="270"/>
      <c r="JZ23" s="270"/>
      <c r="KA23" s="270"/>
      <c r="KB23" s="270"/>
      <c r="KC23" s="270"/>
      <c r="KD23" s="270"/>
      <c r="KE23" s="270"/>
      <c r="KF23" s="270"/>
      <c r="KG23" s="270"/>
      <c r="KH23" s="270"/>
      <c r="KI23" s="270"/>
      <c r="KJ23" s="270"/>
      <c r="KK23" s="270"/>
      <c r="KL23" s="270"/>
      <c r="KM23" s="270"/>
      <c r="KN23" s="270"/>
      <c r="KO23" s="270"/>
      <c r="KP23" s="270"/>
      <c r="KQ23" s="270"/>
      <c r="KR23" s="270"/>
      <c r="KS23" s="270"/>
      <c r="KT23" s="270"/>
      <c r="KU23" s="270"/>
      <c r="KV23" s="270"/>
      <c r="KW23" s="270"/>
      <c r="KX23" s="270"/>
      <c r="KY23" s="270"/>
      <c r="KZ23" s="270"/>
      <c r="LA23" s="270"/>
      <c r="LB23" s="270"/>
      <c r="LC23" s="270"/>
      <c r="LD23" s="270"/>
      <c r="LE23" s="270"/>
      <c r="LF23" s="270"/>
      <c r="LG23" s="270"/>
      <c r="LH23" s="270"/>
      <c r="LI23" s="270"/>
      <c r="LJ23" s="270"/>
      <c r="LK23" s="270"/>
      <c r="LL23" s="270"/>
      <c r="LM23" s="270"/>
      <c r="LN23" s="270"/>
      <c r="LO23" s="270"/>
      <c r="LP23" s="270"/>
      <c r="LQ23" s="270"/>
      <c r="LR23" s="270"/>
      <c r="LS23" s="270"/>
      <c r="LT23" s="270"/>
      <c r="LU23" s="270"/>
      <c r="LV23" s="270"/>
      <c r="LW23" s="270"/>
      <c r="LX23" s="270"/>
      <c r="LY23" s="270"/>
      <c r="LZ23" s="270"/>
      <c r="MA23" s="270"/>
      <c r="MB23" s="270"/>
      <c r="MC23" s="270"/>
      <c r="MD23" s="270"/>
      <c r="ME23" s="270"/>
      <c r="MF23" s="270"/>
      <c r="MG23" s="270"/>
      <c r="MH23" s="270"/>
      <c r="MI23" s="270"/>
      <c r="MJ23" s="270"/>
      <c r="MK23" s="270"/>
      <c r="ML23" s="270"/>
      <c r="MM23" s="270"/>
      <c r="MN23" s="270"/>
      <c r="MO23" s="270"/>
      <c r="MP23" s="270"/>
      <c r="MQ23" s="270"/>
      <c r="MR23" s="270"/>
      <c r="MS23" s="270"/>
      <c r="MT23" s="270"/>
      <c r="MU23" s="270"/>
      <c r="MV23" s="270"/>
      <c r="MW23" s="270"/>
      <c r="MX23" s="270"/>
      <c r="MY23" s="270"/>
      <c r="MZ23" s="270"/>
      <c r="NA23" s="270"/>
      <c r="NB23" s="270"/>
      <c r="NC23" s="270"/>
      <c r="ND23" s="270"/>
      <c r="NE23" s="270"/>
      <c r="NF23" s="270"/>
      <c r="NG23" s="270"/>
      <c r="NH23" s="270"/>
      <c r="NI23" s="270"/>
      <c r="NJ23" s="270"/>
      <c r="NK23" s="270"/>
      <c r="NL23" s="270"/>
      <c r="NM23" s="270"/>
      <c r="NN23" s="270"/>
      <c r="NO23" s="270"/>
      <c r="NP23" s="270"/>
      <c r="NQ23" s="270"/>
      <c r="NR23" s="270"/>
      <c r="NS23" s="270"/>
      <c r="NT23" s="270"/>
      <c r="NU23" s="270"/>
      <c r="NV23" s="270"/>
      <c r="NW23" s="270"/>
      <c r="NX23" s="270"/>
      <c r="NY23" s="270"/>
      <c r="NZ23" s="270"/>
      <c r="OA23" s="270"/>
      <c r="OB23" s="270"/>
      <c r="OC23" s="270"/>
      <c r="OD23" s="270"/>
      <c r="OE23" s="270"/>
      <c r="OF23" s="270"/>
      <c r="OG23" s="270"/>
      <c r="OH23" s="270"/>
      <c r="OI23" s="270"/>
      <c r="OJ23" s="270"/>
      <c r="OK23" s="270"/>
      <c r="OL23" s="270"/>
      <c r="OM23" s="270"/>
      <c r="ON23" s="270"/>
      <c r="OO23" s="270"/>
      <c r="OP23" s="270"/>
      <c r="OQ23" s="270"/>
      <c r="OR23" s="270"/>
      <c r="OS23" s="270"/>
      <c r="OT23" s="270"/>
      <c r="OU23" s="270"/>
      <c r="OV23" s="270"/>
      <c r="OW23" s="270"/>
      <c r="OX23" s="270"/>
      <c r="OY23" s="270"/>
      <c r="OZ23" s="270"/>
      <c r="PA23" s="270"/>
      <c r="PB23" s="270"/>
      <c r="PC23" s="270"/>
      <c r="PD23" s="270"/>
      <c r="PE23" s="270"/>
      <c r="PF23" s="270"/>
      <c r="PG23" s="270"/>
      <c r="PH23" s="270"/>
      <c r="PI23" s="270"/>
      <c r="PJ23" s="270"/>
      <c r="PK23" s="270"/>
      <c r="PL23" s="270"/>
      <c r="PM23" s="270"/>
      <c r="PN23" s="270"/>
      <c r="PO23" s="270"/>
      <c r="PP23" s="270"/>
      <c r="PQ23" s="270"/>
      <c r="PR23" s="270"/>
      <c r="PS23" s="270"/>
      <c r="PT23" s="270"/>
      <c r="PU23" s="270"/>
      <c r="PV23" s="270"/>
      <c r="PW23" s="270"/>
      <c r="PX23" s="270"/>
      <c r="PY23" s="270"/>
      <c r="PZ23" s="270"/>
      <c r="QA23" s="270"/>
      <c r="QB23" s="270"/>
      <c r="QC23" s="270"/>
      <c r="QD23" s="270"/>
      <c r="QE23" s="270"/>
      <c r="QF23" s="270"/>
      <c r="QG23" s="270"/>
      <c r="QH23" s="270"/>
      <c r="QI23" s="270"/>
      <c r="QJ23" s="270"/>
      <c r="QK23" s="270"/>
      <c r="QL23" s="270"/>
      <c r="QM23" s="270"/>
      <c r="QN23" s="270"/>
      <c r="QO23" s="270"/>
      <c r="QP23" s="270"/>
      <c r="QQ23" s="270"/>
      <c r="QR23" s="270"/>
      <c r="QS23" s="270"/>
      <c r="QT23" s="270"/>
      <c r="QU23" s="270"/>
      <c r="QV23" s="270"/>
      <c r="QW23" s="270"/>
      <c r="QX23" s="270"/>
      <c r="QY23" s="270"/>
      <c r="QZ23" s="302"/>
    </row>
    <row r="24" spans="1:468" s="289" customFormat="1" ht="82.5" customHeight="1" x14ac:dyDescent="0.2">
      <c r="A24" s="274">
        <v>5</v>
      </c>
      <c r="B24" s="327"/>
      <c r="C24" s="327"/>
      <c r="D24" s="327"/>
      <c r="E24" s="327"/>
      <c r="F24" s="282"/>
      <c r="G24" s="283"/>
      <c r="H24" s="326" t="str">
        <f t="shared" ref="H24" si="32">IF(G24&lt;=0,"",IF(G24&lt;=2,"Muy Baja",IF(G24&lt;=24,"Baja",IF(G24&lt;=500,"Media",IF(G24&lt;=5000,"Alta","Muy Alta")))))</f>
        <v/>
      </c>
      <c r="I24" s="320" t="str">
        <f t="shared" ref="I24" si="33">IF(H24="","",IF(H24="Muy Baja",0.2,IF(H24="Baja",0.4,IF(H24="Media",0.6,IF(H24="Alta",0.8,IF(H24="Muy Alta",1,))))))</f>
        <v/>
      </c>
      <c r="J24" s="426"/>
      <c r="K24" s="320">
        <f>IF(NOT(ISERROR(MATCH(J24,'[2]Tabla Impacto'!$B$221:$B$223,0))),'[2]Tabla Impacto'!$F$223&amp;"Por favor no seleccionar los criterios de impacto(Afectación Económica o presupuestal y Pérdida Reputacional)",J24)</f>
        <v>0</v>
      </c>
      <c r="L24" s="326" t="str">
        <f>IF(J24&lt;=0,"",IF(J24&lt;=20%,"Leve",IF(J24&lt;=40%,"Menor",IF(J24&lt;=60%,"Moderado",IF(J24&lt;=80%,"Mayor","Catastrófico")))))</f>
        <v/>
      </c>
      <c r="M24" s="320" t="str">
        <f t="shared" ref="M24" si="34">IF(L24="","",IF(L24="Leve",0.2,IF(L24="Menor",0.4,IF(L24="Moderado",0.6,IF(L24="Mayor",0.8,IF(L24="Catastrófico",1,))))))</f>
        <v/>
      </c>
      <c r="N24" s="325" t="str">
        <f>IF(OR(AND(H24="Muy Baja",L24="Leve"),AND(H24="Muy Baja",L24="Menor"),AND(H24="Baja",L24="Leve")),"Bajo",IF(OR(AND(H24="Muy baja",L24="Moderado"),AND(H24="Baja",L24="Menor"),AND(H24="Baja",L24="Moderado"),AND(H24="Media",L24="Leve"),AND(H24="Media",L24="Menor"),AND(H24="Media",L24="Moderado"),AND(H24="Alta",L24="Leve"),AND(H24="Alta",L24="Menor")),"Moderado",IF(OR(AND(H24="Muy Baja",L24="Mayor"),AND(H24="Baja",L24="Mayor"),AND(H24="Media",L24="Mayor"),AND(H24="Alta",L24="Moderado"),AND(H24="Alta",L24="Mayor"),AND(H24="Muy Alta",L24="Leve"),AND(H24="Muy Alta",L24="Menor"),AND(H24="Muy Alta",L24="Moderado"),AND(H24="Muy Alta",L24="Mayor")),"Alto",IF(OR(AND(H24="Muy Baja",L24="Catastrófico"),AND(H24="Baja",L24="Catastrófico"),AND(H24="Media",L24="Catastrófico"),AND(H24="Alta",L24="Catastrófico"),AND(H24="Muy Alta",L24="Catastrófico")),"Extremo",""))))</f>
        <v/>
      </c>
      <c r="O24" s="328">
        <v>1</v>
      </c>
      <c r="P24" s="332"/>
      <c r="Q24" s="276" t="str">
        <f t="shared" si="7"/>
        <v/>
      </c>
      <c r="R24" s="277"/>
      <c r="S24" s="277"/>
      <c r="T24" s="278" t="str">
        <f>IF(AND(R24="Preventivo",S24="Automático"),"50%",IF(AND(R24="Preventivo",S24="Manual"),"40%",IF(AND(R24="Detectivo",S24="Automático"),"40%",IF(AND(R24="Detectivo",S24="Manual"),"30%",IF(AND(R24="Correctivo",S24="Automático"),"35%",IF(AND(R24="Correctivo",S24="Manual"),"25%",""))))))</f>
        <v/>
      </c>
      <c r="U24" s="277"/>
      <c r="V24" s="277"/>
      <c r="W24" s="277"/>
      <c r="X24" s="279" t="str">
        <f>IFERROR(IF(Q24="Probabilidad",(I24-(+I24*T24)),IF(Q24="Impacto",I24,"")),"")</f>
        <v/>
      </c>
      <c r="Y24" s="280" t="str">
        <f>IFERROR(IF(X24="","",IF(X24&lt;=0.2,"Muy Baja",IF(X24&lt;=0.4,"Baja",IF(X24&lt;=0.6,"Media",IF(X24&lt;=0.8,"Alta","Muy Alta"))))),"")</f>
        <v/>
      </c>
      <c r="Z24" s="278" t="str">
        <f>+X24</f>
        <v/>
      </c>
      <c r="AA24" s="280" t="str">
        <f>IFERROR(IF(AB24="","",IF(AB24&lt;=0.2,"Leve",IF(AB24&lt;=0.4,"Menor",IF(AB24&lt;=0.6,"Moderado",IF(AB24&lt;=0.8,"Mayor","Catastrófico"))))),"")</f>
        <v/>
      </c>
      <c r="AB24" s="278" t="str">
        <f>IFERROR(IF(Q24="Impacto",(M24-(+M24*T24)),IF(Q24="Probabilidad",M24,"")),"")</f>
        <v/>
      </c>
      <c r="AC24" s="281" t="str">
        <f>IFERROR(IF(OR(AND(Y24="Muy Baja",AA24="Leve"),AND(Y24="Muy Baja",AA24="Menor"),AND(Y24="Baja",AA24="Leve")),"Bajo",IF(OR(AND(Y24="Muy baja",AA24="Moderado"),AND(Y24="Baja",AA24="Menor"),AND(Y24="Baja",AA24="Moderado"),AND(Y24="Media",AA24="Leve"),AND(Y24="Media",AA24="Menor"),AND(Y24="Media",AA24="Moderado"),AND(Y24="Alta",AA24="Leve"),AND(Y24="Alta",AA24="Menor")),"Moderado",IF(OR(AND(Y24="Muy Baja",AA24="Mayor"),AND(Y24="Baja",AA24="Mayor"),AND(Y24="Media",AA24="Mayor"),AND(Y24="Alta",AA24="Moderado"),AND(Y24="Alta",AA24="Mayor"),AND(Y24="Muy Alta",AA24="Leve"),AND(Y24="Muy Alta",AA24="Menor"),AND(Y24="Muy Alta",AA24="Moderado"),AND(Y24="Muy Alta",AA24="Mayor")),"Alto",IF(OR(AND(Y24="Muy Baja",AA24="Catastrófico"),AND(Y24="Baja",AA24="Catastrófico"),AND(Y24="Media",AA24="Catastrófico"),AND(Y24="Alta",AA24="Catastrófico"),AND(Y24="Muy Alta",AA24="Catastrófico")),"Extremo","")))),"")</f>
        <v/>
      </c>
      <c r="AD24" s="277"/>
      <c r="AE24" s="282"/>
      <c r="AF24" s="282"/>
      <c r="AG24" s="284"/>
      <c r="AH24" s="284"/>
      <c r="AI24" s="284"/>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70"/>
      <c r="CE24" s="270"/>
      <c r="CF24" s="270"/>
      <c r="CG24" s="270"/>
      <c r="CH24" s="270"/>
      <c r="CI24" s="270"/>
      <c r="CJ24" s="270"/>
      <c r="CK24" s="270"/>
      <c r="CL24" s="270"/>
      <c r="CM24" s="270"/>
      <c r="CN24" s="270"/>
      <c r="CO24" s="270"/>
      <c r="CP24" s="270"/>
      <c r="CQ24" s="270"/>
      <c r="CR24" s="270"/>
      <c r="CS24" s="270"/>
      <c r="CT24" s="270"/>
      <c r="CU24" s="270"/>
      <c r="CV24" s="270"/>
      <c r="CW24" s="270"/>
      <c r="CX24" s="270"/>
      <c r="CY24" s="270"/>
      <c r="CZ24" s="270"/>
      <c r="DA24" s="270"/>
      <c r="DB24" s="270"/>
      <c r="DC24" s="270"/>
      <c r="DD24" s="270"/>
      <c r="DE24" s="270"/>
      <c r="DF24" s="270"/>
      <c r="DG24" s="270"/>
      <c r="DH24" s="270"/>
      <c r="DI24" s="270"/>
      <c r="DJ24" s="270"/>
      <c r="DK24" s="270"/>
      <c r="DL24" s="270"/>
      <c r="DM24" s="270"/>
      <c r="DN24" s="270"/>
      <c r="DO24" s="270"/>
      <c r="DP24" s="270"/>
      <c r="DQ24" s="270"/>
      <c r="DR24" s="270"/>
      <c r="DS24" s="270"/>
      <c r="DT24" s="270"/>
      <c r="DU24" s="270"/>
      <c r="DV24" s="270"/>
      <c r="DW24" s="270"/>
      <c r="DX24" s="270"/>
      <c r="DY24" s="270"/>
      <c r="DZ24" s="270"/>
      <c r="EA24" s="270"/>
      <c r="EB24" s="270"/>
      <c r="EC24" s="270"/>
      <c r="ED24" s="270"/>
      <c r="EE24" s="270"/>
      <c r="EF24" s="270"/>
      <c r="EG24" s="270"/>
      <c r="EH24" s="270"/>
      <c r="EI24" s="270"/>
      <c r="EJ24" s="270"/>
      <c r="EK24" s="270"/>
      <c r="EL24" s="270"/>
      <c r="EM24" s="270"/>
      <c r="EN24" s="270"/>
      <c r="EO24" s="270"/>
      <c r="EP24" s="270"/>
      <c r="EQ24" s="270"/>
      <c r="ER24" s="270"/>
      <c r="ES24" s="270"/>
      <c r="ET24" s="270"/>
      <c r="EU24" s="270"/>
      <c r="EV24" s="270"/>
      <c r="EW24" s="270"/>
      <c r="EX24" s="270"/>
      <c r="EY24" s="270"/>
      <c r="EZ24" s="270"/>
      <c r="FA24" s="270"/>
      <c r="FB24" s="270"/>
      <c r="FC24" s="270"/>
      <c r="FD24" s="270"/>
      <c r="FE24" s="270"/>
      <c r="FF24" s="270"/>
      <c r="FG24" s="270"/>
      <c r="FH24" s="270"/>
      <c r="FI24" s="270"/>
      <c r="FJ24" s="270"/>
      <c r="FK24" s="270"/>
      <c r="FL24" s="270"/>
      <c r="FM24" s="270"/>
      <c r="FN24" s="270"/>
      <c r="FO24" s="270"/>
      <c r="FP24" s="270"/>
      <c r="FQ24" s="270"/>
      <c r="FR24" s="270"/>
      <c r="FS24" s="270"/>
      <c r="FT24" s="270"/>
      <c r="FU24" s="270"/>
      <c r="FV24" s="270"/>
      <c r="FW24" s="270"/>
      <c r="FX24" s="270"/>
      <c r="FY24" s="270"/>
      <c r="FZ24" s="270"/>
      <c r="GA24" s="270"/>
      <c r="GB24" s="270"/>
      <c r="GC24" s="270"/>
      <c r="GD24" s="270"/>
      <c r="GE24" s="270"/>
      <c r="GF24" s="270"/>
      <c r="GG24" s="270"/>
      <c r="GH24" s="270"/>
      <c r="GI24" s="270"/>
      <c r="GJ24" s="270"/>
      <c r="GK24" s="270"/>
      <c r="GL24" s="270"/>
      <c r="GM24" s="270"/>
      <c r="GN24" s="270"/>
      <c r="GO24" s="270"/>
      <c r="GP24" s="270"/>
      <c r="GQ24" s="270"/>
      <c r="GR24" s="270"/>
      <c r="GS24" s="270"/>
      <c r="GT24" s="270"/>
      <c r="GU24" s="270"/>
      <c r="GV24" s="270"/>
      <c r="GW24" s="270"/>
      <c r="GX24" s="270"/>
      <c r="GY24" s="270"/>
      <c r="GZ24" s="270"/>
      <c r="HA24" s="270"/>
      <c r="HB24" s="270"/>
      <c r="HC24" s="270"/>
      <c r="HD24" s="270"/>
      <c r="HE24" s="270"/>
      <c r="HF24" s="270"/>
      <c r="HG24" s="270"/>
      <c r="HH24" s="270"/>
      <c r="HI24" s="270"/>
      <c r="HJ24" s="270"/>
      <c r="HK24" s="270"/>
      <c r="HL24" s="270"/>
      <c r="HM24" s="270"/>
      <c r="HN24" s="270"/>
      <c r="HO24" s="270"/>
      <c r="HP24" s="270"/>
      <c r="HQ24" s="270"/>
      <c r="HR24" s="270"/>
      <c r="HS24" s="270"/>
      <c r="HT24" s="270"/>
      <c r="HU24" s="270"/>
      <c r="HV24" s="270"/>
      <c r="HW24" s="270"/>
      <c r="HX24" s="270"/>
      <c r="HY24" s="270"/>
      <c r="HZ24" s="270"/>
      <c r="IA24" s="270"/>
      <c r="IB24" s="270"/>
      <c r="IC24" s="270"/>
      <c r="ID24" s="270"/>
      <c r="IE24" s="270"/>
      <c r="IF24" s="270"/>
      <c r="IG24" s="270"/>
      <c r="IH24" s="270"/>
      <c r="II24" s="270"/>
      <c r="IJ24" s="270"/>
      <c r="IK24" s="270"/>
      <c r="IL24" s="270"/>
      <c r="IM24" s="270"/>
      <c r="IN24" s="270"/>
      <c r="IO24" s="270"/>
      <c r="IP24" s="270"/>
      <c r="IQ24" s="270"/>
      <c r="IR24" s="270"/>
      <c r="IS24" s="270"/>
      <c r="IT24" s="270"/>
      <c r="IU24" s="270"/>
      <c r="IV24" s="270"/>
      <c r="IW24" s="270"/>
      <c r="IX24" s="270"/>
      <c r="IY24" s="270"/>
      <c r="IZ24" s="270"/>
      <c r="JA24" s="270"/>
      <c r="JB24" s="270"/>
      <c r="JC24" s="270"/>
      <c r="JD24" s="270"/>
      <c r="JE24" s="270"/>
      <c r="JF24" s="270"/>
      <c r="JG24" s="270"/>
      <c r="JH24" s="270"/>
      <c r="JI24" s="270"/>
      <c r="JJ24" s="270"/>
      <c r="JK24" s="270"/>
      <c r="JL24" s="270"/>
      <c r="JM24" s="270"/>
      <c r="JN24" s="270"/>
      <c r="JO24" s="270"/>
      <c r="JP24" s="270"/>
      <c r="JQ24" s="270"/>
      <c r="JR24" s="270"/>
      <c r="JS24" s="270"/>
      <c r="JT24" s="270"/>
      <c r="JU24" s="270"/>
      <c r="JV24" s="270"/>
      <c r="JW24" s="270"/>
      <c r="JX24" s="270"/>
      <c r="JY24" s="270"/>
      <c r="JZ24" s="270"/>
      <c r="KA24" s="270"/>
      <c r="KB24" s="270"/>
      <c r="KC24" s="270"/>
      <c r="KD24" s="270"/>
      <c r="KE24" s="270"/>
      <c r="KF24" s="270"/>
      <c r="KG24" s="270"/>
      <c r="KH24" s="270"/>
      <c r="KI24" s="270"/>
      <c r="KJ24" s="270"/>
      <c r="KK24" s="270"/>
      <c r="KL24" s="270"/>
      <c r="KM24" s="270"/>
      <c r="KN24" s="270"/>
      <c r="KO24" s="270"/>
      <c r="KP24" s="270"/>
      <c r="KQ24" s="270"/>
      <c r="KR24" s="270"/>
      <c r="KS24" s="270"/>
      <c r="KT24" s="270"/>
      <c r="KU24" s="270"/>
      <c r="KV24" s="270"/>
      <c r="KW24" s="270"/>
      <c r="KX24" s="270"/>
      <c r="KY24" s="270"/>
      <c r="KZ24" s="270"/>
      <c r="LA24" s="270"/>
      <c r="LB24" s="270"/>
      <c r="LC24" s="270"/>
      <c r="LD24" s="270"/>
      <c r="LE24" s="270"/>
      <c r="LF24" s="270"/>
      <c r="LG24" s="270"/>
      <c r="LH24" s="270"/>
      <c r="LI24" s="270"/>
      <c r="LJ24" s="270"/>
      <c r="LK24" s="270"/>
      <c r="LL24" s="270"/>
      <c r="LM24" s="270"/>
      <c r="LN24" s="270"/>
      <c r="LO24" s="270"/>
      <c r="LP24" s="270"/>
      <c r="LQ24" s="270"/>
      <c r="LR24" s="270"/>
      <c r="LS24" s="270"/>
      <c r="LT24" s="270"/>
      <c r="LU24" s="270"/>
      <c r="LV24" s="270"/>
      <c r="LW24" s="270"/>
      <c r="LX24" s="270"/>
      <c r="LY24" s="270"/>
      <c r="LZ24" s="270"/>
      <c r="MA24" s="270"/>
      <c r="MB24" s="270"/>
      <c r="MC24" s="270"/>
      <c r="MD24" s="270"/>
      <c r="ME24" s="270"/>
      <c r="MF24" s="270"/>
      <c r="MG24" s="270"/>
      <c r="MH24" s="270"/>
      <c r="MI24" s="270"/>
      <c r="MJ24" s="270"/>
      <c r="MK24" s="270"/>
      <c r="ML24" s="270"/>
      <c r="MM24" s="270"/>
      <c r="MN24" s="270"/>
      <c r="MO24" s="270"/>
      <c r="MP24" s="270"/>
      <c r="MQ24" s="270"/>
      <c r="MR24" s="270"/>
      <c r="MS24" s="270"/>
      <c r="MT24" s="270"/>
      <c r="MU24" s="270"/>
      <c r="MV24" s="270"/>
      <c r="MW24" s="270"/>
      <c r="MX24" s="270"/>
      <c r="MY24" s="270"/>
      <c r="MZ24" s="270"/>
      <c r="NA24" s="270"/>
      <c r="NB24" s="270"/>
      <c r="NC24" s="270"/>
      <c r="ND24" s="270"/>
      <c r="NE24" s="270"/>
      <c r="NF24" s="270"/>
      <c r="NG24" s="270"/>
      <c r="NH24" s="270"/>
      <c r="NI24" s="270"/>
      <c r="NJ24" s="270"/>
      <c r="NK24" s="270"/>
      <c r="NL24" s="270"/>
      <c r="NM24" s="270"/>
      <c r="NN24" s="270"/>
      <c r="NO24" s="270"/>
      <c r="NP24" s="270"/>
      <c r="NQ24" s="270"/>
      <c r="NR24" s="270"/>
      <c r="NS24" s="270"/>
      <c r="NT24" s="270"/>
      <c r="NU24" s="270"/>
      <c r="NV24" s="270"/>
      <c r="NW24" s="270"/>
      <c r="NX24" s="270"/>
      <c r="NY24" s="270"/>
      <c r="NZ24" s="270"/>
      <c r="OA24" s="270"/>
      <c r="OB24" s="270"/>
      <c r="OC24" s="270"/>
      <c r="OD24" s="270"/>
      <c r="OE24" s="270"/>
      <c r="OF24" s="270"/>
      <c r="OG24" s="270"/>
      <c r="OH24" s="270"/>
      <c r="OI24" s="270"/>
      <c r="OJ24" s="270"/>
      <c r="OK24" s="270"/>
      <c r="OL24" s="270"/>
      <c r="OM24" s="270"/>
      <c r="ON24" s="270"/>
      <c r="OO24" s="270"/>
      <c r="OP24" s="270"/>
      <c r="OQ24" s="270"/>
      <c r="OR24" s="270"/>
      <c r="OS24" s="270"/>
      <c r="OT24" s="270"/>
      <c r="OU24" s="270"/>
      <c r="OV24" s="270"/>
      <c r="OW24" s="270"/>
      <c r="OX24" s="270"/>
      <c r="OY24" s="270"/>
      <c r="OZ24" s="270"/>
      <c r="PA24" s="270"/>
      <c r="PB24" s="270"/>
      <c r="PC24" s="270"/>
      <c r="PD24" s="270"/>
      <c r="PE24" s="270"/>
      <c r="PF24" s="270"/>
      <c r="PG24" s="270"/>
      <c r="PH24" s="270"/>
      <c r="PI24" s="270"/>
      <c r="PJ24" s="270"/>
      <c r="PK24" s="270"/>
      <c r="PL24" s="270"/>
      <c r="PM24" s="270"/>
      <c r="PN24" s="270"/>
      <c r="PO24" s="270"/>
      <c r="PP24" s="270"/>
      <c r="PQ24" s="270"/>
      <c r="PR24" s="270"/>
      <c r="PS24" s="270"/>
      <c r="PT24" s="270"/>
      <c r="PU24" s="270"/>
      <c r="PV24" s="270"/>
      <c r="PW24" s="270"/>
      <c r="PX24" s="270"/>
      <c r="PY24" s="270"/>
      <c r="PZ24" s="270"/>
      <c r="QA24" s="270"/>
      <c r="QB24" s="270"/>
      <c r="QC24" s="270"/>
      <c r="QD24" s="270"/>
      <c r="QE24" s="270"/>
      <c r="QF24" s="270"/>
      <c r="QG24" s="270"/>
      <c r="QH24" s="270"/>
      <c r="QI24" s="270"/>
      <c r="QJ24" s="270"/>
      <c r="QK24" s="270"/>
      <c r="QL24" s="270"/>
      <c r="QM24" s="270"/>
      <c r="QN24" s="270"/>
      <c r="QO24" s="270"/>
      <c r="QP24" s="270"/>
      <c r="QQ24" s="270"/>
      <c r="QR24" s="270"/>
      <c r="QS24" s="270"/>
      <c r="QT24" s="270"/>
      <c r="QU24" s="270"/>
      <c r="QV24" s="270"/>
      <c r="QW24" s="270"/>
      <c r="QX24" s="270"/>
      <c r="QY24" s="270"/>
      <c r="QZ24" s="302"/>
    </row>
    <row r="25" spans="1:468" s="289" customFormat="1" ht="69" customHeight="1" x14ac:dyDescent="0.2">
      <c r="A25" s="554">
        <v>6</v>
      </c>
      <c r="B25" s="555"/>
      <c r="C25" s="555"/>
      <c r="D25" s="555"/>
      <c r="E25" s="556"/>
      <c r="F25" s="555"/>
      <c r="G25" s="557"/>
      <c r="H25" s="558" t="str">
        <f t="shared" ref="H25" si="35">IF(G25&lt;=0,"",IF(G25&lt;=2,"Muy Baja",IF(G25&lt;=24,"Baja",IF(G25&lt;=500,"Media",IF(G25&lt;=5000,"Alta","Muy Alta")))))</f>
        <v/>
      </c>
      <c r="I25" s="553" t="str">
        <f t="shared" ref="I25" si="36">IF(H25="","",IF(H25="Muy Baja",0.2,IF(H25="Baja",0.4,IF(H25="Media",0.6,IF(H25="Alta",0.8,IF(H25="Muy Alta",1,))))))</f>
        <v/>
      </c>
      <c r="J25" s="555"/>
      <c r="K25" s="553">
        <f>IF(NOT(ISERROR(MATCH(J25,'[2]Tabla Impacto'!$B$221:$B$223,0))),'[2]Tabla Impacto'!$F$223&amp;"Por favor no seleccionar los criterios de impacto(Afectación Económica o presupuestal y Pérdida Reputacional)",J25)</f>
        <v>0</v>
      </c>
      <c r="L25" s="558" t="str">
        <f t="shared" ref="L25" si="37">IF(J25&lt;=0,"",IF(J25&lt;=10,"Leve",IF(J25&lt;=50,"Menor",IF(J25&lt;=100,"Moderado",IF(J25&lt;=500,"Mayor","Catastrófico")))))</f>
        <v/>
      </c>
      <c r="M25" s="553" t="str">
        <f t="shared" ref="M25" si="38">IF(L25="","",IF(L25="Leve",0.2,IF(L25="Menor",0.4,IF(L25="Moderado",0.6,IF(L25="Mayor",0.8,IF(L25="Catastrófico",1,))))))</f>
        <v/>
      </c>
      <c r="N25" s="552" t="str">
        <f t="shared" ref="N25" si="39">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274">
        <v>1</v>
      </c>
      <c r="P25" s="275"/>
      <c r="Q25" s="276" t="str">
        <f t="shared" si="7"/>
        <v/>
      </c>
      <c r="R25" s="277"/>
      <c r="S25" s="277"/>
      <c r="T25" s="278" t="str">
        <f>IF(AND(R25="Preventivo",S25="Automático"),"50%",IF(AND(R25="Preventivo",S25="Manual"),"40%",IF(AND(R25="Detectivo",S25="Automático"),"40%",IF(AND(R25="Detectivo",S25="Manual"),"30%",IF(AND(R25="Correctivo",S25="Automático"),"35%",IF(AND(R25="Correctivo",S25="Manual"),"25%",""))))))</f>
        <v/>
      </c>
      <c r="U25" s="277"/>
      <c r="V25" s="277"/>
      <c r="W25" s="277"/>
      <c r="X25" s="279" t="str">
        <f>IFERROR(IF(Q25="Probabilidad",(I25-(+I25*T25)),IF(Q25="Impacto",I25,"")),"")</f>
        <v/>
      </c>
      <c r="Y25" s="280" t="str">
        <f>IFERROR(IF(X25="","",IF(X25&lt;=0.2,"Muy Baja",IF(X25&lt;=0.4,"Baja",IF(X25&lt;=0.6,"Media",IF(X25&lt;=0.8,"Alta","Muy Alta"))))),"")</f>
        <v/>
      </c>
      <c r="Z25" s="278" t="str">
        <f>+X25</f>
        <v/>
      </c>
      <c r="AA25" s="280" t="str">
        <f>IFERROR(IF(AB25="","",IF(AB25&lt;=0.2,"Leve",IF(AB25&lt;=0.4,"Menor",IF(AB25&lt;=0.6,"Moderado",IF(AB25&lt;=0.8,"Mayor","Catastrófico"))))),"")</f>
        <v/>
      </c>
      <c r="AB25" s="278" t="str">
        <f>IFERROR(IF(Q25="Impacto",(M25-(+M25*T25)),IF(Q25="Probabilidad",M25,"")),"")</f>
        <v/>
      </c>
      <c r="AC25" s="28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77"/>
      <c r="AE25" s="282"/>
      <c r="AF25" s="282"/>
      <c r="AG25" s="283"/>
      <c r="AH25" s="284"/>
      <c r="AI25" s="284"/>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270"/>
      <c r="BW25" s="270"/>
      <c r="BX25" s="270"/>
      <c r="BY25" s="270"/>
      <c r="BZ25" s="270"/>
      <c r="CA25" s="270"/>
      <c r="CB25" s="270"/>
      <c r="CC25" s="270"/>
      <c r="CD25" s="270"/>
      <c r="CE25" s="270"/>
      <c r="CF25" s="270"/>
      <c r="CG25" s="270"/>
      <c r="CH25" s="270"/>
      <c r="CI25" s="270"/>
      <c r="CJ25" s="270"/>
      <c r="CK25" s="270"/>
      <c r="CL25" s="270"/>
      <c r="CM25" s="270"/>
      <c r="CN25" s="270"/>
      <c r="CO25" s="270"/>
      <c r="CP25" s="270"/>
      <c r="CQ25" s="270"/>
      <c r="CR25" s="270"/>
      <c r="CS25" s="270"/>
      <c r="CT25" s="270"/>
      <c r="CU25" s="270"/>
      <c r="CV25" s="270"/>
      <c r="CW25" s="270"/>
      <c r="CX25" s="270"/>
      <c r="CY25" s="270"/>
      <c r="CZ25" s="270"/>
      <c r="DA25" s="270"/>
      <c r="DB25" s="270"/>
      <c r="DC25" s="270"/>
      <c r="DD25" s="270"/>
      <c r="DE25" s="270"/>
      <c r="DF25" s="270"/>
      <c r="DG25" s="270"/>
      <c r="DH25" s="270"/>
      <c r="DI25" s="270"/>
      <c r="DJ25" s="270"/>
      <c r="DK25" s="270"/>
      <c r="DL25" s="270"/>
      <c r="DM25" s="270"/>
      <c r="DN25" s="270"/>
      <c r="DO25" s="270"/>
      <c r="DP25" s="270"/>
      <c r="DQ25" s="270"/>
      <c r="DR25" s="270"/>
      <c r="DS25" s="270"/>
      <c r="DT25" s="270"/>
      <c r="DU25" s="270"/>
      <c r="DV25" s="270"/>
      <c r="DW25" s="270"/>
      <c r="DX25" s="270"/>
      <c r="DY25" s="270"/>
      <c r="DZ25" s="270"/>
      <c r="EA25" s="270"/>
      <c r="EB25" s="270"/>
      <c r="EC25" s="270"/>
      <c r="ED25" s="270"/>
      <c r="EE25" s="270"/>
      <c r="EF25" s="270"/>
      <c r="EG25" s="270"/>
      <c r="EH25" s="270"/>
      <c r="EI25" s="270"/>
      <c r="EJ25" s="270"/>
      <c r="EK25" s="270"/>
      <c r="EL25" s="270"/>
      <c r="EM25" s="270"/>
      <c r="EN25" s="270"/>
      <c r="EO25" s="270"/>
      <c r="EP25" s="270"/>
      <c r="EQ25" s="270"/>
      <c r="ER25" s="270"/>
      <c r="ES25" s="270"/>
      <c r="ET25" s="270"/>
      <c r="EU25" s="270"/>
      <c r="EV25" s="270"/>
      <c r="EW25" s="270"/>
      <c r="EX25" s="270"/>
      <c r="EY25" s="270"/>
      <c r="EZ25" s="270"/>
      <c r="FA25" s="270"/>
      <c r="FB25" s="270"/>
      <c r="FC25" s="270"/>
      <c r="FD25" s="270"/>
      <c r="FE25" s="270"/>
      <c r="FF25" s="270"/>
      <c r="FG25" s="270"/>
      <c r="FH25" s="270"/>
      <c r="FI25" s="270"/>
      <c r="FJ25" s="270"/>
      <c r="FK25" s="270"/>
      <c r="FL25" s="270"/>
      <c r="FM25" s="270"/>
      <c r="FN25" s="270"/>
      <c r="FO25" s="270"/>
      <c r="FP25" s="270"/>
      <c r="FQ25" s="270"/>
      <c r="FR25" s="270"/>
      <c r="FS25" s="270"/>
      <c r="FT25" s="270"/>
      <c r="FU25" s="270"/>
      <c r="FV25" s="270"/>
      <c r="FW25" s="270"/>
      <c r="FX25" s="270"/>
      <c r="FY25" s="270"/>
      <c r="FZ25" s="270"/>
      <c r="GA25" s="270"/>
      <c r="GB25" s="270"/>
      <c r="GC25" s="270"/>
      <c r="GD25" s="270"/>
      <c r="GE25" s="270"/>
      <c r="GF25" s="270"/>
      <c r="GG25" s="270"/>
      <c r="GH25" s="270"/>
      <c r="GI25" s="270"/>
      <c r="GJ25" s="270"/>
      <c r="GK25" s="270"/>
      <c r="GL25" s="270"/>
      <c r="GM25" s="270"/>
      <c r="GN25" s="270"/>
      <c r="GO25" s="270"/>
      <c r="GP25" s="270"/>
      <c r="GQ25" s="270"/>
      <c r="GR25" s="270"/>
      <c r="GS25" s="270"/>
      <c r="GT25" s="270"/>
      <c r="GU25" s="270"/>
      <c r="GV25" s="270"/>
      <c r="GW25" s="270"/>
      <c r="GX25" s="270"/>
      <c r="GY25" s="270"/>
      <c r="GZ25" s="270"/>
      <c r="HA25" s="270"/>
      <c r="HB25" s="270"/>
      <c r="HC25" s="270"/>
      <c r="HD25" s="270"/>
      <c r="HE25" s="270"/>
      <c r="HF25" s="270"/>
      <c r="HG25" s="270"/>
      <c r="HH25" s="270"/>
      <c r="HI25" s="270"/>
      <c r="HJ25" s="270"/>
      <c r="HK25" s="270"/>
      <c r="HL25" s="270"/>
      <c r="HM25" s="270"/>
      <c r="HN25" s="270"/>
      <c r="HO25" s="270"/>
      <c r="HP25" s="270"/>
      <c r="HQ25" s="270"/>
      <c r="HR25" s="270"/>
      <c r="HS25" s="270"/>
      <c r="HT25" s="270"/>
      <c r="HU25" s="270"/>
      <c r="HV25" s="270"/>
      <c r="HW25" s="270"/>
      <c r="HX25" s="270"/>
      <c r="HY25" s="270"/>
      <c r="HZ25" s="270"/>
      <c r="IA25" s="270"/>
      <c r="IB25" s="270"/>
      <c r="IC25" s="270"/>
      <c r="ID25" s="270"/>
      <c r="IE25" s="270"/>
      <c r="IF25" s="270"/>
      <c r="IG25" s="270"/>
      <c r="IH25" s="270"/>
      <c r="II25" s="270"/>
      <c r="IJ25" s="270"/>
      <c r="IK25" s="270"/>
      <c r="IL25" s="270"/>
      <c r="IM25" s="270"/>
      <c r="IN25" s="270"/>
      <c r="IO25" s="270"/>
      <c r="IP25" s="270"/>
      <c r="IQ25" s="270"/>
      <c r="IR25" s="270"/>
      <c r="IS25" s="270"/>
      <c r="IT25" s="270"/>
      <c r="IU25" s="270"/>
      <c r="IV25" s="270"/>
      <c r="IW25" s="270"/>
      <c r="IX25" s="270"/>
      <c r="IY25" s="270"/>
      <c r="IZ25" s="270"/>
      <c r="JA25" s="270"/>
      <c r="JB25" s="270"/>
      <c r="JC25" s="270"/>
      <c r="JD25" s="270"/>
      <c r="JE25" s="270"/>
      <c r="JF25" s="270"/>
      <c r="JG25" s="270"/>
      <c r="JH25" s="270"/>
      <c r="JI25" s="270"/>
      <c r="JJ25" s="270"/>
      <c r="JK25" s="270"/>
      <c r="JL25" s="270"/>
      <c r="JM25" s="270"/>
      <c r="JN25" s="270"/>
      <c r="JO25" s="270"/>
      <c r="JP25" s="270"/>
      <c r="JQ25" s="270"/>
      <c r="JR25" s="270"/>
      <c r="JS25" s="270"/>
      <c r="JT25" s="270"/>
      <c r="JU25" s="270"/>
      <c r="JV25" s="270"/>
      <c r="JW25" s="270"/>
      <c r="JX25" s="270"/>
      <c r="JY25" s="270"/>
      <c r="JZ25" s="270"/>
      <c r="KA25" s="270"/>
      <c r="KB25" s="270"/>
      <c r="KC25" s="270"/>
      <c r="KD25" s="270"/>
      <c r="KE25" s="270"/>
      <c r="KF25" s="270"/>
      <c r="KG25" s="270"/>
      <c r="KH25" s="270"/>
      <c r="KI25" s="270"/>
      <c r="KJ25" s="270"/>
      <c r="KK25" s="270"/>
      <c r="KL25" s="270"/>
      <c r="KM25" s="270"/>
      <c r="KN25" s="270"/>
      <c r="KO25" s="270"/>
      <c r="KP25" s="270"/>
      <c r="KQ25" s="270"/>
      <c r="KR25" s="270"/>
      <c r="KS25" s="270"/>
      <c r="KT25" s="270"/>
      <c r="KU25" s="270"/>
      <c r="KV25" s="270"/>
      <c r="KW25" s="270"/>
      <c r="KX25" s="270"/>
      <c r="KY25" s="270"/>
      <c r="KZ25" s="270"/>
      <c r="LA25" s="270"/>
      <c r="LB25" s="270"/>
      <c r="LC25" s="270"/>
      <c r="LD25" s="270"/>
      <c r="LE25" s="270"/>
      <c r="LF25" s="270"/>
      <c r="LG25" s="270"/>
      <c r="LH25" s="270"/>
      <c r="LI25" s="270"/>
      <c r="LJ25" s="270"/>
      <c r="LK25" s="270"/>
      <c r="LL25" s="270"/>
      <c r="LM25" s="270"/>
      <c r="LN25" s="270"/>
      <c r="LO25" s="270"/>
      <c r="LP25" s="270"/>
      <c r="LQ25" s="270"/>
      <c r="LR25" s="270"/>
      <c r="LS25" s="270"/>
      <c r="LT25" s="270"/>
      <c r="LU25" s="270"/>
      <c r="LV25" s="270"/>
      <c r="LW25" s="270"/>
      <c r="LX25" s="270"/>
      <c r="LY25" s="270"/>
      <c r="LZ25" s="270"/>
      <c r="MA25" s="270"/>
      <c r="MB25" s="270"/>
      <c r="MC25" s="270"/>
      <c r="MD25" s="270"/>
      <c r="ME25" s="270"/>
      <c r="MF25" s="270"/>
      <c r="MG25" s="270"/>
      <c r="MH25" s="270"/>
      <c r="MI25" s="270"/>
      <c r="MJ25" s="270"/>
      <c r="MK25" s="270"/>
      <c r="ML25" s="270"/>
      <c r="MM25" s="270"/>
      <c r="MN25" s="270"/>
      <c r="MO25" s="270"/>
      <c r="MP25" s="270"/>
      <c r="MQ25" s="270"/>
      <c r="MR25" s="270"/>
      <c r="MS25" s="270"/>
      <c r="MT25" s="270"/>
      <c r="MU25" s="270"/>
      <c r="MV25" s="270"/>
      <c r="MW25" s="270"/>
      <c r="MX25" s="270"/>
      <c r="MY25" s="270"/>
      <c r="MZ25" s="270"/>
      <c r="NA25" s="270"/>
      <c r="NB25" s="270"/>
      <c r="NC25" s="270"/>
      <c r="ND25" s="270"/>
      <c r="NE25" s="270"/>
      <c r="NF25" s="270"/>
      <c r="NG25" s="270"/>
      <c r="NH25" s="270"/>
      <c r="NI25" s="270"/>
      <c r="NJ25" s="270"/>
      <c r="NK25" s="270"/>
      <c r="NL25" s="270"/>
      <c r="NM25" s="270"/>
      <c r="NN25" s="270"/>
      <c r="NO25" s="270"/>
      <c r="NP25" s="270"/>
      <c r="NQ25" s="270"/>
      <c r="NR25" s="270"/>
      <c r="NS25" s="270"/>
      <c r="NT25" s="270"/>
      <c r="NU25" s="270"/>
      <c r="NV25" s="270"/>
      <c r="NW25" s="270"/>
      <c r="NX25" s="270"/>
      <c r="NY25" s="270"/>
      <c r="NZ25" s="270"/>
      <c r="OA25" s="270"/>
      <c r="OB25" s="270"/>
      <c r="OC25" s="270"/>
      <c r="OD25" s="270"/>
      <c r="OE25" s="270"/>
      <c r="OF25" s="270"/>
      <c r="OG25" s="270"/>
      <c r="OH25" s="270"/>
      <c r="OI25" s="270"/>
      <c r="OJ25" s="270"/>
      <c r="OK25" s="270"/>
      <c r="OL25" s="270"/>
      <c r="OM25" s="270"/>
      <c r="ON25" s="270"/>
      <c r="OO25" s="270"/>
      <c r="OP25" s="270"/>
      <c r="OQ25" s="270"/>
      <c r="OR25" s="270"/>
      <c r="OS25" s="270"/>
      <c r="OT25" s="270"/>
      <c r="OU25" s="270"/>
      <c r="OV25" s="270"/>
      <c r="OW25" s="270"/>
      <c r="OX25" s="270"/>
      <c r="OY25" s="270"/>
      <c r="OZ25" s="270"/>
      <c r="PA25" s="270"/>
      <c r="PB25" s="270"/>
      <c r="PC25" s="270"/>
      <c r="PD25" s="270"/>
      <c r="PE25" s="270"/>
      <c r="PF25" s="270"/>
      <c r="PG25" s="270"/>
      <c r="PH25" s="270"/>
      <c r="PI25" s="270"/>
      <c r="PJ25" s="270"/>
      <c r="PK25" s="270"/>
      <c r="PL25" s="270"/>
      <c r="PM25" s="270"/>
      <c r="PN25" s="270"/>
      <c r="PO25" s="270"/>
      <c r="PP25" s="270"/>
      <c r="PQ25" s="270"/>
      <c r="PR25" s="270"/>
      <c r="PS25" s="270"/>
      <c r="PT25" s="270"/>
      <c r="PU25" s="270"/>
      <c r="PV25" s="270"/>
      <c r="PW25" s="270"/>
      <c r="PX25" s="270"/>
      <c r="PY25" s="270"/>
      <c r="PZ25" s="270"/>
      <c r="QA25" s="270"/>
      <c r="QB25" s="270"/>
      <c r="QC25" s="270"/>
      <c r="QD25" s="270"/>
      <c r="QE25" s="270"/>
      <c r="QF25" s="270"/>
      <c r="QG25" s="270"/>
      <c r="QH25" s="270"/>
      <c r="QI25" s="270"/>
      <c r="QJ25" s="270"/>
      <c r="QK25" s="270"/>
      <c r="QL25" s="270"/>
      <c r="QM25" s="270"/>
      <c r="QN25" s="270"/>
      <c r="QO25" s="270"/>
      <c r="QP25" s="270"/>
      <c r="QQ25" s="270"/>
      <c r="QR25" s="270"/>
      <c r="QS25" s="270"/>
      <c r="QT25" s="270"/>
      <c r="QU25" s="270"/>
      <c r="QV25" s="270"/>
      <c r="QW25" s="270"/>
      <c r="QX25" s="270"/>
      <c r="QY25" s="270"/>
      <c r="QZ25" s="302"/>
    </row>
    <row r="26" spans="1:468" s="289" customFormat="1" ht="69" customHeight="1" x14ac:dyDescent="0.2">
      <c r="A26" s="554"/>
      <c r="B26" s="555"/>
      <c r="C26" s="555"/>
      <c r="D26" s="555"/>
      <c r="E26" s="556"/>
      <c r="F26" s="555"/>
      <c r="G26" s="557"/>
      <c r="H26" s="558"/>
      <c r="I26" s="553"/>
      <c r="J26" s="555"/>
      <c r="K26" s="553">
        <f ca="1">IF(NOT(ISERROR(MATCH(J26,_xlfn.ANCHORARRAY(E29),0))),#REF!&amp;"Por favor no seleccionar los criterios de impacto",J26)</f>
        <v>0</v>
      </c>
      <c r="L26" s="558"/>
      <c r="M26" s="553"/>
      <c r="N26" s="552"/>
      <c r="O26" s="274">
        <v>2</v>
      </c>
      <c r="P26" s="275"/>
      <c r="Q26" s="276" t="str">
        <f t="shared" si="7"/>
        <v/>
      </c>
      <c r="R26" s="277"/>
      <c r="S26" s="277"/>
      <c r="T26" s="278" t="str">
        <f t="shared" ref="T26" si="40">IF(AND(R26="Preventivo",S26="Automático"),"50%",IF(AND(R26="Preventivo",S26="Manual"),"40%",IF(AND(R26="Detectivo",S26="Automático"),"40%",IF(AND(R26="Detectivo",S26="Manual"),"30%",IF(AND(R26="Correctivo",S26="Automático"),"35%",IF(AND(R26="Correctivo",S26="Manual"),"25%",""))))))</f>
        <v/>
      </c>
      <c r="U26" s="277"/>
      <c r="V26" s="277"/>
      <c r="W26" s="277"/>
      <c r="X26" s="279" t="str">
        <f>IFERROR(IF(AND(Q25="Probabilidad",Q26="Probabilidad"),(Z25-(+Z25*T26)),IF(Q26="Probabilidad",(I25-(+I25*T26)),IF(Q26="Impacto",Z25,""))),"")</f>
        <v/>
      </c>
      <c r="Y26" s="280" t="str">
        <f t="shared" si="18"/>
        <v/>
      </c>
      <c r="Z26" s="278" t="str">
        <f t="shared" ref="Z26" si="41">+X26</f>
        <v/>
      </c>
      <c r="AA26" s="280" t="str">
        <f t="shared" si="9"/>
        <v/>
      </c>
      <c r="AB26" s="278" t="str">
        <f>IFERROR(IF(AND(Q25="Impacto",Q26="Impacto"),(AB24-(+AB24*T26)),IF(Q26="Impacto",($M$25-(+$M$25*T26)),IF(Q26="Probabilidad",AB24,""))),"")</f>
        <v/>
      </c>
      <c r="AC26" s="281" t="str">
        <f t="shared" ref="AC26" si="4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77"/>
      <c r="AE26" s="282"/>
      <c r="AF26" s="282"/>
      <c r="AG26" s="283"/>
      <c r="AH26" s="284"/>
      <c r="AI26" s="284"/>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c r="DP26" s="270"/>
      <c r="DQ26" s="270"/>
      <c r="DR26" s="270"/>
      <c r="DS26" s="270"/>
      <c r="DT26" s="270"/>
      <c r="DU26" s="270"/>
      <c r="DV26" s="270"/>
      <c r="DW26" s="270"/>
      <c r="DX26" s="270"/>
      <c r="DY26" s="270"/>
      <c r="DZ26" s="270"/>
      <c r="EA26" s="270"/>
      <c r="EB26" s="270"/>
      <c r="EC26" s="270"/>
      <c r="ED26" s="270"/>
      <c r="EE26" s="270"/>
      <c r="EF26" s="270"/>
      <c r="EG26" s="270"/>
      <c r="EH26" s="270"/>
      <c r="EI26" s="270"/>
      <c r="EJ26" s="270"/>
      <c r="EK26" s="270"/>
      <c r="EL26" s="270"/>
      <c r="EM26" s="270"/>
      <c r="EN26" s="270"/>
      <c r="EO26" s="270"/>
      <c r="EP26" s="270"/>
      <c r="EQ26" s="270"/>
      <c r="ER26" s="270"/>
      <c r="ES26" s="270"/>
      <c r="ET26" s="270"/>
      <c r="EU26" s="270"/>
      <c r="EV26" s="270"/>
      <c r="EW26" s="270"/>
      <c r="EX26" s="270"/>
      <c r="EY26" s="270"/>
      <c r="EZ26" s="270"/>
      <c r="FA26" s="270"/>
      <c r="FB26" s="270"/>
      <c r="FC26" s="270"/>
      <c r="FD26" s="270"/>
      <c r="FE26" s="270"/>
      <c r="FF26" s="270"/>
      <c r="FG26" s="270"/>
      <c r="FH26" s="270"/>
      <c r="FI26" s="270"/>
      <c r="FJ26" s="270"/>
      <c r="FK26" s="270"/>
      <c r="FL26" s="270"/>
      <c r="FM26" s="270"/>
      <c r="FN26" s="270"/>
      <c r="FO26" s="270"/>
      <c r="FP26" s="270"/>
      <c r="FQ26" s="270"/>
      <c r="FR26" s="270"/>
      <c r="FS26" s="270"/>
      <c r="FT26" s="270"/>
      <c r="FU26" s="270"/>
      <c r="FV26" s="270"/>
      <c r="FW26" s="270"/>
      <c r="FX26" s="270"/>
      <c r="FY26" s="270"/>
      <c r="FZ26" s="270"/>
      <c r="GA26" s="270"/>
      <c r="GB26" s="270"/>
      <c r="GC26" s="270"/>
      <c r="GD26" s="270"/>
      <c r="GE26" s="270"/>
      <c r="GF26" s="270"/>
      <c r="GG26" s="270"/>
      <c r="GH26" s="270"/>
      <c r="GI26" s="270"/>
      <c r="GJ26" s="270"/>
      <c r="GK26" s="270"/>
      <c r="GL26" s="270"/>
      <c r="GM26" s="270"/>
      <c r="GN26" s="270"/>
      <c r="GO26" s="270"/>
      <c r="GP26" s="270"/>
      <c r="GQ26" s="270"/>
      <c r="GR26" s="270"/>
      <c r="GS26" s="270"/>
      <c r="GT26" s="270"/>
      <c r="GU26" s="270"/>
      <c r="GV26" s="270"/>
      <c r="GW26" s="270"/>
      <c r="GX26" s="270"/>
      <c r="GY26" s="270"/>
      <c r="GZ26" s="270"/>
      <c r="HA26" s="270"/>
      <c r="HB26" s="270"/>
      <c r="HC26" s="270"/>
      <c r="HD26" s="270"/>
      <c r="HE26" s="270"/>
      <c r="HF26" s="270"/>
      <c r="HG26" s="270"/>
      <c r="HH26" s="270"/>
      <c r="HI26" s="270"/>
      <c r="HJ26" s="270"/>
      <c r="HK26" s="270"/>
      <c r="HL26" s="270"/>
      <c r="HM26" s="270"/>
      <c r="HN26" s="270"/>
      <c r="HO26" s="270"/>
      <c r="HP26" s="270"/>
      <c r="HQ26" s="270"/>
      <c r="HR26" s="270"/>
      <c r="HS26" s="270"/>
      <c r="HT26" s="270"/>
      <c r="HU26" s="270"/>
      <c r="HV26" s="270"/>
      <c r="HW26" s="270"/>
      <c r="HX26" s="270"/>
      <c r="HY26" s="270"/>
      <c r="HZ26" s="270"/>
      <c r="IA26" s="270"/>
      <c r="IB26" s="270"/>
      <c r="IC26" s="270"/>
      <c r="ID26" s="270"/>
      <c r="IE26" s="270"/>
      <c r="IF26" s="270"/>
      <c r="IG26" s="270"/>
      <c r="IH26" s="270"/>
      <c r="II26" s="270"/>
      <c r="IJ26" s="270"/>
      <c r="IK26" s="270"/>
      <c r="IL26" s="270"/>
      <c r="IM26" s="270"/>
      <c r="IN26" s="270"/>
      <c r="IO26" s="270"/>
      <c r="IP26" s="270"/>
      <c r="IQ26" s="270"/>
      <c r="IR26" s="270"/>
      <c r="IS26" s="270"/>
      <c r="IT26" s="270"/>
      <c r="IU26" s="270"/>
      <c r="IV26" s="270"/>
      <c r="IW26" s="270"/>
      <c r="IX26" s="270"/>
      <c r="IY26" s="270"/>
      <c r="IZ26" s="270"/>
      <c r="JA26" s="270"/>
      <c r="JB26" s="270"/>
      <c r="JC26" s="270"/>
      <c r="JD26" s="270"/>
      <c r="JE26" s="270"/>
      <c r="JF26" s="270"/>
      <c r="JG26" s="270"/>
      <c r="JH26" s="270"/>
      <c r="JI26" s="270"/>
      <c r="JJ26" s="270"/>
      <c r="JK26" s="270"/>
      <c r="JL26" s="270"/>
      <c r="JM26" s="270"/>
      <c r="JN26" s="270"/>
      <c r="JO26" s="270"/>
      <c r="JP26" s="270"/>
      <c r="JQ26" s="270"/>
      <c r="JR26" s="270"/>
      <c r="JS26" s="270"/>
      <c r="JT26" s="270"/>
      <c r="JU26" s="270"/>
      <c r="JV26" s="270"/>
      <c r="JW26" s="270"/>
      <c r="JX26" s="270"/>
      <c r="JY26" s="270"/>
      <c r="JZ26" s="270"/>
      <c r="KA26" s="270"/>
      <c r="KB26" s="270"/>
      <c r="KC26" s="270"/>
      <c r="KD26" s="270"/>
      <c r="KE26" s="270"/>
      <c r="KF26" s="270"/>
      <c r="KG26" s="270"/>
      <c r="KH26" s="270"/>
      <c r="KI26" s="270"/>
      <c r="KJ26" s="270"/>
      <c r="KK26" s="270"/>
      <c r="KL26" s="270"/>
      <c r="KM26" s="270"/>
      <c r="KN26" s="270"/>
      <c r="KO26" s="270"/>
      <c r="KP26" s="270"/>
      <c r="KQ26" s="270"/>
      <c r="KR26" s="270"/>
      <c r="KS26" s="270"/>
      <c r="KT26" s="270"/>
      <c r="KU26" s="270"/>
      <c r="KV26" s="270"/>
      <c r="KW26" s="270"/>
      <c r="KX26" s="270"/>
      <c r="KY26" s="270"/>
      <c r="KZ26" s="270"/>
      <c r="LA26" s="270"/>
      <c r="LB26" s="270"/>
      <c r="LC26" s="270"/>
      <c r="LD26" s="270"/>
      <c r="LE26" s="270"/>
      <c r="LF26" s="270"/>
      <c r="LG26" s="270"/>
      <c r="LH26" s="270"/>
      <c r="LI26" s="270"/>
      <c r="LJ26" s="270"/>
      <c r="LK26" s="270"/>
      <c r="LL26" s="270"/>
      <c r="LM26" s="270"/>
      <c r="LN26" s="270"/>
      <c r="LO26" s="270"/>
      <c r="LP26" s="270"/>
      <c r="LQ26" s="270"/>
      <c r="LR26" s="270"/>
      <c r="LS26" s="270"/>
      <c r="LT26" s="270"/>
      <c r="LU26" s="270"/>
      <c r="LV26" s="270"/>
      <c r="LW26" s="270"/>
      <c r="LX26" s="270"/>
      <c r="LY26" s="270"/>
      <c r="LZ26" s="270"/>
      <c r="MA26" s="270"/>
      <c r="MB26" s="270"/>
      <c r="MC26" s="270"/>
      <c r="MD26" s="270"/>
      <c r="ME26" s="270"/>
      <c r="MF26" s="270"/>
      <c r="MG26" s="270"/>
      <c r="MH26" s="270"/>
      <c r="MI26" s="270"/>
      <c r="MJ26" s="270"/>
      <c r="MK26" s="270"/>
      <c r="ML26" s="270"/>
      <c r="MM26" s="270"/>
      <c r="MN26" s="270"/>
      <c r="MO26" s="270"/>
      <c r="MP26" s="270"/>
      <c r="MQ26" s="270"/>
      <c r="MR26" s="270"/>
      <c r="MS26" s="270"/>
      <c r="MT26" s="270"/>
      <c r="MU26" s="270"/>
      <c r="MV26" s="270"/>
      <c r="MW26" s="270"/>
      <c r="MX26" s="270"/>
      <c r="MY26" s="270"/>
      <c r="MZ26" s="270"/>
      <c r="NA26" s="270"/>
      <c r="NB26" s="270"/>
      <c r="NC26" s="270"/>
      <c r="ND26" s="270"/>
      <c r="NE26" s="270"/>
      <c r="NF26" s="270"/>
      <c r="NG26" s="270"/>
      <c r="NH26" s="270"/>
      <c r="NI26" s="270"/>
      <c r="NJ26" s="270"/>
      <c r="NK26" s="270"/>
      <c r="NL26" s="270"/>
      <c r="NM26" s="270"/>
      <c r="NN26" s="270"/>
      <c r="NO26" s="270"/>
      <c r="NP26" s="270"/>
      <c r="NQ26" s="270"/>
      <c r="NR26" s="270"/>
      <c r="NS26" s="270"/>
      <c r="NT26" s="270"/>
      <c r="NU26" s="270"/>
      <c r="NV26" s="270"/>
      <c r="NW26" s="270"/>
      <c r="NX26" s="270"/>
      <c r="NY26" s="270"/>
      <c r="NZ26" s="270"/>
      <c r="OA26" s="270"/>
      <c r="OB26" s="270"/>
      <c r="OC26" s="270"/>
      <c r="OD26" s="270"/>
      <c r="OE26" s="270"/>
      <c r="OF26" s="270"/>
      <c r="OG26" s="270"/>
      <c r="OH26" s="270"/>
      <c r="OI26" s="270"/>
      <c r="OJ26" s="270"/>
      <c r="OK26" s="270"/>
      <c r="OL26" s="270"/>
      <c r="OM26" s="270"/>
      <c r="ON26" s="270"/>
      <c r="OO26" s="270"/>
      <c r="OP26" s="270"/>
      <c r="OQ26" s="270"/>
      <c r="OR26" s="270"/>
      <c r="OS26" s="270"/>
      <c r="OT26" s="270"/>
      <c r="OU26" s="270"/>
      <c r="OV26" s="270"/>
      <c r="OW26" s="270"/>
      <c r="OX26" s="270"/>
      <c r="OY26" s="270"/>
      <c r="OZ26" s="270"/>
      <c r="PA26" s="270"/>
      <c r="PB26" s="270"/>
      <c r="PC26" s="270"/>
      <c r="PD26" s="270"/>
      <c r="PE26" s="270"/>
      <c r="PF26" s="270"/>
      <c r="PG26" s="270"/>
      <c r="PH26" s="270"/>
      <c r="PI26" s="270"/>
      <c r="PJ26" s="270"/>
      <c r="PK26" s="270"/>
      <c r="PL26" s="270"/>
      <c r="PM26" s="270"/>
      <c r="PN26" s="270"/>
      <c r="PO26" s="270"/>
      <c r="PP26" s="270"/>
      <c r="PQ26" s="270"/>
      <c r="PR26" s="270"/>
      <c r="PS26" s="270"/>
      <c r="PT26" s="270"/>
      <c r="PU26" s="270"/>
      <c r="PV26" s="270"/>
      <c r="PW26" s="270"/>
      <c r="PX26" s="270"/>
      <c r="PY26" s="270"/>
      <c r="PZ26" s="270"/>
      <c r="QA26" s="270"/>
      <c r="QB26" s="270"/>
      <c r="QC26" s="270"/>
      <c r="QD26" s="270"/>
      <c r="QE26" s="270"/>
      <c r="QF26" s="270"/>
      <c r="QG26" s="270"/>
      <c r="QH26" s="270"/>
      <c r="QI26" s="270"/>
      <c r="QJ26" s="270"/>
      <c r="QK26" s="270"/>
      <c r="QL26" s="270"/>
      <c r="QM26" s="270"/>
      <c r="QN26" s="270"/>
      <c r="QO26" s="270"/>
      <c r="QP26" s="270"/>
      <c r="QQ26" s="270"/>
      <c r="QR26" s="270"/>
      <c r="QS26" s="270"/>
      <c r="QT26" s="270"/>
      <c r="QU26" s="270"/>
      <c r="QV26" s="270"/>
      <c r="QW26" s="270"/>
      <c r="QX26" s="270"/>
      <c r="QY26" s="270"/>
      <c r="QZ26" s="302"/>
    </row>
    <row r="27" spans="1:468" s="289" customFormat="1" ht="69" customHeight="1" x14ac:dyDescent="0.2">
      <c r="A27" s="554">
        <v>7</v>
      </c>
      <c r="B27" s="555"/>
      <c r="C27" s="555"/>
      <c r="D27" s="555"/>
      <c r="E27" s="556"/>
      <c r="F27" s="555"/>
      <c r="G27" s="557"/>
      <c r="H27" s="558" t="str">
        <f t="shared" ref="H27" si="43">IF(G27&lt;=0,"",IF(G27&lt;=2,"Muy Baja",IF(G27&lt;=24,"Baja",IF(G27&lt;=500,"Media",IF(G27&lt;=5000,"Alta","Muy Alta")))))</f>
        <v/>
      </c>
      <c r="I27" s="553" t="str">
        <f t="shared" ref="I27" si="44">IF(H27="","",IF(H27="Muy Baja",0.2,IF(H27="Baja",0.4,IF(H27="Media",0.6,IF(H27="Alta",0.8,IF(H27="Muy Alta",1,))))))</f>
        <v/>
      </c>
      <c r="J27" s="555"/>
      <c r="K27" s="553">
        <f>IF(NOT(ISERROR(MATCH(J27,'[2]Tabla Impacto'!$B$221:$B$223,0))),'[2]Tabla Impacto'!$F$223&amp;"Por favor no seleccionar los criterios de impacto(Afectación Económica o presupuestal y Pérdida Reputacional)",J27)</f>
        <v>0</v>
      </c>
      <c r="L27" s="558" t="str">
        <f t="shared" ref="L27" si="45">IF(J27&lt;=0,"",IF(J27&lt;=10,"Leve",IF(J27&lt;=50,"Menor",IF(J27&lt;=100,"Moderado",IF(J27&lt;=500,"Mayor","Catastrófico")))))</f>
        <v/>
      </c>
      <c r="M27" s="553" t="str">
        <f t="shared" ref="M27" si="46">IF(L27="","",IF(L27="Leve",0.2,IF(L27="Menor",0.4,IF(L27="Moderado",0.6,IF(L27="Mayor",0.8,IF(L27="Catastrófico",1,))))))</f>
        <v/>
      </c>
      <c r="N27" s="552" t="str">
        <f t="shared" ref="N27" si="47">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274">
        <v>1</v>
      </c>
      <c r="P27" s="275"/>
      <c r="Q27" s="276" t="str">
        <f t="shared" si="7"/>
        <v/>
      </c>
      <c r="R27" s="277"/>
      <c r="S27" s="277"/>
      <c r="T27" s="278" t="str">
        <f>IF(AND(R27="Preventivo",S27="Automático"),"50%",IF(AND(R27="Preventivo",S27="Manual"),"40%",IF(AND(R27="Detectivo",S27="Automático"),"40%",IF(AND(R27="Detectivo",S27="Manual"),"30%",IF(AND(R27="Correctivo",S27="Automático"),"35%",IF(AND(R27="Correctivo",S27="Manual"),"25%",""))))))</f>
        <v/>
      </c>
      <c r="U27" s="277"/>
      <c r="V27" s="277"/>
      <c r="W27" s="277"/>
      <c r="X27" s="279" t="str">
        <f>IFERROR(IF(Q27="Probabilidad",(I27-(+I27*T27)),IF(Q27="Impacto",I27,"")),"")</f>
        <v/>
      </c>
      <c r="Y27" s="280" t="str">
        <f>IFERROR(IF(X27="","",IF(X27&lt;=0.2,"Muy Baja",IF(X27&lt;=0.4,"Baja",IF(X27&lt;=0.6,"Media",IF(X27&lt;=0.8,"Alta","Muy Alta"))))),"")</f>
        <v/>
      </c>
      <c r="Z27" s="278" t="str">
        <f>+X27</f>
        <v/>
      </c>
      <c r="AA27" s="280" t="str">
        <f>IFERROR(IF(AB27="","",IF(AB27&lt;=0.2,"Leve",IF(AB27&lt;=0.4,"Menor",IF(AB27&lt;=0.6,"Moderado",IF(AB27&lt;=0.8,"Mayor","Catastrófico"))))),"")</f>
        <v/>
      </c>
      <c r="AB27" s="278" t="str">
        <f>IFERROR(IF(Q27="Impacto",(M27-(+M27*T27)),IF(Q27="Probabilidad",M27,"")),"")</f>
        <v/>
      </c>
      <c r="AC27" s="281" t="str">
        <f>IFERROR(IF(OR(AND(Y27="Muy Baja",AA27="Leve"),AND(Y27="Muy Baja",AA27="Menor"),AND(Y27="Baja",AA27="Leve")),"Bajo",IF(OR(AND(Y27="Muy baja",AA27="Moderado"),AND(Y27="Baja",AA27="Menor"),AND(Y27="Baja",AA27="Moderado"),AND(Y27="Media",AA27="Leve"),AND(Y27="Media",AA27="Menor"),AND(Y27="Media",AA27="Moderado"),AND(Y27="Alta",AA27="Leve"),AND(Y27="Alta",AA27="Menor")),"Moderado",IF(OR(AND(Y27="Muy Baja",AA27="Mayor"),AND(Y27="Baja",AA27="Mayor"),AND(Y27="Media",AA27="Mayor"),AND(Y27="Alta",AA27="Moderado"),AND(Y27="Alta",AA27="Mayor"),AND(Y27="Muy Alta",AA27="Leve"),AND(Y27="Muy Alta",AA27="Menor"),AND(Y27="Muy Alta",AA27="Moderado"),AND(Y27="Muy Alta",AA27="Mayor")),"Alto",IF(OR(AND(Y27="Muy Baja",AA27="Catastrófico"),AND(Y27="Baja",AA27="Catastrófico"),AND(Y27="Media",AA27="Catastrófico"),AND(Y27="Alta",AA27="Catastrófico"),AND(Y27="Muy Alta",AA27="Catastrófico")),"Extremo","")))),"")</f>
        <v/>
      </c>
      <c r="AD27" s="277"/>
      <c r="AE27" s="282"/>
      <c r="AF27" s="282"/>
      <c r="AG27" s="283"/>
      <c r="AH27" s="284"/>
      <c r="AI27" s="284"/>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c r="DO27" s="270"/>
      <c r="DP27" s="270"/>
      <c r="DQ27" s="270"/>
      <c r="DR27" s="270"/>
      <c r="DS27" s="270"/>
      <c r="DT27" s="270"/>
      <c r="DU27" s="270"/>
      <c r="DV27" s="270"/>
      <c r="DW27" s="270"/>
      <c r="DX27" s="270"/>
      <c r="DY27" s="270"/>
      <c r="DZ27" s="270"/>
      <c r="EA27" s="270"/>
      <c r="EB27" s="270"/>
      <c r="EC27" s="270"/>
      <c r="ED27" s="270"/>
      <c r="EE27" s="270"/>
      <c r="EF27" s="270"/>
      <c r="EG27" s="270"/>
      <c r="EH27" s="270"/>
      <c r="EI27" s="270"/>
      <c r="EJ27" s="270"/>
      <c r="EK27" s="270"/>
      <c r="EL27" s="270"/>
      <c r="EM27" s="270"/>
      <c r="EN27" s="270"/>
      <c r="EO27" s="270"/>
      <c r="EP27" s="270"/>
      <c r="EQ27" s="270"/>
      <c r="ER27" s="270"/>
      <c r="ES27" s="270"/>
      <c r="ET27" s="270"/>
      <c r="EU27" s="270"/>
      <c r="EV27" s="270"/>
      <c r="EW27" s="270"/>
      <c r="EX27" s="270"/>
      <c r="EY27" s="270"/>
      <c r="EZ27" s="270"/>
      <c r="FA27" s="270"/>
      <c r="FB27" s="270"/>
      <c r="FC27" s="270"/>
      <c r="FD27" s="270"/>
      <c r="FE27" s="270"/>
      <c r="FF27" s="270"/>
      <c r="FG27" s="270"/>
      <c r="FH27" s="270"/>
      <c r="FI27" s="270"/>
      <c r="FJ27" s="270"/>
      <c r="FK27" s="270"/>
      <c r="FL27" s="270"/>
      <c r="FM27" s="270"/>
      <c r="FN27" s="270"/>
      <c r="FO27" s="270"/>
      <c r="FP27" s="270"/>
      <c r="FQ27" s="270"/>
      <c r="FR27" s="270"/>
      <c r="FS27" s="270"/>
      <c r="FT27" s="270"/>
      <c r="FU27" s="270"/>
      <c r="FV27" s="270"/>
      <c r="FW27" s="270"/>
      <c r="FX27" s="270"/>
      <c r="FY27" s="270"/>
      <c r="FZ27" s="270"/>
      <c r="GA27" s="270"/>
      <c r="GB27" s="270"/>
      <c r="GC27" s="270"/>
      <c r="GD27" s="270"/>
      <c r="GE27" s="270"/>
      <c r="GF27" s="270"/>
      <c r="GG27" s="270"/>
      <c r="GH27" s="270"/>
      <c r="GI27" s="270"/>
      <c r="GJ27" s="270"/>
      <c r="GK27" s="270"/>
      <c r="GL27" s="270"/>
      <c r="GM27" s="270"/>
      <c r="GN27" s="270"/>
      <c r="GO27" s="270"/>
      <c r="GP27" s="270"/>
      <c r="GQ27" s="270"/>
      <c r="GR27" s="270"/>
      <c r="GS27" s="270"/>
      <c r="GT27" s="270"/>
      <c r="GU27" s="270"/>
      <c r="GV27" s="270"/>
      <c r="GW27" s="270"/>
      <c r="GX27" s="270"/>
      <c r="GY27" s="270"/>
      <c r="GZ27" s="270"/>
      <c r="HA27" s="270"/>
      <c r="HB27" s="270"/>
      <c r="HC27" s="270"/>
      <c r="HD27" s="270"/>
      <c r="HE27" s="270"/>
      <c r="HF27" s="270"/>
      <c r="HG27" s="270"/>
      <c r="HH27" s="270"/>
      <c r="HI27" s="270"/>
      <c r="HJ27" s="270"/>
      <c r="HK27" s="270"/>
      <c r="HL27" s="270"/>
      <c r="HM27" s="270"/>
      <c r="HN27" s="270"/>
      <c r="HO27" s="270"/>
      <c r="HP27" s="270"/>
      <c r="HQ27" s="270"/>
      <c r="HR27" s="270"/>
      <c r="HS27" s="270"/>
      <c r="HT27" s="270"/>
      <c r="HU27" s="270"/>
      <c r="HV27" s="270"/>
      <c r="HW27" s="270"/>
      <c r="HX27" s="270"/>
      <c r="HY27" s="270"/>
      <c r="HZ27" s="270"/>
      <c r="IA27" s="270"/>
      <c r="IB27" s="270"/>
      <c r="IC27" s="270"/>
      <c r="ID27" s="270"/>
      <c r="IE27" s="270"/>
      <c r="IF27" s="270"/>
      <c r="IG27" s="270"/>
      <c r="IH27" s="270"/>
      <c r="II27" s="270"/>
      <c r="IJ27" s="270"/>
      <c r="IK27" s="270"/>
      <c r="IL27" s="270"/>
      <c r="IM27" s="270"/>
      <c r="IN27" s="270"/>
      <c r="IO27" s="270"/>
      <c r="IP27" s="270"/>
      <c r="IQ27" s="270"/>
      <c r="IR27" s="270"/>
      <c r="IS27" s="270"/>
      <c r="IT27" s="270"/>
      <c r="IU27" s="270"/>
      <c r="IV27" s="270"/>
      <c r="IW27" s="270"/>
      <c r="IX27" s="270"/>
      <c r="IY27" s="270"/>
      <c r="IZ27" s="270"/>
      <c r="JA27" s="270"/>
      <c r="JB27" s="270"/>
      <c r="JC27" s="270"/>
      <c r="JD27" s="270"/>
      <c r="JE27" s="270"/>
      <c r="JF27" s="270"/>
      <c r="JG27" s="270"/>
      <c r="JH27" s="270"/>
      <c r="JI27" s="270"/>
      <c r="JJ27" s="270"/>
      <c r="JK27" s="270"/>
      <c r="JL27" s="270"/>
      <c r="JM27" s="270"/>
      <c r="JN27" s="270"/>
      <c r="JO27" s="270"/>
      <c r="JP27" s="270"/>
      <c r="JQ27" s="270"/>
      <c r="JR27" s="270"/>
      <c r="JS27" s="270"/>
      <c r="JT27" s="270"/>
      <c r="JU27" s="270"/>
      <c r="JV27" s="270"/>
      <c r="JW27" s="270"/>
      <c r="JX27" s="270"/>
      <c r="JY27" s="270"/>
      <c r="JZ27" s="270"/>
      <c r="KA27" s="270"/>
      <c r="KB27" s="270"/>
      <c r="KC27" s="270"/>
      <c r="KD27" s="270"/>
      <c r="KE27" s="270"/>
      <c r="KF27" s="270"/>
      <c r="KG27" s="270"/>
      <c r="KH27" s="270"/>
      <c r="KI27" s="270"/>
      <c r="KJ27" s="270"/>
      <c r="KK27" s="270"/>
      <c r="KL27" s="270"/>
      <c r="KM27" s="270"/>
      <c r="KN27" s="270"/>
      <c r="KO27" s="270"/>
      <c r="KP27" s="270"/>
      <c r="KQ27" s="270"/>
      <c r="KR27" s="270"/>
      <c r="KS27" s="270"/>
      <c r="KT27" s="270"/>
      <c r="KU27" s="270"/>
      <c r="KV27" s="270"/>
      <c r="KW27" s="270"/>
      <c r="KX27" s="270"/>
      <c r="KY27" s="270"/>
      <c r="KZ27" s="270"/>
      <c r="LA27" s="270"/>
      <c r="LB27" s="270"/>
      <c r="LC27" s="270"/>
      <c r="LD27" s="270"/>
      <c r="LE27" s="270"/>
      <c r="LF27" s="270"/>
      <c r="LG27" s="270"/>
      <c r="LH27" s="270"/>
      <c r="LI27" s="270"/>
      <c r="LJ27" s="270"/>
      <c r="LK27" s="270"/>
      <c r="LL27" s="270"/>
      <c r="LM27" s="270"/>
      <c r="LN27" s="270"/>
      <c r="LO27" s="270"/>
      <c r="LP27" s="270"/>
      <c r="LQ27" s="270"/>
      <c r="LR27" s="270"/>
      <c r="LS27" s="270"/>
      <c r="LT27" s="270"/>
      <c r="LU27" s="270"/>
      <c r="LV27" s="270"/>
      <c r="LW27" s="270"/>
      <c r="LX27" s="270"/>
      <c r="LY27" s="270"/>
      <c r="LZ27" s="270"/>
      <c r="MA27" s="270"/>
      <c r="MB27" s="270"/>
      <c r="MC27" s="270"/>
      <c r="MD27" s="270"/>
      <c r="ME27" s="270"/>
      <c r="MF27" s="270"/>
      <c r="MG27" s="270"/>
      <c r="MH27" s="270"/>
      <c r="MI27" s="270"/>
      <c r="MJ27" s="270"/>
      <c r="MK27" s="270"/>
      <c r="ML27" s="270"/>
      <c r="MM27" s="270"/>
      <c r="MN27" s="270"/>
      <c r="MO27" s="270"/>
      <c r="MP27" s="270"/>
      <c r="MQ27" s="270"/>
      <c r="MR27" s="270"/>
      <c r="MS27" s="270"/>
      <c r="MT27" s="270"/>
      <c r="MU27" s="270"/>
      <c r="MV27" s="270"/>
      <c r="MW27" s="270"/>
      <c r="MX27" s="270"/>
      <c r="MY27" s="270"/>
      <c r="MZ27" s="270"/>
      <c r="NA27" s="270"/>
      <c r="NB27" s="270"/>
      <c r="NC27" s="270"/>
      <c r="ND27" s="270"/>
      <c r="NE27" s="270"/>
      <c r="NF27" s="270"/>
      <c r="NG27" s="270"/>
      <c r="NH27" s="270"/>
      <c r="NI27" s="270"/>
      <c r="NJ27" s="270"/>
      <c r="NK27" s="270"/>
      <c r="NL27" s="270"/>
      <c r="NM27" s="270"/>
      <c r="NN27" s="270"/>
      <c r="NO27" s="270"/>
      <c r="NP27" s="270"/>
      <c r="NQ27" s="270"/>
      <c r="NR27" s="270"/>
      <c r="NS27" s="270"/>
      <c r="NT27" s="270"/>
      <c r="NU27" s="270"/>
      <c r="NV27" s="270"/>
      <c r="NW27" s="270"/>
      <c r="NX27" s="270"/>
      <c r="NY27" s="270"/>
      <c r="NZ27" s="270"/>
      <c r="OA27" s="270"/>
      <c r="OB27" s="270"/>
      <c r="OC27" s="270"/>
      <c r="OD27" s="270"/>
      <c r="OE27" s="270"/>
      <c r="OF27" s="270"/>
      <c r="OG27" s="270"/>
      <c r="OH27" s="270"/>
      <c r="OI27" s="270"/>
      <c r="OJ27" s="270"/>
      <c r="OK27" s="270"/>
      <c r="OL27" s="270"/>
      <c r="OM27" s="270"/>
      <c r="ON27" s="270"/>
      <c r="OO27" s="270"/>
      <c r="OP27" s="270"/>
      <c r="OQ27" s="270"/>
      <c r="OR27" s="270"/>
      <c r="OS27" s="270"/>
      <c r="OT27" s="270"/>
      <c r="OU27" s="270"/>
      <c r="OV27" s="270"/>
      <c r="OW27" s="270"/>
      <c r="OX27" s="270"/>
      <c r="OY27" s="270"/>
      <c r="OZ27" s="270"/>
      <c r="PA27" s="270"/>
      <c r="PB27" s="270"/>
      <c r="PC27" s="270"/>
      <c r="PD27" s="270"/>
      <c r="PE27" s="270"/>
      <c r="PF27" s="270"/>
      <c r="PG27" s="270"/>
      <c r="PH27" s="270"/>
      <c r="PI27" s="270"/>
      <c r="PJ27" s="270"/>
      <c r="PK27" s="270"/>
      <c r="PL27" s="270"/>
      <c r="PM27" s="270"/>
      <c r="PN27" s="270"/>
      <c r="PO27" s="270"/>
      <c r="PP27" s="270"/>
      <c r="PQ27" s="270"/>
      <c r="PR27" s="270"/>
      <c r="PS27" s="270"/>
      <c r="PT27" s="270"/>
      <c r="PU27" s="270"/>
      <c r="PV27" s="270"/>
      <c r="PW27" s="270"/>
      <c r="PX27" s="270"/>
      <c r="PY27" s="270"/>
      <c r="PZ27" s="270"/>
      <c r="QA27" s="270"/>
      <c r="QB27" s="270"/>
      <c r="QC27" s="270"/>
      <c r="QD27" s="270"/>
      <c r="QE27" s="270"/>
      <c r="QF27" s="270"/>
      <c r="QG27" s="270"/>
      <c r="QH27" s="270"/>
      <c r="QI27" s="270"/>
      <c r="QJ27" s="270"/>
      <c r="QK27" s="270"/>
      <c r="QL27" s="270"/>
      <c r="QM27" s="270"/>
      <c r="QN27" s="270"/>
      <c r="QO27" s="270"/>
      <c r="QP27" s="270"/>
      <c r="QQ27" s="270"/>
      <c r="QR27" s="270"/>
      <c r="QS27" s="270"/>
      <c r="QT27" s="270"/>
      <c r="QU27" s="270"/>
      <c r="QV27" s="270"/>
      <c r="QW27" s="270"/>
      <c r="QX27" s="270"/>
      <c r="QY27" s="270"/>
      <c r="QZ27" s="302"/>
    </row>
    <row r="28" spans="1:468" s="289" customFormat="1" ht="69" customHeight="1" x14ac:dyDescent="0.2">
      <c r="A28" s="554"/>
      <c r="B28" s="555"/>
      <c r="C28" s="555"/>
      <c r="D28" s="555"/>
      <c r="E28" s="556"/>
      <c r="F28" s="555"/>
      <c r="G28" s="557"/>
      <c r="H28" s="558"/>
      <c r="I28" s="553"/>
      <c r="J28" s="555"/>
      <c r="K28" s="553">
        <f ca="1">IF(NOT(ISERROR(MATCH(J28,_xlfn.ANCHORARRAY(E31),0))),#REF!&amp;"Por favor no seleccionar los criterios de impacto",J28)</f>
        <v>0</v>
      </c>
      <c r="L28" s="558"/>
      <c r="M28" s="553"/>
      <c r="N28" s="552"/>
      <c r="O28" s="274">
        <v>2</v>
      </c>
      <c r="P28" s="275"/>
      <c r="Q28" s="276" t="str">
        <f t="shared" si="7"/>
        <v/>
      </c>
      <c r="R28" s="277"/>
      <c r="S28" s="277"/>
      <c r="T28" s="278" t="str">
        <f t="shared" ref="T28" si="48">IF(AND(R28="Preventivo",S28="Automático"),"50%",IF(AND(R28="Preventivo",S28="Manual"),"40%",IF(AND(R28="Detectivo",S28="Automático"),"40%",IF(AND(R28="Detectivo",S28="Manual"),"30%",IF(AND(R28="Correctivo",S28="Automático"),"35%",IF(AND(R28="Correctivo",S28="Manual"),"25%",""))))))</f>
        <v/>
      </c>
      <c r="U28" s="277"/>
      <c r="V28" s="277"/>
      <c r="W28" s="277"/>
      <c r="X28" s="279" t="str">
        <f>IFERROR(IF(AND(Q27="Probabilidad",Q28="Probabilidad"),(Z27-(+Z27*T28)),IF(Q28="Probabilidad",(I27-(+I27*T28)),IF(Q28="Impacto",Z27,""))),"")</f>
        <v/>
      </c>
      <c r="Y28" s="280" t="str">
        <f t="shared" si="18"/>
        <v/>
      </c>
      <c r="Z28" s="278" t="str">
        <f t="shared" ref="Z28" si="49">+X28</f>
        <v/>
      </c>
      <c r="AA28" s="280" t="str">
        <f t="shared" si="9"/>
        <v/>
      </c>
      <c r="AB28" s="278" t="str">
        <f>IFERROR(IF(AND(Q27="Impacto",Q28="Impacto"),(AB25-(+AB25*T28)),IF(Q28="Impacto",($M$27-(+$M$27*T28)),IF(Q28="Probabilidad",AB25,""))),"")</f>
        <v/>
      </c>
      <c r="AC28" s="281" t="str">
        <f t="shared" ref="AC28" si="50">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77"/>
      <c r="AE28" s="282"/>
      <c r="AF28" s="282"/>
      <c r="AG28" s="283"/>
      <c r="AH28" s="284"/>
      <c r="AI28" s="284"/>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c r="CJ28" s="270"/>
      <c r="CK28" s="270"/>
      <c r="CL28" s="270"/>
      <c r="CM28" s="270"/>
      <c r="CN28" s="270"/>
      <c r="CO28" s="270"/>
      <c r="CP28" s="270"/>
      <c r="CQ28" s="270"/>
      <c r="CR28" s="270"/>
      <c r="CS28" s="270"/>
      <c r="CT28" s="270"/>
      <c r="CU28" s="270"/>
      <c r="CV28" s="270"/>
      <c r="CW28" s="270"/>
      <c r="CX28" s="270"/>
      <c r="CY28" s="270"/>
      <c r="CZ28" s="270"/>
      <c r="DA28" s="270"/>
      <c r="DB28" s="270"/>
      <c r="DC28" s="270"/>
      <c r="DD28" s="270"/>
      <c r="DE28" s="270"/>
      <c r="DF28" s="270"/>
      <c r="DG28" s="270"/>
      <c r="DH28" s="270"/>
      <c r="DI28" s="270"/>
      <c r="DJ28" s="270"/>
      <c r="DK28" s="270"/>
      <c r="DL28" s="270"/>
      <c r="DM28" s="270"/>
      <c r="DN28" s="270"/>
      <c r="DO28" s="270"/>
      <c r="DP28" s="270"/>
      <c r="DQ28" s="270"/>
      <c r="DR28" s="270"/>
      <c r="DS28" s="270"/>
      <c r="DT28" s="270"/>
      <c r="DU28" s="270"/>
      <c r="DV28" s="270"/>
      <c r="DW28" s="270"/>
      <c r="DX28" s="270"/>
      <c r="DY28" s="270"/>
      <c r="DZ28" s="270"/>
      <c r="EA28" s="270"/>
      <c r="EB28" s="270"/>
      <c r="EC28" s="270"/>
      <c r="ED28" s="270"/>
      <c r="EE28" s="270"/>
      <c r="EF28" s="270"/>
      <c r="EG28" s="270"/>
      <c r="EH28" s="270"/>
      <c r="EI28" s="270"/>
      <c r="EJ28" s="270"/>
      <c r="EK28" s="270"/>
      <c r="EL28" s="270"/>
      <c r="EM28" s="270"/>
      <c r="EN28" s="270"/>
      <c r="EO28" s="270"/>
      <c r="EP28" s="270"/>
      <c r="EQ28" s="270"/>
      <c r="ER28" s="270"/>
      <c r="ES28" s="270"/>
      <c r="ET28" s="270"/>
      <c r="EU28" s="270"/>
      <c r="EV28" s="270"/>
      <c r="EW28" s="270"/>
      <c r="EX28" s="270"/>
      <c r="EY28" s="270"/>
      <c r="EZ28" s="270"/>
      <c r="FA28" s="270"/>
      <c r="FB28" s="270"/>
      <c r="FC28" s="270"/>
      <c r="FD28" s="270"/>
      <c r="FE28" s="270"/>
      <c r="FF28" s="270"/>
      <c r="FG28" s="270"/>
      <c r="FH28" s="270"/>
      <c r="FI28" s="270"/>
      <c r="FJ28" s="270"/>
      <c r="FK28" s="270"/>
      <c r="FL28" s="270"/>
      <c r="FM28" s="270"/>
      <c r="FN28" s="270"/>
      <c r="FO28" s="270"/>
      <c r="FP28" s="270"/>
      <c r="FQ28" s="270"/>
      <c r="FR28" s="270"/>
      <c r="FS28" s="270"/>
      <c r="FT28" s="270"/>
      <c r="FU28" s="270"/>
      <c r="FV28" s="270"/>
      <c r="FW28" s="270"/>
      <c r="FX28" s="270"/>
      <c r="FY28" s="270"/>
      <c r="FZ28" s="270"/>
      <c r="GA28" s="270"/>
      <c r="GB28" s="270"/>
      <c r="GC28" s="270"/>
      <c r="GD28" s="270"/>
      <c r="GE28" s="270"/>
      <c r="GF28" s="270"/>
      <c r="GG28" s="270"/>
      <c r="GH28" s="270"/>
      <c r="GI28" s="270"/>
      <c r="GJ28" s="270"/>
      <c r="GK28" s="270"/>
      <c r="GL28" s="270"/>
      <c r="GM28" s="270"/>
      <c r="GN28" s="270"/>
      <c r="GO28" s="270"/>
      <c r="GP28" s="270"/>
      <c r="GQ28" s="270"/>
      <c r="GR28" s="270"/>
      <c r="GS28" s="270"/>
      <c r="GT28" s="270"/>
      <c r="GU28" s="270"/>
      <c r="GV28" s="270"/>
      <c r="GW28" s="270"/>
      <c r="GX28" s="270"/>
      <c r="GY28" s="270"/>
      <c r="GZ28" s="270"/>
      <c r="HA28" s="270"/>
      <c r="HB28" s="270"/>
      <c r="HC28" s="270"/>
      <c r="HD28" s="270"/>
      <c r="HE28" s="270"/>
      <c r="HF28" s="270"/>
      <c r="HG28" s="270"/>
      <c r="HH28" s="270"/>
      <c r="HI28" s="270"/>
      <c r="HJ28" s="270"/>
      <c r="HK28" s="270"/>
      <c r="HL28" s="270"/>
      <c r="HM28" s="270"/>
      <c r="HN28" s="270"/>
      <c r="HO28" s="270"/>
      <c r="HP28" s="270"/>
      <c r="HQ28" s="270"/>
      <c r="HR28" s="270"/>
      <c r="HS28" s="270"/>
      <c r="HT28" s="270"/>
      <c r="HU28" s="270"/>
      <c r="HV28" s="270"/>
      <c r="HW28" s="270"/>
      <c r="HX28" s="270"/>
      <c r="HY28" s="270"/>
      <c r="HZ28" s="270"/>
      <c r="IA28" s="270"/>
      <c r="IB28" s="270"/>
      <c r="IC28" s="270"/>
      <c r="ID28" s="270"/>
      <c r="IE28" s="270"/>
      <c r="IF28" s="270"/>
      <c r="IG28" s="270"/>
      <c r="IH28" s="270"/>
      <c r="II28" s="270"/>
      <c r="IJ28" s="270"/>
      <c r="IK28" s="270"/>
      <c r="IL28" s="270"/>
      <c r="IM28" s="270"/>
      <c r="IN28" s="270"/>
      <c r="IO28" s="270"/>
      <c r="IP28" s="270"/>
      <c r="IQ28" s="270"/>
      <c r="IR28" s="270"/>
      <c r="IS28" s="270"/>
      <c r="IT28" s="270"/>
      <c r="IU28" s="270"/>
      <c r="IV28" s="270"/>
      <c r="IW28" s="270"/>
      <c r="IX28" s="270"/>
      <c r="IY28" s="270"/>
      <c r="IZ28" s="270"/>
      <c r="JA28" s="270"/>
      <c r="JB28" s="270"/>
      <c r="JC28" s="270"/>
      <c r="JD28" s="270"/>
      <c r="JE28" s="270"/>
      <c r="JF28" s="270"/>
      <c r="JG28" s="270"/>
      <c r="JH28" s="270"/>
      <c r="JI28" s="270"/>
      <c r="JJ28" s="270"/>
      <c r="JK28" s="270"/>
      <c r="JL28" s="270"/>
      <c r="JM28" s="270"/>
      <c r="JN28" s="270"/>
      <c r="JO28" s="270"/>
      <c r="JP28" s="270"/>
      <c r="JQ28" s="270"/>
      <c r="JR28" s="270"/>
      <c r="JS28" s="270"/>
      <c r="JT28" s="270"/>
      <c r="JU28" s="270"/>
      <c r="JV28" s="270"/>
      <c r="JW28" s="270"/>
      <c r="JX28" s="270"/>
      <c r="JY28" s="270"/>
      <c r="JZ28" s="270"/>
      <c r="KA28" s="270"/>
      <c r="KB28" s="270"/>
      <c r="KC28" s="270"/>
      <c r="KD28" s="270"/>
      <c r="KE28" s="270"/>
      <c r="KF28" s="270"/>
      <c r="KG28" s="270"/>
      <c r="KH28" s="270"/>
      <c r="KI28" s="270"/>
      <c r="KJ28" s="270"/>
      <c r="KK28" s="270"/>
      <c r="KL28" s="270"/>
      <c r="KM28" s="270"/>
      <c r="KN28" s="270"/>
      <c r="KO28" s="270"/>
      <c r="KP28" s="270"/>
      <c r="KQ28" s="270"/>
      <c r="KR28" s="270"/>
      <c r="KS28" s="270"/>
      <c r="KT28" s="270"/>
      <c r="KU28" s="270"/>
      <c r="KV28" s="270"/>
      <c r="KW28" s="270"/>
      <c r="KX28" s="270"/>
      <c r="KY28" s="270"/>
      <c r="KZ28" s="270"/>
      <c r="LA28" s="270"/>
      <c r="LB28" s="270"/>
      <c r="LC28" s="270"/>
      <c r="LD28" s="270"/>
      <c r="LE28" s="270"/>
      <c r="LF28" s="270"/>
      <c r="LG28" s="270"/>
      <c r="LH28" s="270"/>
      <c r="LI28" s="270"/>
      <c r="LJ28" s="270"/>
      <c r="LK28" s="270"/>
      <c r="LL28" s="270"/>
      <c r="LM28" s="270"/>
      <c r="LN28" s="270"/>
      <c r="LO28" s="270"/>
      <c r="LP28" s="270"/>
      <c r="LQ28" s="270"/>
      <c r="LR28" s="270"/>
      <c r="LS28" s="270"/>
      <c r="LT28" s="270"/>
      <c r="LU28" s="270"/>
      <c r="LV28" s="270"/>
      <c r="LW28" s="270"/>
      <c r="LX28" s="270"/>
      <c r="LY28" s="270"/>
      <c r="LZ28" s="270"/>
      <c r="MA28" s="270"/>
      <c r="MB28" s="270"/>
      <c r="MC28" s="270"/>
      <c r="MD28" s="270"/>
      <c r="ME28" s="270"/>
      <c r="MF28" s="270"/>
      <c r="MG28" s="270"/>
      <c r="MH28" s="270"/>
      <c r="MI28" s="270"/>
      <c r="MJ28" s="270"/>
      <c r="MK28" s="270"/>
      <c r="ML28" s="270"/>
      <c r="MM28" s="270"/>
      <c r="MN28" s="270"/>
      <c r="MO28" s="270"/>
      <c r="MP28" s="270"/>
      <c r="MQ28" s="270"/>
      <c r="MR28" s="270"/>
      <c r="MS28" s="270"/>
      <c r="MT28" s="270"/>
      <c r="MU28" s="270"/>
      <c r="MV28" s="270"/>
      <c r="MW28" s="270"/>
      <c r="MX28" s="270"/>
      <c r="MY28" s="270"/>
      <c r="MZ28" s="270"/>
      <c r="NA28" s="270"/>
      <c r="NB28" s="270"/>
      <c r="NC28" s="270"/>
      <c r="ND28" s="270"/>
      <c r="NE28" s="270"/>
      <c r="NF28" s="270"/>
      <c r="NG28" s="270"/>
      <c r="NH28" s="270"/>
      <c r="NI28" s="270"/>
      <c r="NJ28" s="270"/>
      <c r="NK28" s="270"/>
      <c r="NL28" s="270"/>
      <c r="NM28" s="270"/>
      <c r="NN28" s="270"/>
      <c r="NO28" s="270"/>
      <c r="NP28" s="270"/>
      <c r="NQ28" s="270"/>
      <c r="NR28" s="270"/>
      <c r="NS28" s="270"/>
      <c r="NT28" s="270"/>
      <c r="NU28" s="270"/>
      <c r="NV28" s="270"/>
      <c r="NW28" s="270"/>
      <c r="NX28" s="270"/>
      <c r="NY28" s="270"/>
      <c r="NZ28" s="270"/>
      <c r="OA28" s="270"/>
      <c r="OB28" s="270"/>
      <c r="OC28" s="270"/>
      <c r="OD28" s="270"/>
      <c r="OE28" s="270"/>
      <c r="OF28" s="270"/>
      <c r="OG28" s="270"/>
      <c r="OH28" s="270"/>
      <c r="OI28" s="270"/>
      <c r="OJ28" s="270"/>
      <c r="OK28" s="270"/>
      <c r="OL28" s="270"/>
      <c r="OM28" s="270"/>
      <c r="ON28" s="270"/>
      <c r="OO28" s="270"/>
      <c r="OP28" s="270"/>
      <c r="OQ28" s="270"/>
      <c r="OR28" s="270"/>
      <c r="OS28" s="270"/>
      <c r="OT28" s="270"/>
      <c r="OU28" s="270"/>
      <c r="OV28" s="270"/>
      <c r="OW28" s="270"/>
      <c r="OX28" s="270"/>
      <c r="OY28" s="270"/>
      <c r="OZ28" s="270"/>
      <c r="PA28" s="270"/>
      <c r="PB28" s="270"/>
      <c r="PC28" s="270"/>
      <c r="PD28" s="270"/>
      <c r="PE28" s="270"/>
      <c r="PF28" s="270"/>
      <c r="PG28" s="270"/>
      <c r="PH28" s="270"/>
      <c r="PI28" s="270"/>
      <c r="PJ28" s="270"/>
      <c r="PK28" s="270"/>
      <c r="PL28" s="270"/>
      <c r="PM28" s="270"/>
      <c r="PN28" s="270"/>
      <c r="PO28" s="270"/>
      <c r="PP28" s="270"/>
      <c r="PQ28" s="270"/>
      <c r="PR28" s="270"/>
      <c r="PS28" s="270"/>
      <c r="PT28" s="270"/>
      <c r="PU28" s="270"/>
      <c r="PV28" s="270"/>
      <c r="PW28" s="270"/>
      <c r="PX28" s="270"/>
      <c r="PY28" s="270"/>
      <c r="PZ28" s="270"/>
      <c r="QA28" s="270"/>
      <c r="QB28" s="270"/>
      <c r="QC28" s="270"/>
      <c r="QD28" s="270"/>
      <c r="QE28" s="270"/>
      <c r="QF28" s="270"/>
      <c r="QG28" s="270"/>
      <c r="QH28" s="270"/>
      <c r="QI28" s="270"/>
      <c r="QJ28" s="270"/>
      <c r="QK28" s="270"/>
      <c r="QL28" s="270"/>
      <c r="QM28" s="270"/>
      <c r="QN28" s="270"/>
      <c r="QO28" s="270"/>
      <c r="QP28" s="270"/>
      <c r="QQ28" s="270"/>
      <c r="QR28" s="270"/>
      <c r="QS28" s="270"/>
      <c r="QT28" s="270"/>
      <c r="QU28" s="270"/>
      <c r="QV28" s="270"/>
      <c r="QW28" s="270"/>
      <c r="QX28" s="270"/>
      <c r="QY28" s="270"/>
      <c r="QZ28" s="302"/>
    </row>
    <row r="29" spans="1:468" s="289" customFormat="1" ht="69" customHeight="1" x14ac:dyDescent="0.2">
      <c r="A29" s="554">
        <v>8</v>
      </c>
      <c r="B29" s="555"/>
      <c r="C29" s="555"/>
      <c r="D29" s="555"/>
      <c r="E29" s="556"/>
      <c r="F29" s="555"/>
      <c r="G29" s="557"/>
      <c r="H29" s="558" t="str">
        <f t="shared" ref="H29" si="51">IF(G29&lt;=0,"",IF(G29&lt;=2,"Muy Baja",IF(G29&lt;=24,"Baja",IF(G29&lt;=500,"Media",IF(G29&lt;=5000,"Alta","Muy Alta")))))</f>
        <v/>
      </c>
      <c r="I29" s="553" t="str">
        <f t="shared" ref="I29" si="52">IF(H29="","",IF(H29="Muy Baja",0.2,IF(H29="Baja",0.4,IF(H29="Media",0.6,IF(H29="Alta",0.8,IF(H29="Muy Alta",1,))))))</f>
        <v/>
      </c>
      <c r="J29" s="555"/>
      <c r="K29" s="553">
        <f>IF(NOT(ISERROR(MATCH(J29,'[2]Tabla Impacto'!$B$221:$B$223,0))),'[2]Tabla Impacto'!$F$223&amp;"Por favor no seleccionar los criterios de impacto(Afectación Económica o presupuestal y Pérdida Reputacional)",J29)</f>
        <v>0</v>
      </c>
      <c r="L29" s="558" t="str">
        <f t="shared" ref="L29" si="53">IF(J29&lt;=0,"",IF(J29&lt;=10,"Leve",IF(J29&lt;=50,"Menor",IF(J29&lt;=100,"Moderado",IF(J29&lt;=500,"Mayor","Catastrófico")))))</f>
        <v/>
      </c>
      <c r="M29" s="553" t="str">
        <f t="shared" ref="M29" si="54">IF(L29="","",IF(L29="Leve",0.2,IF(L29="Menor",0.4,IF(L29="Moderado",0.6,IF(L29="Mayor",0.8,IF(L29="Catastrófico",1,))))))</f>
        <v/>
      </c>
      <c r="N29" s="552" t="str">
        <f t="shared" ref="N29" si="55">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274">
        <v>1</v>
      </c>
      <c r="P29" s="275"/>
      <c r="Q29" s="276" t="str">
        <f t="shared" si="7"/>
        <v/>
      </c>
      <c r="R29" s="277"/>
      <c r="S29" s="277"/>
      <c r="T29" s="278" t="str">
        <f>IF(AND(R29="Preventivo",S29="Automático"),"50%",IF(AND(R29="Preventivo",S29="Manual"),"40%",IF(AND(R29="Detectivo",S29="Automático"),"40%",IF(AND(R29="Detectivo",S29="Manual"),"30%",IF(AND(R29="Correctivo",S29="Automático"),"35%",IF(AND(R29="Correctivo",S29="Manual"),"25%",""))))))</f>
        <v/>
      </c>
      <c r="U29" s="277"/>
      <c r="V29" s="277"/>
      <c r="W29" s="277"/>
      <c r="X29" s="279" t="str">
        <f>IFERROR(IF(Q29="Probabilidad",(I29-(+I29*T29)),IF(Q29="Impacto",I29,"")),"")</f>
        <v/>
      </c>
      <c r="Y29" s="280" t="str">
        <f>IFERROR(IF(X29="","",IF(X29&lt;=0.2,"Muy Baja",IF(X29&lt;=0.4,"Baja",IF(X29&lt;=0.6,"Media",IF(X29&lt;=0.8,"Alta","Muy Alta"))))),"")</f>
        <v/>
      </c>
      <c r="Z29" s="278" t="str">
        <f>+X29</f>
        <v/>
      </c>
      <c r="AA29" s="280" t="str">
        <f>IFERROR(IF(AB29="","",IF(AB29&lt;=0.2,"Leve",IF(AB29&lt;=0.4,"Menor",IF(AB29&lt;=0.6,"Moderado",IF(AB29&lt;=0.8,"Mayor","Catastrófico"))))),"")</f>
        <v/>
      </c>
      <c r="AB29" s="278" t="str">
        <f>IFERROR(IF(Q29="Impacto",(M29-(+M29*T29)),IF(Q29="Probabilidad",M29,"")),"")</f>
        <v/>
      </c>
      <c r="AC29" s="281" t="str">
        <f>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77"/>
      <c r="AE29" s="282"/>
      <c r="AF29" s="282"/>
      <c r="AG29" s="283"/>
      <c r="AH29" s="284"/>
      <c r="AI29" s="284"/>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c r="CJ29" s="270"/>
      <c r="CK29" s="270"/>
      <c r="CL29" s="270"/>
      <c r="CM29" s="270"/>
      <c r="CN29" s="270"/>
      <c r="CO29" s="270"/>
      <c r="CP29" s="270"/>
      <c r="CQ29" s="270"/>
      <c r="CR29" s="270"/>
      <c r="CS29" s="270"/>
      <c r="CT29" s="270"/>
      <c r="CU29" s="270"/>
      <c r="CV29" s="270"/>
      <c r="CW29" s="270"/>
      <c r="CX29" s="270"/>
      <c r="CY29" s="270"/>
      <c r="CZ29" s="270"/>
      <c r="DA29" s="270"/>
      <c r="DB29" s="270"/>
      <c r="DC29" s="270"/>
      <c r="DD29" s="270"/>
      <c r="DE29" s="270"/>
      <c r="DF29" s="270"/>
      <c r="DG29" s="270"/>
      <c r="DH29" s="270"/>
      <c r="DI29" s="270"/>
      <c r="DJ29" s="270"/>
      <c r="DK29" s="270"/>
      <c r="DL29" s="270"/>
      <c r="DM29" s="270"/>
      <c r="DN29" s="270"/>
      <c r="DO29" s="270"/>
      <c r="DP29" s="270"/>
      <c r="DQ29" s="270"/>
      <c r="DR29" s="270"/>
      <c r="DS29" s="270"/>
      <c r="DT29" s="270"/>
      <c r="DU29" s="270"/>
      <c r="DV29" s="270"/>
      <c r="DW29" s="270"/>
      <c r="DX29" s="270"/>
      <c r="DY29" s="270"/>
      <c r="DZ29" s="270"/>
      <c r="EA29" s="270"/>
      <c r="EB29" s="270"/>
      <c r="EC29" s="270"/>
      <c r="ED29" s="270"/>
      <c r="EE29" s="270"/>
      <c r="EF29" s="270"/>
      <c r="EG29" s="270"/>
      <c r="EH29" s="270"/>
      <c r="EI29" s="270"/>
      <c r="EJ29" s="270"/>
      <c r="EK29" s="270"/>
      <c r="EL29" s="270"/>
      <c r="EM29" s="270"/>
      <c r="EN29" s="270"/>
      <c r="EO29" s="270"/>
      <c r="EP29" s="270"/>
      <c r="EQ29" s="270"/>
      <c r="ER29" s="270"/>
      <c r="ES29" s="270"/>
      <c r="ET29" s="270"/>
      <c r="EU29" s="270"/>
      <c r="EV29" s="270"/>
      <c r="EW29" s="270"/>
      <c r="EX29" s="270"/>
      <c r="EY29" s="270"/>
      <c r="EZ29" s="270"/>
      <c r="FA29" s="270"/>
      <c r="FB29" s="270"/>
      <c r="FC29" s="270"/>
      <c r="FD29" s="270"/>
      <c r="FE29" s="270"/>
      <c r="FF29" s="270"/>
      <c r="FG29" s="270"/>
      <c r="FH29" s="270"/>
      <c r="FI29" s="270"/>
      <c r="FJ29" s="270"/>
      <c r="FK29" s="270"/>
      <c r="FL29" s="270"/>
      <c r="FM29" s="270"/>
      <c r="FN29" s="270"/>
      <c r="FO29" s="270"/>
      <c r="FP29" s="270"/>
      <c r="FQ29" s="270"/>
      <c r="FR29" s="270"/>
      <c r="FS29" s="270"/>
      <c r="FT29" s="270"/>
      <c r="FU29" s="270"/>
      <c r="FV29" s="270"/>
      <c r="FW29" s="270"/>
      <c r="FX29" s="270"/>
      <c r="FY29" s="270"/>
      <c r="FZ29" s="270"/>
      <c r="GA29" s="270"/>
      <c r="GB29" s="270"/>
      <c r="GC29" s="270"/>
      <c r="GD29" s="270"/>
      <c r="GE29" s="270"/>
      <c r="GF29" s="270"/>
      <c r="GG29" s="270"/>
      <c r="GH29" s="270"/>
      <c r="GI29" s="270"/>
      <c r="GJ29" s="270"/>
      <c r="GK29" s="270"/>
      <c r="GL29" s="270"/>
      <c r="GM29" s="270"/>
      <c r="GN29" s="270"/>
      <c r="GO29" s="270"/>
      <c r="GP29" s="270"/>
      <c r="GQ29" s="270"/>
      <c r="GR29" s="270"/>
      <c r="GS29" s="270"/>
      <c r="GT29" s="270"/>
      <c r="GU29" s="270"/>
      <c r="GV29" s="270"/>
      <c r="GW29" s="270"/>
      <c r="GX29" s="270"/>
      <c r="GY29" s="270"/>
      <c r="GZ29" s="270"/>
      <c r="HA29" s="270"/>
      <c r="HB29" s="270"/>
      <c r="HC29" s="270"/>
      <c r="HD29" s="270"/>
      <c r="HE29" s="270"/>
      <c r="HF29" s="270"/>
      <c r="HG29" s="270"/>
      <c r="HH29" s="270"/>
      <c r="HI29" s="270"/>
      <c r="HJ29" s="270"/>
      <c r="HK29" s="270"/>
      <c r="HL29" s="270"/>
      <c r="HM29" s="270"/>
      <c r="HN29" s="270"/>
      <c r="HO29" s="270"/>
      <c r="HP29" s="270"/>
      <c r="HQ29" s="270"/>
      <c r="HR29" s="270"/>
      <c r="HS29" s="270"/>
      <c r="HT29" s="270"/>
      <c r="HU29" s="270"/>
      <c r="HV29" s="270"/>
      <c r="HW29" s="270"/>
      <c r="HX29" s="270"/>
      <c r="HY29" s="270"/>
      <c r="HZ29" s="270"/>
      <c r="IA29" s="270"/>
      <c r="IB29" s="270"/>
      <c r="IC29" s="270"/>
      <c r="ID29" s="270"/>
      <c r="IE29" s="270"/>
      <c r="IF29" s="270"/>
      <c r="IG29" s="270"/>
      <c r="IH29" s="270"/>
      <c r="II29" s="270"/>
      <c r="IJ29" s="270"/>
      <c r="IK29" s="270"/>
      <c r="IL29" s="270"/>
      <c r="IM29" s="270"/>
      <c r="IN29" s="270"/>
      <c r="IO29" s="270"/>
      <c r="IP29" s="270"/>
      <c r="IQ29" s="270"/>
      <c r="IR29" s="270"/>
      <c r="IS29" s="270"/>
      <c r="IT29" s="270"/>
      <c r="IU29" s="270"/>
      <c r="IV29" s="270"/>
      <c r="IW29" s="270"/>
      <c r="IX29" s="270"/>
      <c r="IY29" s="270"/>
      <c r="IZ29" s="270"/>
      <c r="JA29" s="270"/>
      <c r="JB29" s="270"/>
      <c r="JC29" s="270"/>
      <c r="JD29" s="270"/>
      <c r="JE29" s="270"/>
      <c r="JF29" s="270"/>
      <c r="JG29" s="270"/>
      <c r="JH29" s="270"/>
      <c r="JI29" s="270"/>
      <c r="JJ29" s="270"/>
      <c r="JK29" s="270"/>
      <c r="JL29" s="270"/>
      <c r="JM29" s="270"/>
      <c r="JN29" s="270"/>
      <c r="JO29" s="270"/>
      <c r="JP29" s="270"/>
      <c r="JQ29" s="270"/>
      <c r="JR29" s="270"/>
      <c r="JS29" s="270"/>
      <c r="JT29" s="270"/>
      <c r="JU29" s="270"/>
      <c r="JV29" s="270"/>
      <c r="JW29" s="270"/>
      <c r="JX29" s="270"/>
      <c r="JY29" s="270"/>
      <c r="JZ29" s="270"/>
      <c r="KA29" s="270"/>
      <c r="KB29" s="270"/>
      <c r="KC29" s="270"/>
      <c r="KD29" s="270"/>
      <c r="KE29" s="270"/>
      <c r="KF29" s="270"/>
      <c r="KG29" s="270"/>
      <c r="KH29" s="270"/>
      <c r="KI29" s="270"/>
      <c r="KJ29" s="270"/>
      <c r="KK29" s="270"/>
      <c r="KL29" s="270"/>
      <c r="KM29" s="270"/>
      <c r="KN29" s="270"/>
      <c r="KO29" s="270"/>
      <c r="KP29" s="270"/>
      <c r="KQ29" s="270"/>
      <c r="KR29" s="270"/>
      <c r="KS29" s="270"/>
      <c r="KT29" s="270"/>
      <c r="KU29" s="270"/>
      <c r="KV29" s="270"/>
      <c r="KW29" s="270"/>
      <c r="KX29" s="270"/>
      <c r="KY29" s="270"/>
      <c r="KZ29" s="270"/>
      <c r="LA29" s="270"/>
      <c r="LB29" s="270"/>
      <c r="LC29" s="270"/>
      <c r="LD29" s="270"/>
      <c r="LE29" s="270"/>
      <c r="LF29" s="270"/>
      <c r="LG29" s="270"/>
      <c r="LH29" s="270"/>
      <c r="LI29" s="270"/>
      <c r="LJ29" s="270"/>
      <c r="LK29" s="270"/>
      <c r="LL29" s="270"/>
      <c r="LM29" s="270"/>
      <c r="LN29" s="270"/>
      <c r="LO29" s="270"/>
      <c r="LP29" s="270"/>
      <c r="LQ29" s="270"/>
      <c r="LR29" s="270"/>
      <c r="LS29" s="270"/>
      <c r="LT29" s="270"/>
      <c r="LU29" s="270"/>
      <c r="LV29" s="270"/>
      <c r="LW29" s="270"/>
      <c r="LX29" s="270"/>
      <c r="LY29" s="270"/>
      <c r="LZ29" s="270"/>
      <c r="MA29" s="270"/>
      <c r="MB29" s="270"/>
      <c r="MC29" s="270"/>
      <c r="MD29" s="270"/>
      <c r="ME29" s="270"/>
      <c r="MF29" s="270"/>
      <c r="MG29" s="270"/>
      <c r="MH29" s="270"/>
      <c r="MI29" s="270"/>
      <c r="MJ29" s="270"/>
      <c r="MK29" s="270"/>
      <c r="ML29" s="270"/>
      <c r="MM29" s="270"/>
      <c r="MN29" s="270"/>
      <c r="MO29" s="270"/>
      <c r="MP29" s="270"/>
      <c r="MQ29" s="270"/>
      <c r="MR29" s="270"/>
      <c r="MS29" s="270"/>
      <c r="MT29" s="270"/>
      <c r="MU29" s="270"/>
      <c r="MV29" s="270"/>
      <c r="MW29" s="270"/>
      <c r="MX29" s="270"/>
      <c r="MY29" s="270"/>
      <c r="MZ29" s="270"/>
      <c r="NA29" s="270"/>
      <c r="NB29" s="270"/>
      <c r="NC29" s="270"/>
      <c r="ND29" s="270"/>
      <c r="NE29" s="270"/>
      <c r="NF29" s="270"/>
      <c r="NG29" s="270"/>
      <c r="NH29" s="270"/>
      <c r="NI29" s="270"/>
      <c r="NJ29" s="270"/>
      <c r="NK29" s="270"/>
      <c r="NL29" s="270"/>
      <c r="NM29" s="270"/>
      <c r="NN29" s="270"/>
      <c r="NO29" s="270"/>
      <c r="NP29" s="270"/>
      <c r="NQ29" s="270"/>
      <c r="NR29" s="270"/>
      <c r="NS29" s="270"/>
      <c r="NT29" s="270"/>
      <c r="NU29" s="270"/>
      <c r="NV29" s="270"/>
      <c r="NW29" s="270"/>
      <c r="NX29" s="270"/>
      <c r="NY29" s="270"/>
      <c r="NZ29" s="270"/>
      <c r="OA29" s="270"/>
      <c r="OB29" s="270"/>
      <c r="OC29" s="270"/>
      <c r="OD29" s="270"/>
      <c r="OE29" s="270"/>
      <c r="OF29" s="270"/>
      <c r="OG29" s="270"/>
      <c r="OH29" s="270"/>
      <c r="OI29" s="270"/>
      <c r="OJ29" s="270"/>
      <c r="OK29" s="270"/>
      <c r="OL29" s="270"/>
      <c r="OM29" s="270"/>
      <c r="ON29" s="270"/>
      <c r="OO29" s="270"/>
      <c r="OP29" s="270"/>
      <c r="OQ29" s="270"/>
      <c r="OR29" s="270"/>
      <c r="OS29" s="270"/>
      <c r="OT29" s="270"/>
      <c r="OU29" s="270"/>
      <c r="OV29" s="270"/>
      <c r="OW29" s="270"/>
      <c r="OX29" s="270"/>
      <c r="OY29" s="270"/>
      <c r="OZ29" s="270"/>
      <c r="PA29" s="270"/>
      <c r="PB29" s="270"/>
      <c r="PC29" s="270"/>
      <c r="PD29" s="270"/>
      <c r="PE29" s="270"/>
      <c r="PF29" s="270"/>
      <c r="PG29" s="270"/>
      <c r="PH29" s="270"/>
      <c r="PI29" s="270"/>
      <c r="PJ29" s="270"/>
      <c r="PK29" s="270"/>
      <c r="PL29" s="270"/>
      <c r="PM29" s="270"/>
      <c r="PN29" s="270"/>
      <c r="PO29" s="270"/>
      <c r="PP29" s="270"/>
      <c r="PQ29" s="270"/>
      <c r="PR29" s="270"/>
      <c r="PS29" s="270"/>
      <c r="PT29" s="270"/>
      <c r="PU29" s="270"/>
      <c r="PV29" s="270"/>
      <c r="PW29" s="270"/>
      <c r="PX29" s="270"/>
      <c r="PY29" s="270"/>
      <c r="PZ29" s="270"/>
      <c r="QA29" s="270"/>
      <c r="QB29" s="270"/>
      <c r="QC29" s="270"/>
      <c r="QD29" s="270"/>
      <c r="QE29" s="270"/>
      <c r="QF29" s="270"/>
      <c r="QG29" s="270"/>
      <c r="QH29" s="270"/>
      <c r="QI29" s="270"/>
      <c r="QJ29" s="270"/>
      <c r="QK29" s="270"/>
      <c r="QL29" s="270"/>
      <c r="QM29" s="270"/>
      <c r="QN29" s="270"/>
      <c r="QO29" s="270"/>
      <c r="QP29" s="270"/>
      <c r="QQ29" s="270"/>
      <c r="QR29" s="270"/>
      <c r="QS29" s="270"/>
      <c r="QT29" s="270"/>
      <c r="QU29" s="270"/>
      <c r="QV29" s="270"/>
      <c r="QW29" s="270"/>
      <c r="QX29" s="270"/>
      <c r="QY29" s="270"/>
      <c r="QZ29" s="302"/>
    </row>
    <row r="30" spans="1:468" s="289" customFormat="1" ht="69" customHeight="1" x14ac:dyDescent="0.2">
      <c r="A30" s="554"/>
      <c r="B30" s="555"/>
      <c r="C30" s="555"/>
      <c r="D30" s="555"/>
      <c r="E30" s="556"/>
      <c r="F30" s="555"/>
      <c r="G30" s="557"/>
      <c r="H30" s="558"/>
      <c r="I30" s="553"/>
      <c r="J30" s="555"/>
      <c r="K30" s="553">
        <f ca="1">IF(NOT(ISERROR(MATCH(J30,_xlfn.ANCHORARRAY(E33),0))),#REF!&amp;"Por favor no seleccionar los criterios de impacto",J30)</f>
        <v>0</v>
      </c>
      <c r="L30" s="558"/>
      <c r="M30" s="553"/>
      <c r="N30" s="552"/>
      <c r="O30" s="274">
        <v>2</v>
      </c>
      <c r="P30" s="275"/>
      <c r="Q30" s="276" t="str">
        <f t="shared" si="7"/>
        <v/>
      </c>
      <c r="R30" s="277"/>
      <c r="S30" s="277"/>
      <c r="T30" s="278" t="str">
        <f t="shared" ref="T30" si="56">IF(AND(R30="Preventivo",S30="Automático"),"50%",IF(AND(R30="Preventivo",S30="Manual"),"40%",IF(AND(R30="Detectivo",S30="Automático"),"40%",IF(AND(R30="Detectivo",S30="Manual"),"30%",IF(AND(R30="Correctivo",S30="Automático"),"35%",IF(AND(R30="Correctivo",S30="Manual"),"25%",""))))))</f>
        <v/>
      </c>
      <c r="U30" s="277"/>
      <c r="V30" s="277"/>
      <c r="W30" s="277"/>
      <c r="X30" s="279" t="str">
        <f>IFERROR(IF(AND(Q29="Probabilidad",Q30="Probabilidad"),(Z29-(+Z29*T30)),IF(Q30="Probabilidad",(I29-(+I29*T30)),IF(Q30="Impacto",Z29,""))),"")</f>
        <v/>
      </c>
      <c r="Y30" s="280" t="str">
        <f t="shared" si="18"/>
        <v/>
      </c>
      <c r="Z30" s="278" t="str">
        <f t="shared" ref="Z30" si="57">+X30</f>
        <v/>
      </c>
      <c r="AA30" s="280" t="str">
        <f t="shared" si="9"/>
        <v/>
      </c>
      <c r="AB30" s="278" t="str">
        <f>IFERROR(IF(AND(Q29="Impacto",Q30="Impacto"),(AB27-(+AB27*T30)),IF(Q30="Impacto",($M$29-(+$M$29*T30)),IF(Q30="Probabilidad",AB27,""))),"")</f>
        <v/>
      </c>
      <c r="AC30" s="281" t="str">
        <f t="shared" ref="AC30" si="58">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277"/>
      <c r="AE30" s="282"/>
      <c r="AF30" s="282"/>
      <c r="AG30" s="283"/>
      <c r="AH30" s="284"/>
      <c r="AI30" s="284"/>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c r="CF30" s="270"/>
      <c r="CG30" s="270"/>
      <c r="CH30" s="270"/>
      <c r="CI30" s="270"/>
      <c r="CJ30" s="270"/>
      <c r="CK30" s="270"/>
      <c r="CL30" s="270"/>
      <c r="CM30" s="270"/>
      <c r="CN30" s="270"/>
      <c r="CO30" s="270"/>
      <c r="CP30" s="270"/>
      <c r="CQ30" s="270"/>
      <c r="CR30" s="270"/>
      <c r="CS30" s="270"/>
      <c r="CT30" s="270"/>
      <c r="CU30" s="270"/>
      <c r="CV30" s="270"/>
      <c r="CW30" s="270"/>
      <c r="CX30" s="270"/>
      <c r="CY30" s="270"/>
      <c r="CZ30" s="270"/>
      <c r="DA30" s="270"/>
      <c r="DB30" s="270"/>
      <c r="DC30" s="270"/>
      <c r="DD30" s="270"/>
      <c r="DE30" s="270"/>
      <c r="DF30" s="270"/>
      <c r="DG30" s="270"/>
      <c r="DH30" s="270"/>
      <c r="DI30" s="270"/>
      <c r="DJ30" s="270"/>
      <c r="DK30" s="270"/>
      <c r="DL30" s="270"/>
      <c r="DM30" s="270"/>
      <c r="DN30" s="270"/>
      <c r="DO30" s="270"/>
      <c r="DP30" s="270"/>
      <c r="DQ30" s="270"/>
      <c r="DR30" s="270"/>
      <c r="DS30" s="270"/>
      <c r="DT30" s="270"/>
      <c r="DU30" s="270"/>
      <c r="DV30" s="270"/>
      <c r="DW30" s="270"/>
      <c r="DX30" s="270"/>
      <c r="DY30" s="270"/>
      <c r="DZ30" s="270"/>
      <c r="EA30" s="270"/>
      <c r="EB30" s="270"/>
      <c r="EC30" s="270"/>
      <c r="ED30" s="270"/>
      <c r="EE30" s="270"/>
      <c r="EF30" s="270"/>
      <c r="EG30" s="270"/>
      <c r="EH30" s="270"/>
      <c r="EI30" s="270"/>
      <c r="EJ30" s="270"/>
      <c r="EK30" s="270"/>
      <c r="EL30" s="270"/>
      <c r="EM30" s="270"/>
      <c r="EN30" s="270"/>
      <c r="EO30" s="270"/>
      <c r="EP30" s="270"/>
      <c r="EQ30" s="270"/>
      <c r="ER30" s="270"/>
      <c r="ES30" s="270"/>
      <c r="ET30" s="270"/>
      <c r="EU30" s="270"/>
      <c r="EV30" s="270"/>
      <c r="EW30" s="270"/>
      <c r="EX30" s="270"/>
      <c r="EY30" s="270"/>
      <c r="EZ30" s="270"/>
      <c r="FA30" s="270"/>
      <c r="FB30" s="270"/>
      <c r="FC30" s="270"/>
      <c r="FD30" s="270"/>
      <c r="FE30" s="270"/>
      <c r="FF30" s="270"/>
      <c r="FG30" s="270"/>
      <c r="FH30" s="270"/>
      <c r="FI30" s="270"/>
      <c r="FJ30" s="270"/>
      <c r="FK30" s="270"/>
      <c r="FL30" s="270"/>
      <c r="FM30" s="270"/>
      <c r="FN30" s="270"/>
      <c r="FO30" s="270"/>
      <c r="FP30" s="270"/>
      <c r="FQ30" s="270"/>
      <c r="FR30" s="270"/>
      <c r="FS30" s="270"/>
      <c r="FT30" s="270"/>
      <c r="FU30" s="270"/>
      <c r="FV30" s="270"/>
      <c r="FW30" s="270"/>
      <c r="FX30" s="270"/>
      <c r="FY30" s="270"/>
      <c r="FZ30" s="270"/>
      <c r="GA30" s="270"/>
      <c r="GB30" s="270"/>
      <c r="GC30" s="270"/>
      <c r="GD30" s="270"/>
      <c r="GE30" s="270"/>
      <c r="GF30" s="270"/>
      <c r="GG30" s="270"/>
      <c r="GH30" s="270"/>
      <c r="GI30" s="270"/>
      <c r="GJ30" s="270"/>
      <c r="GK30" s="270"/>
      <c r="GL30" s="270"/>
      <c r="GM30" s="270"/>
      <c r="GN30" s="270"/>
      <c r="GO30" s="270"/>
      <c r="GP30" s="270"/>
      <c r="GQ30" s="270"/>
      <c r="GR30" s="270"/>
      <c r="GS30" s="270"/>
      <c r="GT30" s="270"/>
      <c r="GU30" s="270"/>
      <c r="GV30" s="270"/>
      <c r="GW30" s="270"/>
      <c r="GX30" s="270"/>
      <c r="GY30" s="270"/>
      <c r="GZ30" s="270"/>
      <c r="HA30" s="270"/>
      <c r="HB30" s="270"/>
      <c r="HC30" s="270"/>
      <c r="HD30" s="270"/>
      <c r="HE30" s="270"/>
      <c r="HF30" s="270"/>
      <c r="HG30" s="270"/>
      <c r="HH30" s="270"/>
      <c r="HI30" s="270"/>
      <c r="HJ30" s="270"/>
      <c r="HK30" s="270"/>
      <c r="HL30" s="270"/>
      <c r="HM30" s="270"/>
      <c r="HN30" s="270"/>
      <c r="HO30" s="270"/>
      <c r="HP30" s="270"/>
      <c r="HQ30" s="270"/>
      <c r="HR30" s="270"/>
      <c r="HS30" s="270"/>
      <c r="HT30" s="270"/>
      <c r="HU30" s="270"/>
      <c r="HV30" s="270"/>
      <c r="HW30" s="270"/>
      <c r="HX30" s="270"/>
      <c r="HY30" s="270"/>
      <c r="HZ30" s="270"/>
      <c r="IA30" s="270"/>
      <c r="IB30" s="270"/>
      <c r="IC30" s="270"/>
      <c r="ID30" s="270"/>
      <c r="IE30" s="270"/>
      <c r="IF30" s="270"/>
      <c r="IG30" s="270"/>
      <c r="IH30" s="270"/>
      <c r="II30" s="270"/>
      <c r="IJ30" s="270"/>
      <c r="IK30" s="270"/>
      <c r="IL30" s="270"/>
      <c r="IM30" s="270"/>
      <c r="IN30" s="270"/>
      <c r="IO30" s="270"/>
      <c r="IP30" s="270"/>
      <c r="IQ30" s="270"/>
      <c r="IR30" s="270"/>
      <c r="IS30" s="270"/>
      <c r="IT30" s="270"/>
      <c r="IU30" s="270"/>
      <c r="IV30" s="270"/>
      <c r="IW30" s="270"/>
      <c r="IX30" s="270"/>
      <c r="IY30" s="270"/>
      <c r="IZ30" s="270"/>
      <c r="JA30" s="270"/>
      <c r="JB30" s="270"/>
      <c r="JC30" s="270"/>
      <c r="JD30" s="270"/>
      <c r="JE30" s="270"/>
      <c r="JF30" s="270"/>
      <c r="JG30" s="270"/>
      <c r="JH30" s="270"/>
      <c r="JI30" s="270"/>
      <c r="JJ30" s="270"/>
      <c r="JK30" s="270"/>
      <c r="JL30" s="270"/>
      <c r="JM30" s="270"/>
      <c r="JN30" s="270"/>
      <c r="JO30" s="270"/>
      <c r="JP30" s="270"/>
      <c r="JQ30" s="270"/>
      <c r="JR30" s="270"/>
      <c r="JS30" s="270"/>
      <c r="JT30" s="270"/>
      <c r="JU30" s="270"/>
      <c r="JV30" s="270"/>
      <c r="JW30" s="270"/>
      <c r="JX30" s="270"/>
      <c r="JY30" s="270"/>
      <c r="JZ30" s="270"/>
      <c r="KA30" s="270"/>
      <c r="KB30" s="270"/>
      <c r="KC30" s="270"/>
      <c r="KD30" s="270"/>
      <c r="KE30" s="270"/>
      <c r="KF30" s="270"/>
      <c r="KG30" s="270"/>
      <c r="KH30" s="270"/>
      <c r="KI30" s="270"/>
      <c r="KJ30" s="270"/>
      <c r="KK30" s="270"/>
      <c r="KL30" s="270"/>
      <c r="KM30" s="270"/>
      <c r="KN30" s="270"/>
      <c r="KO30" s="270"/>
      <c r="KP30" s="270"/>
      <c r="KQ30" s="270"/>
      <c r="KR30" s="270"/>
      <c r="KS30" s="270"/>
      <c r="KT30" s="270"/>
      <c r="KU30" s="270"/>
      <c r="KV30" s="270"/>
      <c r="KW30" s="270"/>
      <c r="KX30" s="270"/>
      <c r="KY30" s="270"/>
      <c r="KZ30" s="270"/>
      <c r="LA30" s="270"/>
      <c r="LB30" s="270"/>
      <c r="LC30" s="270"/>
      <c r="LD30" s="270"/>
      <c r="LE30" s="270"/>
      <c r="LF30" s="270"/>
      <c r="LG30" s="270"/>
      <c r="LH30" s="270"/>
      <c r="LI30" s="270"/>
      <c r="LJ30" s="270"/>
      <c r="LK30" s="270"/>
      <c r="LL30" s="270"/>
      <c r="LM30" s="270"/>
      <c r="LN30" s="270"/>
      <c r="LO30" s="270"/>
      <c r="LP30" s="270"/>
      <c r="LQ30" s="270"/>
      <c r="LR30" s="270"/>
      <c r="LS30" s="270"/>
      <c r="LT30" s="270"/>
      <c r="LU30" s="270"/>
      <c r="LV30" s="270"/>
      <c r="LW30" s="270"/>
      <c r="LX30" s="270"/>
      <c r="LY30" s="270"/>
      <c r="LZ30" s="270"/>
      <c r="MA30" s="270"/>
      <c r="MB30" s="270"/>
      <c r="MC30" s="270"/>
      <c r="MD30" s="270"/>
      <c r="ME30" s="270"/>
      <c r="MF30" s="270"/>
      <c r="MG30" s="270"/>
      <c r="MH30" s="270"/>
      <c r="MI30" s="270"/>
      <c r="MJ30" s="270"/>
      <c r="MK30" s="270"/>
      <c r="ML30" s="270"/>
      <c r="MM30" s="270"/>
      <c r="MN30" s="270"/>
      <c r="MO30" s="270"/>
      <c r="MP30" s="270"/>
      <c r="MQ30" s="270"/>
      <c r="MR30" s="270"/>
      <c r="MS30" s="270"/>
      <c r="MT30" s="270"/>
      <c r="MU30" s="270"/>
      <c r="MV30" s="270"/>
      <c r="MW30" s="270"/>
      <c r="MX30" s="270"/>
      <c r="MY30" s="270"/>
      <c r="MZ30" s="270"/>
      <c r="NA30" s="270"/>
      <c r="NB30" s="270"/>
      <c r="NC30" s="270"/>
      <c r="ND30" s="270"/>
      <c r="NE30" s="270"/>
      <c r="NF30" s="270"/>
      <c r="NG30" s="270"/>
      <c r="NH30" s="270"/>
      <c r="NI30" s="270"/>
      <c r="NJ30" s="270"/>
      <c r="NK30" s="270"/>
      <c r="NL30" s="270"/>
      <c r="NM30" s="270"/>
      <c r="NN30" s="270"/>
      <c r="NO30" s="270"/>
      <c r="NP30" s="270"/>
      <c r="NQ30" s="270"/>
      <c r="NR30" s="270"/>
      <c r="NS30" s="270"/>
      <c r="NT30" s="270"/>
      <c r="NU30" s="270"/>
      <c r="NV30" s="270"/>
      <c r="NW30" s="270"/>
      <c r="NX30" s="270"/>
      <c r="NY30" s="270"/>
      <c r="NZ30" s="270"/>
      <c r="OA30" s="270"/>
      <c r="OB30" s="270"/>
      <c r="OC30" s="270"/>
      <c r="OD30" s="270"/>
      <c r="OE30" s="270"/>
      <c r="OF30" s="270"/>
      <c r="OG30" s="270"/>
      <c r="OH30" s="270"/>
      <c r="OI30" s="270"/>
      <c r="OJ30" s="270"/>
      <c r="OK30" s="270"/>
      <c r="OL30" s="270"/>
      <c r="OM30" s="270"/>
      <c r="ON30" s="270"/>
      <c r="OO30" s="270"/>
      <c r="OP30" s="270"/>
      <c r="OQ30" s="270"/>
      <c r="OR30" s="270"/>
      <c r="OS30" s="270"/>
      <c r="OT30" s="270"/>
      <c r="OU30" s="270"/>
      <c r="OV30" s="270"/>
      <c r="OW30" s="270"/>
      <c r="OX30" s="270"/>
      <c r="OY30" s="270"/>
      <c r="OZ30" s="270"/>
      <c r="PA30" s="270"/>
      <c r="PB30" s="270"/>
      <c r="PC30" s="270"/>
      <c r="PD30" s="270"/>
      <c r="PE30" s="270"/>
      <c r="PF30" s="270"/>
      <c r="PG30" s="270"/>
      <c r="PH30" s="270"/>
      <c r="PI30" s="270"/>
      <c r="PJ30" s="270"/>
      <c r="PK30" s="270"/>
      <c r="PL30" s="270"/>
      <c r="PM30" s="270"/>
      <c r="PN30" s="270"/>
      <c r="PO30" s="270"/>
      <c r="PP30" s="270"/>
      <c r="PQ30" s="270"/>
      <c r="PR30" s="270"/>
      <c r="PS30" s="270"/>
      <c r="PT30" s="270"/>
      <c r="PU30" s="270"/>
      <c r="PV30" s="270"/>
      <c r="PW30" s="270"/>
      <c r="PX30" s="270"/>
      <c r="PY30" s="270"/>
      <c r="PZ30" s="270"/>
      <c r="QA30" s="270"/>
      <c r="QB30" s="270"/>
      <c r="QC30" s="270"/>
      <c r="QD30" s="270"/>
      <c r="QE30" s="270"/>
      <c r="QF30" s="270"/>
      <c r="QG30" s="270"/>
      <c r="QH30" s="270"/>
      <c r="QI30" s="270"/>
      <c r="QJ30" s="270"/>
      <c r="QK30" s="270"/>
      <c r="QL30" s="270"/>
      <c r="QM30" s="270"/>
      <c r="QN30" s="270"/>
      <c r="QO30" s="270"/>
      <c r="QP30" s="270"/>
      <c r="QQ30" s="270"/>
      <c r="QR30" s="270"/>
      <c r="QS30" s="270"/>
      <c r="QT30" s="270"/>
      <c r="QU30" s="270"/>
      <c r="QV30" s="270"/>
      <c r="QW30" s="270"/>
      <c r="QX30" s="270"/>
      <c r="QY30" s="270"/>
      <c r="QZ30" s="302"/>
    </row>
    <row r="31" spans="1:468" s="289" customFormat="1" ht="69" customHeight="1" x14ac:dyDescent="0.2">
      <c r="A31" s="554">
        <v>9</v>
      </c>
      <c r="B31" s="555"/>
      <c r="C31" s="555"/>
      <c r="D31" s="555"/>
      <c r="E31" s="556"/>
      <c r="F31" s="555"/>
      <c r="G31" s="557"/>
      <c r="H31" s="558" t="str">
        <f t="shared" ref="H31" si="59">IF(G31&lt;=0,"",IF(G31&lt;=2,"Muy Baja",IF(G31&lt;=24,"Baja",IF(G31&lt;=500,"Media",IF(G31&lt;=5000,"Alta","Muy Alta")))))</f>
        <v/>
      </c>
      <c r="I31" s="553" t="str">
        <f t="shared" ref="I31" si="60">IF(H31="","",IF(H31="Muy Baja",0.2,IF(H31="Baja",0.4,IF(H31="Media",0.6,IF(H31="Alta",0.8,IF(H31="Muy Alta",1,))))))</f>
        <v/>
      </c>
      <c r="J31" s="555"/>
      <c r="K31" s="553">
        <f>IF(NOT(ISERROR(MATCH(J31,'[2]Tabla Impacto'!$B$221:$B$223,0))),'[2]Tabla Impacto'!$F$223&amp;"Por favor no seleccionar los criterios de impacto(Afectación Económica o presupuestal y Pérdida Reputacional)",J31)</f>
        <v>0</v>
      </c>
      <c r="L31" s="558" t="str">
        <f t="shared" ref="L31" si="61">IF(J31&lt;=0,"",IF(J31&lt;=10,"Leve",IF(J31&lt;=50,"Menor",IF(J31&lt;=100,"Moderado",IF(J31&lt;=500,"Mayor","Catastrófico")))))</f>
        <v/>
      </c>
      <c r="M31" s="553" t="str">
        <f t="shared" ref="M31" si="62">IF(L31="","",IF(L31="Leve",0.2,IF(L31="Menor",0.4,IF(L31="Moderado",0.6,IF(L31="Mayor",0.8,IF(L31="Catastrófico",1,))))))</f>
        <v/>
      </c>
      <c r="N31" s="552" t="str">
        <f t="shared" ref="N31" si="63">IF(OR(AND(H31="Muy Baja",L31="Leve"),AND(H31="Muy Baja",L31="Menor"),AND(H31="Baja",L31="Leve")),"Bajo",IF(OR(AND(H31="Muy baja",L31="Moderado"),AND(H31="Baja",L31="Menor"),AND(H31="Baja",L31="Moderado"),AND(H31="Media",L31="Leve"),AND(H31="Media",L31="Menor"),AND(H31="Media",L31="Moderado"),AND(H31="Alta",L31="Leve"),AND(H31="Alta",L31="Menor")),"Moderado",IF(OR(AND(H31="Muy Baja",L31="Mayor"),AND(H31="Baja",L31="Mayor"),AND(H31="Media",L31="Mayor"),AND(H31="Alta",L31="Moderado"),AND(H31="Alta",L31="Mayor"),AND(H31="Muy Alta",L31="Leve"),AND(H31="Muy Alta",L31="Menor"),AND(H31="Muy Alta",L31="Moderado"),AND(H31="Muy Alta",L31="Mayor")),"Alto",IF(OR(AND(H31="Muy Baja",L31="Catastrófico"),AND(H31="Baja",L31="Catastrófico"),AND(H31="Media",L31="Catastrófico"),AND(H31="Alta",L31="Catastrófico"),AND(H31="Muy Alta",L31="Catastrófico")),"Extremo",""))))</f>
        <v/>
      </c>
      <c r="O31" s="274">
        <v>1</v>
      </c>
      <c r="P31" s="275"/>
      <c r="Q31" s="276" t="str">
        <f t="shared" si="7"/>
        <v/>
      </c>
      <c r="R31" s="277"/>
      <c r="S31" s="277"/>
      <c r="T31" s="278" t="str">
        <f>IF(AND(R31="Preventivo",S31="Automático"),"50%",IF(AND(R31="Preventivo",S31="Manual"),"40%",IF(AND(R31="Detectivo",S31="Automático"),"40%",IF(AND(R31="Detectivo",S31="Manual"),"30%",IF(AND(R31="Correctivo",S31="Automático"),"35%",IF(AND(R31="Correctivo",S31="Manual"),"25%",""))))))</f>
        <v/>
      </c>
      <c r="U31" s="277"/>
      <c r="V31" s="277"/>
      <c r="W31" s="277"/>
      <c r="X31" s="279" t="str">
        <f>IFERROR(IF(Q31="Probabilidad",(I31-(+I31*T31)),IF(Q31="Impacto",I31,"")),"")</f>
        <v/>
      </c>
      <c r="Y31" s="280" t="str">
        <f>IFERROR(IF(X31="","",IF(X31&lt;=0.2,"Muy Baja",IF(X31&lt;=0.4,"Baja",IF(X31&lt;=0.6,"Media",IF(X31&lt;=0.8,"Alta","Muy Alta"))))),"")</f>
        <v/>
      </c>
      <c r="Z31" s="278" t="str">
        <f>+X31</f>
        <v/>
      </c>
      <c r="AA31" s="280" t="str">
        <f>IFERROR(IF(AB31="","",IF(AB31&lt;=0.2,"Leve",IF(AB31&lt;=0.4,"Menor",IF(AB31&lt;=0.6,"Moderado",IF(AB31&lt;=0.8,"Mayor","Catastrófico"))))),"")</f>
        <v/>
      </c>
      <c r="AB31" s="278" t="str">
        <f>IFERROR(IF(Q31="Impacto",(M31-(+M31*T31)),IF(Q31="Probabilidad",M31,"")),"")</f>
        <v/>
      </c>
      <c r="AC31" s="28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77"/>
      <c r="AE31" s="282"/>
      <c r="AF31" s="282"/>
      <c r="AG31" s="283"/>
      <c r="AH31" s="284"/>
      <c r="AI31" s="284"/>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c r="CF31" s="270"/>
      <c r="CG31" s="270"/>
      <c r="CH31" s="270"/>
      <c r="CI31" s="270"/>
      <c r="CJ31" s="270"/>
      <c r="CK31" s="270"/>
      <c r="CL31" s="270"/>
      <c r="CM31" s="270"/>
      <c r="CN31" s="270"/>
      <c r="CO31" s="270"/>
      <c r="CP31" s="270"/>
      <c r="CQ31" s="270"/>
      <c r="CR31" s="270"/>
      <c r="CS31" s="270"/>
      <c r="CT31" s="270"/>
      <c r="CU31" s="270"/>
      <c r="CV31" s="270"/>
      <c r="CW31" s="270"/>
      <c r="CX31" s="270"/>
      <c r="CY31" s="270"/>
      <c r="CZ31" s="270"/>
      <c r="DA31" s="270"/>
      <c r="DB31" s="270"/>
      <c r="DC31" s="270"/>
      <c r="DD31" s="270"/>
      <c r="DE31" s="270"/>
      <c r="DF31" s="270"/>
      <c r="DG31" s="270"/>
      <c r="DH31" s="270"/>
      <c r="DI31" s="270"/>
      <c r="DJ31" s="270"/>
      <c r="DK31" s="270"/>
      <c r="DL31" s="270"/>
      <c r="DM31" s="270"/>
      <c r="DN31" s="270"/>
      <c r="DO31" s="270"/>
      <c r="DP31" s="270"/>
      <c r="DQ31" s="270"/>
      <c r="DR31" s="270"/>
      <c r="DS31" s="270"/>
      <c r="DT31" s="270"/>
      <c r="DU31" s="270"/>
      <c r="DV31" s="270"/>
      <c r="DW31" s="270"/>
      <c r="DX31" s="270"/>
      <c r="DY31" s="270"/>
      <c r="DZ31" s="270"/>
      <c r="EA31" s="270"/>
      <c r="EB31" s="270"/>
      <c r="EC31" s="270"/>
      <c r="ED31" s="270"/>
      <c r="EE31" s="270"/>
      <c r="EF31" s="270"/>
      <c r="EG31" s="270"/>
      <c r="EH31" s="270"/>
      <c r="EI31" s="270"/>
      <c r="EJ31" s="270"/>
      <c r="EK31" s="270"/>
      <c r="EL31" s="270"/>
      <c r="EM31" s="270"/>
      <c r="EN31" s="270"/>
      <c r="EO31" s="270"/>
      <c r="EP31" s="270"/>
      <c r="EQ31" s="270"/>
      <c r="ER31" s="270"/>
      <c r="ES31" s="270"/>
      <c r="ET31" s="270"/>
      <c r="EU31" s="270"/>
      <c r="EV31" s="270"/>
      <c r="EW31" s="270"/>
      <c r="EX31" s="270"/>
      <c r="EY31" s="270"/>
      <c r="EZ31" s="270"/>
      <c r="FA31" s="270"/>
      <c r="FB31" s="270"/>
      <c r="FC31" s="270"/>
      <c r="FD31" s="270"/>
      <c r="FE31" s="270"/>
      <c r="FF31" s="270"/>
      <c r="FG31" s="270"/>
      <c r="FH31" s="270"/>
      <c r="FI31" s="270"/>
      <c r="FJ31" s="270"/>
      <c r="FK31" s="270"/>
      <c r="FL31" s="270"/>
      <c r="FM31" s="270"/>
      <c r="FN31" s="270"/>
      <c r="FO31" s="270"/>
      <c r="FP31" s="270"/>
      <c r="FQ31" s="270"/>
      <c r="FR31" s="270"/>
      <c r="FS31" s="270"/>
      <c r="FT31" s="270"/>
      <c r="FU31" s="270"/>
      <c r="FV31" s="270"/>
      <c r="FW31" s="270"/>
      <c r="FX31" s="270"/>
      <c r="FY31" s="270"/>
      <c r="FZ31" s="270"/>
      <c r="GA31" s="270"/>
      <c r="GB31" s="270"/>
      <c r="GC31" s="270"/>
      <c r="GD31" s="270"/>
      <c r="GE31" s="270"/>
      <c r="GF31" s="270"/>
      <c r="GG31" s="270"/>
      <c r="GH31" s="270"/>
      <c r="GI31" s="270"/>
      <c r="GJ31" s="270"/>
      <c r="GK31" s="270"/>
      <c r="GL31" s="270"/>
      <c r="GM31" s="270"/>
      <c r="GN31" s="270"/>
      <c r="GO31" s="270"/>
      <c r="GP31" s="270"/>
      <c r="GQ31" s="270"/>
      <c r="GR31" s="270"/>
      <c r="GS31" s="270"/>
      <c r="GT31" s="270"/>
      <c r="GU31" s="270"/>
      <c r="GV31" s="270"/>
      <c r="GW31" s="270"/>
      <c r="GX31" s="270"/>
      <c r="GY31" s="270"/>
      <c r="GZ31" s="270"/>
      <c r="HA31" s="270"/>
      <c r="HB31" s="270"/>
      <c r="HC31" s="270"/>
      <c r="HD31" s="270"/>
      <c r="HE31" s="270"/>
      <c r="HF31" s="270"/>
      <c r="HG31" s="270"/>
      <c r="HH31" s="270"/>
      <c r="HI31" s="270"/>
      <c r="HJ31" s="270"/>
      <c r="HK31" s="270"/>
      <c r="HL31" s="270"/>
      <c r="HM31" s="270"/>
      <c r="HN31" s="270"/>
      <c r="HO31" s="270"/>
      <c r="HP31" s="270"/>
      <c r="HQ31" s="270"/>
      <c r="HR31" s="270"/>
      <c r="HS31" s="270"/>
      <c r="HT31" s="270"/>
      <c r="HU31" s="270"/>
      <c r="HV31" s="270"/>
      <c r="HW31" s="270"/>
      <c r="HX31" s="270"/>
      <c r="HY31" s="270"/>
      <c r="HZ31" s="270"/>
      <c r="IA31" s="270"/>
      <c r="IB31" s="270"/>
      <c r="IC31" s="270"/>
      <c r="ID31" s="270"/>
      <c r="IE31" s="270"/>
      <c r="IF31" s="270"/>
      <c r="IG31" s="270"/>
      <c r="IH31" s="270"/>
      <c r="II31" s="270"/>
      <c r="IJ31" s="270"/>
      <c r="IK31" s="270"/>
      <c r="IL31" s="270"/>
      <c r="IM31" s="270"/>
      <c r="IN31" s="270"/>
      <c r="IO31" s="270"/>
      <c r="IP31" s="270"/>
      <c r="IQ31" s="270"/>
      <c r="IR31" s="270"/>
      <c r="IS31" s="270"/>
      <c r="IT31" s="270"/>
      <c r="IU31" s="270"/>
      <c r="IV31" s="270"/>
      <c r="IW31" s="270"/>
      <c r="IX31" s="270"/>
      <c r="IY31" s="270"/>
      <c r="IZ31" s="270"/>
      <c r="JA31" s="270"/>
      <c r="JB31" s="270"/>
      <c r="JC31" s="270"/>
      <c r="JD31" s="270"/>
      <c r="JE31" s="270"/>
      <c r="JF31" s="270"/>
      <c r="JG31" s="270"/>
      <c r="JH31" s="270"/>
      <c r="JI31" s="270"/>
      <c r="JJ31" s="270"/>
      <c r="JK31" s="270"/>
      <c r="JL31" s="270"/>
      <c r="JM31" s="270"/>
      <c r="JN31" s="270"/>
      <c r="JO31" s="270"/>
      <c r="JP31" s="270"/>
      <c r="JQ31" s="270"/>
      <c r="JR31" s="270"/>
      <c r="JS31" s="270"/>
      <c r="JT31" s="270"/>
      <c r="JU31" s="270"/>
      <c r="JV31" s="270"/>
      <c r="JW31" s="270"/>
      <c r="JX31" s="270"/>
      <c r="JY31" s="270"/>
      <c r="JZ31" s="270"/>
      <c r="KA31" s="270"/>
      <c r="KB31" s="270"/>
      <c r="KC31" s="270"/>
      <c r="KD31" s="270"/>
      <c r="KE31" s="270"/>
      <c r="KF31" s="270"/>
      <c r="KG31" s="270"/>
      <c r="KH31" s="270"/>
      <c r="KI31" s="270"/>
      <c r="KJ31" s="270"/>
      <c r="KK31" s="270"/>
      <c r="KL31" s="270"/>
      <c r="KM31" s="270"/>
      <c r="KN31" s="270"/>
      <c r="KO31" s="270"/>
      <c r="KP31" s="270"/>
      <c r="KQ31" s="270"/>
      <c r="KR31" s="270"/>
      <c r="KS31" s="270"/>
      <c r="KT31" s="270"/>
      <c r="KU31" s="270"/>
      <c r="KV31" s="270"/>
      <c r="KW31" s="270"/>
      <c r="KX31" s="270"/>
      <c r="KY31" s="270"/>
      <c r="KZ31" s="270"/>
      <c r="LA31" s="270"/>
      <c r="LB31" s="270"/>
      <c r="LC31" s="270"/>
      <c r="LD31" s="270"/>
      <c r="LE31" s="270"/>
      <c r="LF31" s="270"/>
      <c r="LG31" s="270"/>
      <c r="LH31" s="270"/>
      <c r="LI31" s="270"/>
      <c r="LJ31" s="270"/>
      <c r="LK31" s="270"/>
      <c r="LL31" s="270"/>
      <c r="LM31" s="270"/>
      <c r="LN31" s="270"/>
      <c r="LO31" s="270"/>
      <c r="LP31" s="270"/>
      <c r="LQ31" s="270"/>
      <c r="LR31" s="270"/>
      <c r="LS31" s="270"/>
      <c r="LT31" s="270"/>
      <c r="LU31" s="270"/>
      <c r="LV31" s="270"/>
      <c r="LW31" s="270"/>
      <c r="LX31" s="270"/>
      <c r="LY31" s="270"/>
      <c r="LZ31" s="270"/>
      <c r="MA31" s="270"/>
      <c r="MB31" s="270"/>
      <c r="MC31" s="270"/>
      <c r="MD31" s="270"/>
      <c r="ME31" s="270"/>
      <c r="MF31" s="270"/>
      <c r="MG31" s="270"/>
      <c r="MH31" s="270"/>
      <c r="MI31" s="270"/>
      <c r="MJ31" s="270"/>
      <c r="MK31" s="270"/>
      <c r="ML31" s="270"/>
      <c r="MM31" s="270"/>
      <c r="MN31" s="270"/>
      <c r="MO31" s="270"/>
      <c r="MP31" s="270"/>
      <c r="MQ31" s="270"/>
      <c r="MR31" s="270"/>
      <c r="MS31" s="270"/>
      <c r="MT31" s="270"/>
      <c r="MU31" s="270"/>
      <c r="MV31" s="270"/>
      <c r="MW31" s="270"/>
      <c r="MX31" s="270"/>
      <c r="MY31" s="270"/>
      <c r="MZ31" s="270"/>
      <c r="NA31" s="270"/>
      <c r="NB31" s="270"/>
      <c r="NC31" s="270"/>
      <c r="ND31" s="270"/>
      <c r="NE31" s="270"/>
      <c r="NF31" s="270"/>
      <c r="NG31" s="270"/>
      <c r="NH31" s="270"/>
      <c r="NI31" s="270"/>
      <c r="NJ31" s="270"/>
      <c r="NK31" s="270"/>
      <c r="NL31" s="270"/>
      <c r="NM31" s="270"/>
      <c r="NN31" s="270"/>
      <c r="NO31" s="270"/>
      <c r="NP31" s="270"/>
      <c r="NQ31" s="270"/>
      <c r="NR31" s="270"/>
      <c r="NS31" s="270"/>
      <c r="NT31" s="270"/>
      <c r="NU31" s="270"/>
      <c r="NV31" s="270"/>
      <c r="NW31" s="270"/>
      <c r="NX31" s="270"/>
      <c r="NY31" s="270"/>
      <c r="NZ31" s="270"/>
      <c r="OA31" s="270"/>
      <c r="OB31" s="270"/>
      <c r="OC31" s="270"/>
      <c r="OD31" s="270"/>
      <c r="OE31" s="270"/>
      <c r="OF31" s="270"/>
      <c r="OG31" s="270"/>
      <c r="OH31" s="270"/>
      <c r="OI31" s="270"/>
      <c r="OJ31" s="270"/>
      <c r="OK31" s="270"/>
      <c r="OL31" s="270"/>
      <c r="OM31" s="270"/>
      <c r="ON31" s="270"/>
      <c r="OO31" s="270"/>
      <c r="OP31" s="270"/>
      <c r="OQ31" s="270"/>
      <c r="OR31" s="270"/>
      <c r="OS31" s="270"/>
      <c r="OT31" s="270"/>
      <c r="OU31" s="270"/>
      <c r="OV31" s="270"/>
      <c r="OW31" s="270"/>
      <c r="OX31" s="270"/>
      <c r="OY31" s="270"/>
      <c r="OZ31" s="270"/>
      <c r="PA31" s="270"/>
      <c r="PB31" s="270"/>
      <c r="PC31" s="270"/>
      <c r="PD31" s="270"/>
      <c r="PE31" s="270"/>
      <c r="PF31" s="270"/>
      <c r="PG31" s="270"/>
      <c r="PH31" s="270"/>
      <c r="PI31" s="270"/>
      <c r="PJ31" s="270"/>
      <c r="PK31" s="270"/>
      <c r="PL31" s="270"/>
      <c r="PM31" s="270"/>
      <c r="PN31" s="270"/>
      <c r="PO31" s="270"/>
      <c r="PP31" s="270"/>
      <c r="PQ31" s="270"/>
      <c r="PR31" s="270"/>
      <c r="PS31" s="270"/>
      <c r="PT31" s="270"/>
      <c r="PU31" s="270"/>
      <c r="PV31" s="270"/>
      <c r="PW31" s="270"/>
      <c r="PX31" s="270"/>
      <c r="PY31" s="270"/>
      <c r="PZ31" s="270"/>
      <c r="QA31" s="270"/>
      <c r="QB31" s="270"/>
      <c r="QC31" s="270"/>
      <c r="QD31" s="270"/>
      <c r="QE31" s="270"/>
      <c r="QF31" s="270"/>
      <c r="QG31" s="270"/>
      <c r="QH31" s="270"/>
      <c r="QI31" s="270"/>
      <c r="QJ31" s="270"/>
      <c r="QK31" s="270"/>
      <c r="QL31" s="270"/>
      <c r="QM31" s="270"/>
      <c r="QN31" s="270"/>
      <c r="QO31" s="270"/>
      <c r="QP31" s="270"/>
      <c r="QQ31" s="270"/>
      <c r="QR31" s="270"/>
      <c r="QS31" s="270"/>
      <c r="QT31" s="270"/>
      <c r="QU31" s="270"/>
      <c r="QV31" s="270"/>
      <c r="QW31" s="270"/>
      <c r="QX31" s="270"/>
      <c r="QY31" s="270"/>
      <c r="QZ31" s="302"/>
    </row>
    <row r="32" spans="1:468" s="289" customFormat="1" ht="69" customHeight="1" x14ac:dyDescent="0.2">
      <c r="A32" s="554"/>
      <c r="B32" s="555"/>
      <c r="C32" s="555"/>
      <c r="D32" s="555"/>
      <c r="E32" s="556"/>
      <c r="F32" s="555"/>
      <c r="G32" s="557"/>
      <c r="H32" s="558"/>
      <c r="I32" s="553"/>
      <c r="J32" s="555"/>
      <c r="K32" s="553">
        <f ca="1">IF(NOT(ISERROR(MATCH(J32,_xlfn.ANCHORARRAY(E35),0))),#REF!&amp;"Por favor no seleccionar los criterios de impacto",J32)</f>
        <v>0</v>
      </c>
      <c r="L32" s="558"/>
      <c r="M32" s="553"/>
      <c r="N32" s="552"/>
      <c r="O32" s="274">
        <v>2</v>
      </c>
      <c r="P32" s="275"/>
      <c r="Q32" s="276" t="str">
        <f t="shared" si="7"/>
        <v/>
      </c>
      <c r="R32" s="277"/>
      <c r="S32" s="277"/>
      <c r="T32" s="278" t="str">
        <f t="shared" ref="T32" si="64">IF(AND(R32="Preventivo",S32="Automático"),"50%",IF(AND(R32="Preventivo",S32="Manual"),"40%",IF(AND(R32="Detectivo",S32="Automático"),"40%",IF(AND(R32="Detectivo",S32="Manual"),"30%",IF(AND(R32="Correctivo",S32="Automático"),"35%",IF(AND(R32="Correctivo",S32="Manual"),"25%",""))))))</f>
        <v/>
      </c>
      <c r="U32" s="277"/>
      <c r="V32" s="277"/>
      <c r="W32" s="277"/>
      <c r="X32" s="279" t="str">
        <f>IFERROR(IF(AND(Q31="Probabilidad",Q32="Probabilidad"),(Z31-(+Z31*T32)),IF(Q32="Probabilidad",(I31-(+I31*T32)),IF(Q32="Impacto",Z31,""))),"")</f>
        <v/>
      </c>
      <c r="Y32" s="280" t="str">
        <f t="shared" si="18"/>
        <v/>
      </c>
      <c r="Z32" s="278" t="str">
        <f t="shared" ref="Z32" si="65">+X32</f>
        <v/>
      </c>
      <c r="AA32" s="280" t="str">
        <f t="shared" si="9"/>
        <v/>
      </c>
      <c r="AB32" s="278" t="str">
        <f>IFERROR(IF(AND(Q31="Impacto",Q32="Impacto"),(AB29-(+AB29*T32)),IF(Q32="Impacto",($M$31-(+$M$31*T32)),IF(Q32="Probabilidad",AB29,""))),"")</f>
        <v/>
      </c>
      <c r="AC32" s="281" t="str">
        <f t="shared" ref="AC32" si="66">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77"/>
      <c r="AE32" s="282"/>
      <c r="AF32" s="282"/>
      <c r="AG32" s="283"/>
      <c r="AH32" s="284"/>
      <c r="AI32" s="284"/>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c r="CF32" s="270"/>
      <c r="CG32" s="270"/>
      <c r="CH32" s="270"/>
      <c r="CI32" s="270"/>
      <c r="CJ32" s="270"/>
      <c r="CK32" s="270"/>
      <c r="CL32" s="270"/>
      <c r="CM32" s="270"/>
      <c r="CN32" s="270"/>
      <c r="CO32" s="270"/>
      <c r="CP32" s="270"/>
      <c r="CQ32" s="270"/>
      <c r="CR32" s="270"/>
      <c r="CS32" s="270"/>
      <c r="CT32" s="270"/>
      <c r="CU32" s="270"/>
      <c r="CV32" s="270"/>
      <c r="CW32" s="270"/>
      <c r="CX32" s="270"/>
      <c r="CY32" s="270"/>
      <c r="CZ32" s="270"/>
      <c r="DA32" s="270"/>
      <c r="DB32" s="270"/>
      <c r="DC32" s="270"/>
      <c r="DD32" s="270"/>
      <c r="DE32" s="270"/>
      <c r="DF32" s="270"/>
      <c r="DG32" s="270"/>
      <c r="DH32" s="270"/>
      <c r="DI32" s="270"/>
      <c r="DJ32" s="270"/>
      <c r="DK32" s="270"/>
      <c r="DL32" s="270"/>
      <c r="DM32" s="270"/>
      <c r="DN32" s="270"/>
      <c r="DO32" s="270"/>
      <c r="DP32" s="270"/>
      <c r="DQ32" s="270"/>
      <c r="DR32" s="270"/>
      <c r="DS32" s="270"/>
      <c r="DT32" s="270"/>
      <c r="DU32" s="270"/>
      <c r="DV32" s="270"/>
      <c r="DW32" s="270"/>
      <c r="DX32" s="270"/>
      <c r="DY32" s="270"/>
      <c r="DZ32" s="270"/>
      <c r="EA32" s="270"/>
      <c r="EB32" s="270"/>
      <c r="EC32" s="270"/>
      <c r="ED32" s="270"/>
      <c r="EE32" s="270"/>
      <c r="EF32" s="270"/>
      <c r="EG32" s="270"/>
      <c r="EH32" s="270"/>
      <c r="EI32" s="270"/>
      <c r="EJ32" s="270"/>
      <c r="EK32" s="270"/>
      <c r="EL32" s="270"/>
      <c r="EM32" s="270"/>
      <c r="EN32" s="270"/>
      <c r="EO32" s="270"/>
      <c r="EP32" s="270"/>
      <c r="EQ32" s="270"/>
      <c r="ER32" s="270"/>
      <c r="ES32" s="270"/>
      <c r="ET32" s="270"/>
      <c r="EU32" s="270"/>
      <c r="EV32" s="270"/>
      <c r="EW32" s="270"/>
      <c r="EX32" s="270"/>
      <c r="EY32" s="270"/>
      <c r="EZ32" s="270"/>
      <c r="FA32" s="270"/>
      <c r="FB32" s="270"/>
      <c r="FC32" s="270"/>
      <c r="FD32" s="270"/>
      <c r="FE32" s="270"/>
      <c r="FF32" s="270"/>
      <c r="FG32" s="270"/>
      <c r="FH32" s="270"/>
      <c r="FI32" s="270"/>
      <c r="FJ32" s="270"/>
      <c r="FK32" s="270"/>
      <c r="FL32" s="270"/>
      <c r="FM32" s="270"/>
      <c r="FN32" s="270"/>
      <c r="FO32" s="270"/>
      <c r="FP32" s="270"/>
      <c r="FQ32" s="270"/>
      <c r="FR32" s="270"/>
      <c r="FS32" s="270"/>
      <c r="FT32" s="270"/>
      <c r="FU32" s="270"/>
      <c r="FV32" s="270"/>
      <c r="FW32" s="270"/>
      <c r="FX32" s="270"/>
      <c r="FY32" s="270"/>
      <c r="FZ32" s="270"/>
      <c r="GA32" s="270"/>
      <c r="GB32" s="270"/>
      <c r="GC32" s="270"/>
      <c r="GD32" s="270"/>
      <c r="GE32" s="270"/>
      <c r="GF32" s="270"/>
      <c r="GG32" s="270"/>
      <c r="GH32" s="270"/>
      <c r="GI32" s="270"/>
      <c r="GJ32" s="270"/>
      <c r="GK32" s="270"/>
      <c r="GL32" s="270"/>
      <c r="GM32" s="270"/>
      <c r="GN32" s="270"/>
      <c r="GO32" s="270"/>
      <c r="GP32" s="270"/>
      <c r="GQ32" s="270"/>
      <c r="GR32" s="270"/>
      <c r="GS32" s="270"/>
      <c r="GT32" s="270"/>
      <c r="GU32" s="270"/>
      <c r="GV32" s="270"/>
      <c r="GW32" s="270"/>
      <c r="GX32" s="270"/>
      <c r="GY32" s="270"/>
      <c r="GZ32" s="270"/>
      <c r="HA32" s="270"/>
      <c r="HB32" s="270"/>
      <c r="HC32" s="270"/>
      <c r="HD32" s="270"/>
      <c r="HE32" s="270"/>
      <c r="HF32" s="270"/>
      <c r="HG32" s="270"/>
      <c r="HH32" s="270"/>
      <c r="HI32" s="270"/>
      <c r="HJ32" s="270"/>
      <c r="HK32" s="270"/>
      <c r="HL32" s="270"/>
      <c r="HM32" s="270"/>
      <c r="HN32" s="270"/>
      <c r="HO32" s="270"/>
      <c r="HP32" s="270"/>
      <c r="HQ32" s="270"/>
      <c r="HR32" s="270"/>
      <c r="HS32" s="270"/>
      <c r="HT32" s="270"/>
      <c r="HU32" s="270"/>
      <c r="HV32" s="270"/>
      <c r="HW32" s="270"/>
      <c r="HX32" s="270"/>
      <c r="HY32" s="270"/>
      <c r="HZ32" s="270"/>
      <c r="IA32" s="270"/>
      <c r="IB32" s="270"/>
      <c r="IC32" s="270"/>
      <c r="ID32" s="270"/>
      <c r="IE32" s="270"/>
      <c r="IF32" s="270"/>
      <c r="IG32" s="270"/>
      <c r="IH32" s="270"/>
      <c r="II32" s="270"/>
      <c r="IJ32" s="270"/>
      <c r="IK32" s="270"/>
      <c r="IL32" s="270"/>
      <c r="IM32" s="270"/>
      <c r="IN32" s="270"/>
      <c r="IO32" s="270"/>
      <c r="IP32" s="270"/>
      <c r="IQ32" s="270"/>
      <c r="IR32" s="270"/>
      <c r="IS32" s="270"/>
      <c r="IT32" s="270"/>
      <c r="IU32" s="270"/>
      <c r="IV32" s="270"/>
      <c r="IW32" s="270"/>
      <c r="IX32" s="270"/>
      <c r="IY32" s="270"/>
      <c r="IZ32" s="270"/>
      <c r="JA32" s="270"/>
      <c r="JB32" s="270"/>
      <c r="JC32" s="270"/>
      <c r="JD32" s="270"/>
      <c r="JE32" s="270"/>
      <c r="JF32" s="270"/>
      <c r="JG32" s="270"/>
      <c r="JH32" s="270"/>
      <c r="JI32" s="270"/>
      <c r="JJ32" s="270"/>
      <c r="JK32" s="270"/>
      <c r="JL32" s="270"/>
      <c r="JM32" s="270"/>
      <c r="JN32" s="270"/>
      <c r="JO32" s="270"/>
      <c r="JP32" s="270"/>
      <c r="JQ32" s="270"/>
      <c r="JR32" s="270"/>
      <c r="JS32" s="270"/>
      <c r="JT32" s="270"/>
      <c r="JU32" s="270"/>
      <c r="JV32" s="270"/>
      <c r="JW32" s="270"/>
      <c r="JX32" s="270"/>
      <c r="JY32" s="270"/>
      <c r="JZ32" s="270"/>
      <c r="KA32" s="270"/>
      <c r="KB32" s="270"/>
      <c r="KC32" s="270"/>
      <c r="KD32" s="270"/>
      <c r="KE32" s="270"/>
      <c r="KF32" s="270"/>
      <c r="KG32" s="270"/>
      <c r="KH32" s="270"/>
      <c r="KI32" s="270"/>
      <c r="KJ32" s="270"/>
      <c r="KK32" s="270"/>
      <c r="KL32" s="270"/>
      <c r="KM32" s="270"/>
      <c r="KN32" s="270"/>
      <c r="KO32" s="270"/>
      <c r="KP32" s="270"/>
      <c r="KQ32" s="270"/>
      <c r="KR32" s="270"/>
      <c r="KS32" s="270"/>
      <c r="KT32" s="270"/>
      <c r="KU32" s="270"/>
      <c r="KV32" s="270"/>
      <c r="KW32" s="270"/>
      <c r="KX32" s="270"/>
      <c r="KY32" s="270"/>
      <c r="KZ32" s="270"/>
      <c r="LA32" s="270"/>
      <c r="LB32" s="270"/>
      <c r="LC32" s="270"/>
      <c r="LD32" s="270"/>
      <c r="LE32" s="270"/>
      <c r="LF32" s="270"/>
      <c r="LG32" s="270"/>
      <c r="LH32" s="270"/>
      <c r="LI32" s="270"/>
      <c r="LJ32" s="270"/>
      <c r="LK32" s="270"/>
      <c r="LL32" s="270"/>
      <c r="LM32" s="270"/>
      <c r="LN32" s="270"/>
      <c r="LO32" s="270"/>
      <c r="LP32" s="270"/>
      <c r="LQ32" s="270"/>
      <c r="LR32" s="270"/>
      <c r="LS32" s="270"/>
      <c r="LT32" s="270"/>
      <c r="LU32" s="270"/>
      <c r="LV32" s="270"/>
      <c r="LW32" s="270"/>
      <c r="LX32" s="270"/>
      <c r="LY32" s="270"/>
      <c r="LZ32" s="270"/>
      <c r="MA32" s="270"/>
      <c r="MB32" s="270"/>
      <c r="MC32" s="270"/>
      <c r="MD32" s="270"/>
      <c r="ME32" s="270"/>
      <c r="MF32" s="270"/>
      <c r="MG32" s="270"/>
      <c r="MH32" s="270"/>
      <c r="MI32" s="270"/>
      <c r="MJ32" s="270"/>
      <c r="MK32" s="270"/>
      <c r="ML32" s="270"/>
      <c r="MM32" s="270"/>
      <c r="MN32" s="270"/>
      <c r="MO32" s="270"/>
      <c r="MP32" s="270"/>
      <c r="MQ32" s="270"/>
      <c r="MR32" s="270"/>
      <c r="MS32" s="270"/>
      <c r="MT32" s="270"/>
      <c r="MU32" s="270"/>
      <c r="MV32" s="270"/>
      <c r="MW32" s="270"/>
      <c r="MX32" s="270"/>
      <c r="MY32" s="270"/>
      <c r="MZ32" s="270"/>
      <c r="NA32" s="270"/>
      <c r="NB32" s="270"/>
      <c r="NC32" s="270"/>
      <c r="ND32" s="270"/>
      <c r="NE32" s="270"/>
      <c r="NF32" s="270"/>
      <c r="NG32" s="270"/>
      <c r="NH32" s="270"/>
      <c r="NI32" s="270"/>
      <c r="NJ32" s="270"/>
      <c r="NK32" s="270"/>
      <c r="NL32" s="270"/>
      <c r="NM32" s="270"/>
      <c r="NN32" s="270"/>
      <c r="NO32" s="270"/>
      <c r="NP32" s="270"/>
      <c r="NQ32" s="270"/>
      <c r="NR32" s="270"/>
      <c r="NS32" s="270"/>
      <c r="NT32" s="270"/>
      <c r="NU32" s="270"/>
      <c r="NV32" s="270"/>
      <c r="NW32" s="270"/>
      <c r="NX32" s="270"/>
      <c r="NY32" s="270"/>
      <c r="NZ32" s="270"/>
      <c r="OA32" s="270"/>
      <c r="OB32" s="270"/>
      <c r="OC32" s="270"/>
      <c r="OD32" s="270"/>
      <c r="OE32" s="270"/>
      <c r="OF32" s="270"/>
      <c r="OG32" s="270"/>
      <c r="OH32" s="270"/>
      <c r="OI32" s="270"/>
      <c r="OJ32" s="270"/>
      <c r="OK32" s="270"/>
      <c r="OL32" s="270"/>
      <c r="OM32" s="270"/>
      <c r="ON32" s="270"/>
      <c r="OO32" s="270"/>
      <c r="OP32" s="270"/>
      <c r="OQ32" s="270"/>
      <c r="OR32" s="270"/>
      <c r="OS32" s="270"/>
      <c r="OT32" s="270"/>
      <c r="OU32" s="270"/>
      <c r="OV32" s="270"/>
      <c r="OW32" s="270"/>
      <c r="OX32" s="270"/>
      <c r="OY32" s="270"/>
      <c r="OZ32" s="270"/>
      <c r="PA32" s="270"/>
      <c r="PB32" s="270"/>
      <c r="PC32" s="270"/>
      <c r="PD32" s="270"/>
      <c r="PE32" s="270"/>
      <c r="PF32" s="270"/>
      <c r="PG32" s="270"/>
      <c r="PH32" s="270"/>
      <c r="PI32" s="270"/>
      <c r="PJ32" s="270"/>
      <c r="PK32" s="270"/>
      <c r="PL32" s="270"/>
      <c r="PM32" s="270"/>
      <c r="PN32" s="270"/>
      <c r="PO32" s="270"/>
      <c r="PP32" s="270"/>
      <c r="PQ32" s="270"/>
      <c r="PR32" s="270"/>
      <c r="PS32" s="270"/>
      <c r="PT32" s="270"/>
      <c r="PU32" s="270"/>
      <c r="PV32" s="270"/>
      <c r="PW32" s="270"/>
      <c r="PX32" s="270"/>
      <c r="PY32" s="270"/>
      <c r="PZ32" s="270"/>
      <c r="QA32" s="270"/>
      <c r="QB32" s="270"/>
      <c r="QC32" s="270"/>
      <c r="QD32" s="270"/>
      <c r="QE32" s="270"/>
      <c r="QF32" s="270"/>
      <c r="QG32" s="270"/>
      <c r="QH32" s="270"/>
      <c r="QI32" s="270"/>
      <c r="QJ32" s="270"/>
      <c r="QK32" s="270"/>
      <c r="QL32" s="270"/>
      <c r="QM32" s="270"/>
      <c r="QN32" s="270"/>
      <c r="QO32" s="270"/>
      <c r="QP32" s="270"/>
      <c r="QQ32" s="270"/>
      <c r="QR32" s="270"/>
      <c r="QS32" s="270"/>
      <c r="QT32" s="270"/>
      <c r="QU32" s="270"/>
      <c r="QV32" s="270"/>
      <c r="QW32" s="270"/>
      <c r="QX32" s="270"/>
      <c r="QY32" s="270"/>
      <c r="QZ32" s="302"/>
    </row>
    <row r="33" spans="1:16" x14ac:dyDescent="0.3">
      <c r="P33" s="1"/>
    </row>
    <row r="34" spans="1:16" x14ac:dyDescent="0.3">
      <c r="A34" s="1"/>
      <c r="B34" s="24"/>
      <c r="C34" s="1"/>
      <c r="D34" s="1"/>
      <c r="F34" s="1"/>
      <c r="P34" s="1"/>
    </row>
    <row r="35" spans="1:16" x14ac:dyDescent="0.3">
      <c r="P35" s="1"/>
    </row>
    <row r="36" spans="1:16" x14ac:dyDescent="0.3">
      <c r="P36" s="1"/>
    </row>
    <row r="37" spans="1:16" x14ac:dyDescent="0.3">
      <c r="P37" s="1"/>
    </row>
    <row r="38" spans="1:16" x14ac:dyDescent="0.3">
      <c r="P38" s="1"/>
    </row>
    <row r="39" spans="1:16" x14ac:dyDescent="0.3">
      <c r="P39" s="1"/>
    </row>
    <row r="40" spans="1:16" x14ac:dyDescent="0.3">
      <c r="P40" s="1"/>
    </row>
    <row r="41" spans="1:16" x14ac:dyDescent="0.3">
      <c r="P41" s="1"/>
    </row>
    <row r="42" spans="1:16" x14ac:dyDescent="0.3">
      <c r="P42" s="1"/>
    </row>
    <row r="43" spans="1:16" x14ac:dyDescent="0.3">
      <c r="P43" s="1"/>
    </row>
    <row r="44" spans="1:16" x14ac:dyDescent="0.3">
      <c r="P44" s="1"/>
    </row>
    <row r="45" spans="1:16" x14ac:dyDescent="0.3">
      <c r="P45" s="1"/>
    </row>
    <row r="46" spans="1:16" x14ac:dyDescent="0.3">
      <c r="P46" s="1"/>
    </row>
    <row r="47" spans="1:16" x14ac:dyDescent="0.3">
      <c r="P47" s="1"/>
    </row>
    <row r="48" spans="1:16" x14ac:dyDescent="0.3">
      <c r="P48" s="1"/>
    </row>
    <row r="49" spans="16:16" x14ac:dyDescent="0.3">
      <c r="P49" s="1"/>
    </row>
    <row r="50" spans="16:16" x14ac:dyDescent="0.3">
      <c r="P50" s="1"/>
    </row>
    <row r="51" spans="16:16" x14ac:dyDescent="0.3">
      <c r="P51" s="1"/>
    </row>
    <row r="52" spans="16:16" x14ac:dyDescent="0.3">
      <c r="P52" s="1"/>
    </row>
    <row r="53" spans="16:16" x14ac:dyDescent="0.3">
      <c r="P53" s="1"/>
    </row>
    <row r="54" spans="16:16" x14ac:dyDescent="0.3">
      <c r="P54" s="1"/>
    </row>
    <row r="55" spans="16:16" x14ac:dyDescent="0.3">
      <c r="P55" s="1"/>
    </row>
    <row r="56" spans="16:16" x14ac:dyDescent="0.3">
      <c r="P56" s="1"/>
    </row>
    <row r="57" spans="16:16" x14ac:dyDescent="0.3">
      <c r="P57" s="1"/>
    </row>
    <row r="58" spans="16:16" x14ac:dyDescent="0.3">
      <c r="P58" s="1"/>
    </row>
    <row r="59" spans="16:16" x14ac:dyDescent="0.3">
      <c r="P59" s="1"/>
    </row>
    <row r="60" spans="16:16" x14ac:dyDescent="0.3">
      <c r="P60" s="1"/>
    </row>
    <row r="61" spans="16:16" x14ac:dyDescent="0.3">
      <c r="P61" s="1"/>
    </row>
    <row r="62" spans="16:16" x14ac:dyDescent="0.3">
      <c r="P62" s="1"/>
    </row>
    <row r="63" spans="16:16" x14ac:dyDescent="0.3">
      <c r="P63" s="1"/>
    </row>
    <row r="64" spans="16:16" x14ac:dyDescent="0.3">
      <c r="P64" s="1"/>
    </row>
    <row r="65" spans="16:16" x14ac:dyDescent="0.3">
      <c r="P65" s="1"/>
    </row>
    <row r="66" spans="16:16" x14ac:dyDescent="0.3">
      <c r="P66" s="1"/>
    </row>
    <row r="67" spans="16:16" x14ac:dyDescent="0.3">
      <c r="P67" s="1"/>
    </row>
    <row r="68" spans="16:16" x14ac:dyDescent="0.3">
      <c r="P68" s="1"/>
    </row>
    <row r="69" spans="16:16" x14ac:dyDescent="0.3">
      <c r="P69" s="1"/>
    </row>
    <row r="70" spans="16:16" x14ac:dyDescent="0.3">
      <c r="P70" s="1"/>
    </row>
    <row r="71" spans="16:16" x14ac:dyDescent="0.3">
      <c r="P71" s="1"/>
    </row>
    <row r="72" spans="16:16" x14ac:dyDescent="0.3">
      <c r="P72" s="1"/>
    </row>
    <row r="73" spans="16:16" x14ac:dyDescent="0.3">
      <c r="P73" s="1"/>
    </row>
    <row r="74" spans="16:16" x14ac:dyDescent="0.3">
      <c r="P74" s="1"/>
    </row>
    <row r="75" spans="16:16" x14ac:dyDescent="0.3">
      <c r="P75" s="1"/>
    </row>
    <row r="76" spans="16:16" x14ac:dyDescent="0.3">
      <c r="P76" s="1"/>
    </row>
    <row r="77" spans="16:16" x14ac:dyDescent="0.3">
      <c r="P77" s="1"/>
    </row>
    <row r="78" spans="16:16" x14ac:dyDescent="0.3">
      <c r="P78" s="1"/>
    </row>
    <row r="79" spans="16:16" x14ac:dyDescent="0.3">
      <c r="P79" s="1"/>
    </row>
    <row r="80" spans="16:16" x14ac:dyDescent="0.3">
      <c r="P80" s="1"/>
    </row>
    <row r="81" spans="16:16" x14ac:dyDescent="0.3">
      <c r="P81" s="1"/>
    </row>
    <row r="82" spans="16:16" x14ac:dyDescent="0.3">
      <c r="P82" s="1"/>
    </row>
    <row r="83" spans="16:16" x14ac:dyDescent="0.3">
      <c r="P83" s="1"/>
    </row>
    <row r="84" spans="16:16" x14ac:dyDescent="0.3">
      <c r="P84" s="1"/>
    </row>
    <row r="85" spans="16:16" x14ac:dyDescent="0.3">
      <c r="P85" s="1"/>
    </row>
    <row r="86" spans="16:16" x14ac:dyDescent="0.3">
      <c r="P86" s="1"/>
    </row>
    <row r="87" spans="16:16" x14ac:dyDescent="0.3">
      <c r="P87" s="1"/>
    </row>
    <row r="88" spans="16:16" x14ac:dyDescent="0.3">
      <c r="P88" s="1"/>
    </row>
    <row r="89" spans="16:16" x14ac:dyDescent="0.3">
      <c r="P89" s="1"/>
    </row>
    <row r="90" spans="16:16" x14ac:dyDescent="0.3">
      <c r="P90" s="1"/>
    </row>
    <row r="91" spans="16:16" x14ac:dyDescent="0.3">
      <c r="P91" s="1"/>
    </row>
    <row r="92" spans="16:16" x14ac:dyDescent="0.3">
      <c r="P92" s="1"/>
    </row>
    <row r="93" spans="16:16" x14ac:dyDescent="0.3">
      <c r="P93" s="1"/>
    </row>
    <row r="94" spans="16:16" x14ac:dyDescent="0.3">
      <c r="P94" s="1"/>
    </row>
    <row r="95" spans="16:16" x14ac:dyDescent="0.3">
      <c r="P95" s="1"/>
    </row>
    <row r="96" spans="16:16" x14ac:dyDescent="0.3">
      <c r="P96" s="1"/>
    </row>
    <row r="97" spans="5:16" x14ac:dyDescent="0.3">
      <c r="P97" s="1"/>
    </row>
    <row r="98" spans="5:16" x14ac:dyDescent="0.3">
      <c r="P98" s="1"/>
    </row>
    <row r="99" spans="5:16" x14ac:dyDescent="0.3">
      <c r="P99" s="1"/>
    </row>
    <row r="100" spans="5:16" x14ac:dyDescent="0.3">
      <c r="P100" s="1"/>
    </row>
    <row r="101" spans="5:16" x14ac:dyDescent="0.3">
      <c r="P101" s="1"/>
    </row>
    <row r="102" spans="5:16" x14ac:dyDescent="0.3">
      <c r="E102" s="565" t="s">
        <v>469</v>
      </c>
      <c r="F102" s="565"/>
      <c r="G102" s="565"/>
      <c r="H102" s="565"/>
      <c r="I102" s="565"/>
    </row>
    <row r="103" spans="5:16" x14ac:dyDescent="0.3">
      <c r="G103" s="291" t="s">
        <v>13</v>
      </c>
      <c r="H103" s="291" t="s">
        <v>498</v>
      </c>
    </row>
    <row r="104" spans="5:16" x14ac:dyDescent="0.3">
      <c r="E104" s="1" t="s">
        <v>470</v>
      </c>
      <c r="G104" s="1" t="s">
        <v>14</v>
      </c>
      <c r="H104" s="1" t="s">
        <v>626</v>
      </c>
    </row>
    <row r="105" spans="5:16" x14ac:dyDescent="0.3">
      <c r="E105" t="s">
        <v>471</v>
      </c>
      <c r="G105" s="1" t="s">
        <v>15</v>
      </c>
      <c r="H105" s="1" t="s">
        <v>9</v>
      </c>
    </row>
    <row r="106" spans="5:16" x14ac:dyDescent="0.3">
      <c r="E106" s="1" t="s">
        <v>472</v>
      </c>
      <c r="G106" s="1" t="s">
        <v>16</v>
      </c>
    </row>
    <row r="107" spans="5:16" x14ac:dyDescent="0.3">
      <c r="E107" s="1" t="s">
        <v>473</v>
      </c>
    </row>
    <row r="108" spans="5:16" x14ac:dyDescent="0.3">
      <c r="E108" s="1" t="s">
        <v>474</v>
      </c>
      <c r="G108" s="291" t="s">
        <v>18</v>
      </c>
      <c r="H108" s="291" t="s">
        <v>21</v>
      </c>
    </row>
    <row r="109" spans="5:16" x14ac:dyDescent="0.3">
      <c r="E109" s="1" t="s">
        <v>475</v>
      </c>
      <c r="G109" s="1" t="s">
        <v>493</v>
      </c>
      <c r="H109" s="1" t="s">
        <v>22</v>
      </c>
    </row>
    <row r="110" spans="5:16" x14ac:dyDescent="0.3">
      <c r="E110" s="1" t="s">
        <v>476</v>
      </c>
      <c r="G110" s="1" t="s">
        <v>494</v>
      </c>
      <c r="H110" s="1" t="s">
        <v>23</v>
      </c>
    </row>
    <row r="113" spans="5:8" x14ac:dyDescent="0.3">
      <c r="E113" s="291" t="s">
        <v>39</v>
      </c>
      <c r="G113" s="291" t="s">
        <v>496</v>
      </c>
      <c r="H113" s="291" t="s">
        <v>29</v>
      </c>
    </row>
    <row r="114" spans="5:8" x14ac:dyDescent="0.3">
      <c r="E114" s="1" t="s">
        <v>40</v>
      </c>
      <c r="G114" s="1" t="s">
        <v>497</v>
      </c>
      <c r="H114" s="1" t="s">
        <v>30</v>
      </c>
    </row>
    <row r="115" spans="5:8" x14ac:dyDescent="0.3">
      <c r="E115" s="140" t="s">
        <v>41</v>
      </c>
      <c r="G115" s="1" t="s">
        <v>27</v>
      </c>
      <c r="H115" s="1" t="s">
        <v>32</v>
      </c>
    </row>
    <row r="116" spans="5:8" x14ac:dyDescent="0.3">
      <c r="H116" s="1" t="s">
        <v>31</v>
      </c>
    </row>
    <row r="121" spans="5:8" x14ac:dyDescent="0.3">
      <c r="E121" s="311">
        <v>0.2</v>
      </c>
    </row>
    <row r="122" spans="5:8" x14ac:dyDescent="0.3">
      <c r="E122" s="311">
        <v>0.4</v>
      </c>
    </row>
    <row r="123" spans="5:8" x14ac:dyDescent="0.3">
      <c r="E123" s="311">
        <v>0.6</v>
      </c>
    </row>
    <row r="124" spans="5:8" x14ac:dyDescent="0.3">
      <c r="E124" s="311">
        <v>0.8</v>
      </c>
    </row>
    <row r="125" spans="5:8" x14ac:dyDescent="0.3">
      <c r="E125" s="311">
        <v>1</v>
      </c>
    </row>
  </sheetData>
  <dataConsolidate/>
  <mergeCells count="191">
    <mergeCell ref="M22:M23"/>
    <mergeCell ref="X20:X21"/>
    <mergeCell ref="J18:J19"/>
    <mergeCell ref="N18:N19"/>
    <mergeCell ref="M18:M19"/>
    <mergeCell ref="L18:L19"/>
    <mergeCell ref="AI20:AI21"/>
    <mergeCell ref="F22:F23"/>
    <mergeCell ref="G20:G21"/>
    <mergeCell ref="H20:H21"/>
    <mergeCell ref="J20:J21"/>
    <mergeCell ref="N22:N23"/>
    <mergeCell ref="K22:K23"/>
    <mergeCell ref="L22:L23"/>
    <mergeCell ref="Z20:Z21"/>
    <mergeCell ref="AA20:AA21"/>
    <mergeCell ref="AB20:AB21"/>
    <mergeCell ref="AC20:AC21"/>
    <mergeCell ref="AD20:AD21"/>
    <mergeCell ref="Q20:Q21"/>
    <mergeCell ref="R20:R21"/>
    <mergeCell ref="S20:S21"/>
    <mergeCell ref="T20:T21"/>
    <mergeCell ref="I18:I19"/>
    <mergeCell ref="L27:L28"/>
    <mergeCell ref="M27:M28"/>
    <mergeCell ref="N27:N28"/>
    <mergeCell ref="AH10:AH11"/>
    <mergeCell ref="AE10:AE11"/>
    <mergeCell ref="X10:X11"/>
    <mergeCell ref="AE20:AE21"/>
    <mergeCell ref="AF20:AF21"/>
    <mergeCell ref="AG20:AG21"/>
    <mergeCell ref="AH20:AH21"/>
    <mergeCell ref="P20:P21"/>
    <mergeCell ref="O20:O21"/>
    <mergeCell ref="L25:L26"/>
    <mergeCell ref="M25:M26"/>
    <mergeCell ref="N25:N26"/>
    <mergeCell ref="U20:U21"/>
    <mergeCell ref="V20:V21"/>
    <mergeCell ref="W20:W21"/>
    <mergeCell ref="Y20:Y21"/>
    <mergeCell ref="AA10:AA11"/>
    <mergeCell ref="AG10:AG11"/>
    <mergeCell ref="P10:P11"/>
    <mergeCell ref="Q10:Q11"/>
    <mergeCell ref="R10:W10"/>
    <mergeCell ref="I31:I32"/>
    <mergeCell ref="J31:J32"/>
    <mergeCell ref="K31:K32"/>
    <mergeCell ref="L31:L32"/>
    <mergeCell ref="M31:M32"/>
    <mergeCell ref="N31:N32"/>
    <mergeCell ref="M29:M30"/>
    <mergeCell ref="N29:N30"/>
    <mergeCell ref="I29:I30"/>
    <mergeCell ref="J29:J30"/>
    <mergeCell ref="K29:K30"/>
    <mergeCell ref="L29:L30"/>
    <mergeCell ref="A31:A32"/>
    <mergeCell ref="B31:B32"/>
    <mergeCell ref="C31:C32"/>
    <mergeCell ref="D31:D32"/>
    <mergeCell ref="E31:E32"/>
    <mergeCell ref="F31:F32"/>
    <mergeCell ref="G31:G32"/>
    <mergeCell ref="H31:H32"/>
    <mergeCell ref="G29:G30"/>
    <mergeCell ref="H29:H30"/>
    <mergeCell ref="A29:A30"/>
    <mergeCell ref="B29:B30"/>
    <mergeCell ref="C29:C30"/>
    <mergeCell ref="D29:D30"/>
    <mergeCell ref="E29:E30"/>
    <mergeCell ref="F29:F30"/>
    <mergeCell ref="G27:G28"/>
    <mergeCell ref="H27:H28"/>
    <mergeCell ref="G25:G26"/>
    <mergeCell ref="H25:H26"/>
    <mergeCell ref="G22:G23"/>
    <mergeCell ref="H22:H23"/>
    <mergeCell ref="K25:K26"/>
    <mergeCell ref="I25:I26"/>
    <mergeCell ref="J25:J26"/>
    <mergeCell ref="I27:I28"/>
    <mergeCell ref="J27:J28"/>
    <mergeCell ref="K27:K28"/>
    <mergeCell ref="J22:J23"/>
    <mergeCell ref="A27:A28"/>
    <mergeCell ref="B27:B28"/>
    <mergeCell ref="C27:C28"/>
    <mergeCell ref="C18:C19"/>
    <mergeCell ref="B18:B19"/>
    <mergeCell ref="A18:A19"/>
    <mergeCell ref="F25:F26"/>
    <mergeCell ref="D27:D28"/>
    <mergeCell ref="E27:E28"/>
    <mergeCell ref="F27:F28"/>
    <mergeCell ref="A25:A26"/>
    <mergeCell ref="B25:B26"/>
    <mergeCell ref="C25:C26"/>
    <mergeCell ref="D25:D26"/>
    <mergeCell ref="E25:E26"/>
    <mergeCell ref="A22:A23"/>
    <mergeCell ref="B22:B23"/>
    <mergeCell ref="C22:C23"/>
    <mergeCell ref="D22:D23"/>
    <mergeCell ref="E22:E23"/>
    <mergeCell ref="H18:H19"/>
    <mergeCell ref="G18:G19"/>
    <mergeCell ref="F18:F19"/>
    <mergeCell ref="E18:E19"/>
    <mergeCell ref="D18:D19"/>
    <mergeCell ref="I22:I23"/>
    <mergeCell ref="K10:K11"/>
    <mergeCell ref="I15:I17"/>
    <mergeCell ref="J10:J11"/>
    <mergeCell ref="K15:K17"/>
    <mergeCell ref="G15:G17"/>
    <mergeCell ref="F15:F17"/>
    <mergeCell ref="J12:J14"/>
    <mergeCell ref="AF10:AF11"/>
    <mergeCell ref="Y10:Y11"/>
    <mergeCell ref="Z10:Z11"/>
    <mergeCell ref="AI10:AI11"/>
    <mergeCell ref="A5:AI6"/>
    <mergeCell ref="A7:B7"/>
    <mergeCell ref="C7:N7"/>
    <mergeCell ref="O7:Q7"/>
    <mergeCell ref="A8:B8"/>
    <mergeCell ref="C8:N8"/>
    <mergeCell ref="L10:L11"/>
    <mergeCell ref="M10:M11"/>
    <mergeCell ref="N10:N11"/>
    <mergeCell ref="O10:O11"/>
    <mergeCell ref="A10:A11"/>
    <mergeCell ref="B10:B11"/>
    <mergeCell ref="C10:C11"/>
    <mergeCell ref="D10:D11"/>
    <mergeCell ref="E10:E11"/>
    <mergeCell ref="F10:F11"/>
    <mergeCell ref="G10:G11"/>
    <mergeCell ref="O9:W9"/>
    <mergeCell ref="X9:AD9"/>
    <mergeCell ref="AE9:AG9"/>
    <mergeCell ref="AH9:AI9"/>
    <mergeCell ref="AB10:AB11"/>
    <mergeCell ref="AC10:AC11"/>
    <mergeCell ref="AD10:AD11"/>
    <mergeCell ref="E102:I102"/>
    <mergeCell ref="A9:G9"/>
    <mergeCell ref="H9:N9"/>
    <mergeCell ref="I20:I21"/>
    <mergeCell ref="K20:K21"/>
    <mergeCell ref="L20:L21"/>
    <mergeCell ref="M20:M21"/>
    <mergeCell ref="N20:N21"/>
    <mergeCell ref="K18:K19"/>
    <mergeCell ref="A20:A21"/>
    <mergeCell ref="B20:B21"/>
    <mergeCell ref="C20:C21"/>
    <mergeCell ref="D20:D21"/>
    <mergeCell ref="E20:E21"/>
    <mergeCell ref="F20:F21"/>
    <mergeCell ref="B15:B17"/>
    <mergeCell ref="C15:C17"/>
    <mergeCell ref="A15:A17"/>
    <mergeCell ref="H10:H11"/>
    <mergeCell ref="I10:I11"/>
    <mergeCell ref="N15:N17"/>
    <mergeCell ref="M15:M17"/>
    <mergeCell ref="L15:L17"/>
    <mergeCell ref="J15:J17"/>
    <mergeCell ref="AH12:AH14"/>
    <mergeCell ref="AI12:AI14"/>
    <mergeCell ref="A12:A14"/>
    <mergeCell ref="B12:B14"/>
    <mergeCell ref="C12:C14"/>
    <mergeCell ref="D12:D14"/>
    <mergeCell ref="E12:E14"/>
    <mergeCell ref="F12:F14"/>
    <mergeCell ref="G12:G14"/>
    <mergeCell ref="H12:H14"/>
    <mergeCell ref="I12:I14"/>
    <mergeCell ref="N12:N14"/>
    <mergeCell ref="E15:E17"/>
    <mergeCell ref="D15:D17"/>
    <mergeCell ref="L12:L14"/>
    <mergeCell ref="M12:M14"/>
    <mergeCell ref="H15:H17"/>
  </mergeCells>
  <conditionalFormatting sqref="H12 H15 H18 H20 H22 H24:H25 H27 H29 H31">
    <cfRule type="cellIs" dxfId="137" priority="266" operator="equal">
      <formula>"Media"</formula>
    </cfRule>
    <cfRule type="cellIs" dxfId="136" priority="265" operator="equal">
      <formula>"Alta"</formula>
    </cfRule>
    <cfRule type="cellIs" dxfId="135" priority="264" operator="equal">
      <formula>"Muy Alta"</formula>
    </cfRule>
    <cfRule type="cellIs" dxfId="134" priority="267" operator="equal">
      <formula>"Baja"</formula>
    </cfRule>
    <cfRule type="cellIs" dxfId="133" priority="268" operator="equal">
      <formula>"Muy Baja"</formula>
    </cfRule>
  </conditionalFormatting>
  <conditionalFormatting sqref="K12:K15 K18:K32">
    <cfRule type="containsText" dxfId="132" priority="38" operator="containsText" text="❌">
      <formula>NOT(ISERROR(SEARCH("❌",K12)))</formula>
    </cfRule>
  </conditionalFormatting>
  <conditionalFormatting sqref="L12 L15 L18 L20 L22 L24:L25 L27 L29 L31">
    <cfRule type="cellIs" dxfId="131" priority="262" operator="equal">
      <formula>"Menor"</formula>
    </cfRule>
    <cfRule type="cellIs" dxfId="130" priority="263" operator="equal">
      <formula>"Leve"</formula>
    </cfRule>
    <cfRule type="cellIs" dxfId="129" priority="261" operator="equal">
      <formula>"Moderado"</formula>
    </cfRule>
    <cfRule type="cellIs" dxfId="128" priority="260" operator="equal">
      <formula>"Mayor"</formula>
    </cfRule>
    <cfRule type="cellIs" dxfId="127" priority="259" operator="equal">
      <formula>"Catastrófico"</formula>
    </cfRule>
  </conditionalFormatting>
  <conditionalFormatting sqref="N12 N15 N18 N20 N22 N24:N25 N27 N29 N31">
    <cfRule type="cellIs" dxfId="126" priority="257" operator="equal">
      <formula>"Moderado"</formula>
    </cfRule>
    <cfRule type="cellIs" dxfId="125" priority="258" operator="equal">
      <formula>"Bajo"</formula>
    </cfRule>
    <cfRule type="cellIs" dxfId="124" priority="256" operator="equal">
      <formula>"Alto"</formula>
    </cfRule>
    <cfRule type="cellIs" dxfId="123" priority="255" operator="equal">
      <formula>"Extremo"</formula>
    </cfRule>
  </conditionalFormatting>
  <conditionalFormatting sqref="Y12:Y20">
    <cfRule type="cellIs" dxfId="122" priority="11" operator="equal">
      <formula>"Alta"</formula>
    </cfRule>
    <cfRule type="cellIs" dxfId="121" priority="10" operator="equal">
      <formula>"Muy Alta"</formula>
    </cfRule>
    <cfRule type="cellIs" dxfId="120" priority="12" operator="equal">
      <formula>"Media"</formula>
    </cfRule>
    <cfRule type="cellIs" dxfId="119" priority="13" operator="equal">
      <formula>"Baja"</formula>
    </cfRule>
    <cfRule type="cellIs" dxfId="118" priority="14" operator="equal">
      <formula>"Muy Baja"</formula>
    </cfRule>
  </conditionalFormatting>
  <conditionalFormatting sqref="Y22:Y32">
    <cfRule type="cellIs" dxfId="117" priority="50" operator="equal">
      <formula>"Media"</formula>
    </cfRule>
    <cfRule type="cellIs" dxfId="116" priority="48" operator="equal">
      <formula>"Muy Alta"</formula>
    </cfRule>
    <cfRule type="cellIs" dxfId="115" priority="52" operator="equal">
      <formula>"Muy Baja"</formula>
    </cfRule>
    <cfRule type="cellIs" dxfId="114" priority="49" operator="equal">
      <formula>"Alta"</formula>
    </cfRule>
    <cfRule type="cellIs" dxfId="113" priority="51" operator="equal">
      <formula>"Baja"</formula>
    </cfRule>
  </conditionalFormatting>
  <conditionalFormatting sqref="AA12:AA20">
    <cfRule type="cellIs" dxfId="112" priority="6" operator="equal">
      <formula>"Mayor"</formula>
    </cfRule>
    <cfRule type="cellIs" dxfId="111" priority="9" operator="equal">
      <formula>"Leve"</formula>
    </cfRule>
    <cfRule type="cellIs" dxfId="110" priority="8" operator="equal">
      <formula>"Menor"</formula>
    </cfRule>
    <cfRule type="cellIs" dxfId="109" priority="7" operator="equal">
      <formula>"Moderado"</formula>
    </cfRule>
    <cfRule type="cellIs" dxfId="108" priority="5" operator="equal">
      <formula>"Catastrófico"</formula>
    </cfRule>
  </conditionalFormatting>
  <conditionalFormatting sqref="AA22:AA32">
    <cfRule type="cellIs" dxfId="107" priority="47" operator="equal">
      <formula>"Leve"</formula>
    </cfRule>
    <cfRule type="cellIs" dxfId="106" priority="46" operator="equal">
      <formula>"Menor"</formula>
    </cfRule>
    <cfRule type="cellIs" dxfId="105" priority="44" operator="equal">
      <formula>"Mayor"</formula>
    </cfRule>
    <cfRule type="cellIs" dxfId="104" priority="43" operator="equal">
      <formula>"Catastrófico"</formula>
    </cfRule>
    <cfRule type="cellIs" dxfId="103" priority="45" operator="equal">
      <formula>"Moderado"</formula>
    </cfRule>
  </conditionalFormatting>
  <conditionalFormatting sqref="AC12:AC20">
    <cfRule type="cellIs" dxfId="102" priority="1" operator="equal">
      <formula>"Extremo"</formula>
    </cfRule>
    <cfRule type="cellIs" dxfId="101" priority="4" operator="equal">
      <formula>"Bajo"</formula>
    </cfRule>
    <cfRule type="cellIs" dxfId="100" priority="3" operator="equal">
      <formula>"Moderado"</formula>
    </cfRule>
    <cfRule type="cellIs" dxfId="99" priority="2" operator="equal">
      <formula>"Alto"</formula>
    </cfRule>
  </conditionalFormatting>
  <conditionalFormatting sqref="AC22:AC32">
    <cfRule type="cellIs" dxfId="98" priority="41" operator="equal">
      <formula>"Moderado"</formula>
    </cfRule>
    <cfRule type="cellIs" dxfId="97" priority="42" operator="equal">
      <formula>"Bajo"</formula>
    </cfRule>
    <cfRule type="cellIs" dxfId="96" priority="40" operator="equal">
      <formula>"Alto"</formula>
    </cfRule>
    <cfRule type="cellIs" dxfId="95" priority="39" operator="equal">
      <formula>"Extremo"</formula>
    </cfRule>
  </conditionalFormatting>
  <dataValidations count="15">
    <dataValidation type="list" allowBlank="1" showInputMessage="1" showErrorMessage="1" sqref="F20:F32 F15 F18" xr:uid="{F945A0BB-1439-4C4C-83CC-101C749B4F09}">
      <formula1>$E$104:$E$110</formula1>
    </dataValidation>
    <dataValidation type="list" allowBlank="1" showInputMessage="1" showErrorMessage="1" sqref="J24 J12" xr:uid="{29EF57DE-69F1-4A69-8CE2-BD7A0CF5DEE1}">
      <formula1>$E$121:$E$125</formula1>
    </dataValidation>
    <dataValidation type="list" allowBlank="1" showInputMessage="1" showErrorMessage="1" sqref="AD12:AD17" xr:uid="{3A15CD01-5B38-47A1-A208-B4560E241C1A}">
      <formula1>$H$114:$H$116</formula1>
    </dataValidation>
    <dataValidation type="list" allowBlank="1" showInputMessage="1" showErrorMessage="1" sqref="AD18:AD20 AD22:AD32" xr:uid="{CFB6B5C3-1C18-4CC0-A565-6F2F53107BAF}">
      <formula1>$H$114:$H$118</formula1>
    </dataValidation>
    <dataValidation type="list" allowBlank="1" showInputMessage="1" showErrorMessage="1" sqref="R22:R32 R12 R15:R20" xr:uid="{5238F813-F181-46AB-97D8-2D23943123D0}">
      <formula1>$G$104:$G$106</formula1>
    </dataValidation>
    <dataValidation type="list" allowBlank="1" showInputMessage="1" showErrorMessage="1" sqref="S22:S32 S12 S15:S20" xr:uid="{09C3A630-8469-44A0-8AE1-349719692903}">
      <formula1>$H$104:$H$105</formula1>
    </dataValidation>
    <dataValidation type="list" allowBlank="1" showInputMessage="1" showErrorMessage="1" sqref="U22:U32 U12 U15:U20" xr:uid="{B056BDCF-B14A-4653-B972-5E6589ED96DF}">
      <formula1>$G$109:$G$110</formula1>
    </dataValidation>
    <dataValidation type="list" allowBlank="1" showInputMessage="1" showErrorMessage="1" sqref="V22:V32 V12 V15:V20" xr:uid="{83134365-4E4D-4D1F-85DE-C54C27FC0A34}">
      <formula1>$H$109:$H$110</formula1>
    </dataValidation>
    <dataValidation type="list" allowBlank="1" showInputMessage="1" showErrorMessage="1" sqref="W22:W32 W12 W15:W20" xr:uid="{ADD1DA7C-008F-4861-8DAA-59B3EA41944F}">
      <formula1>$G$114:$G$115</formula1>
    </dataValidation>
    <dataValidation type="list" allowBlank="1" showInputMessage="1" showErrorMessage="1" sqref="F12:F13" xr:uid="{3A008BDD-1CF8-4831-9788-E4BA6C6F0171}">
      <formula1>$E$102:$E$108</formula1>
    </dataValidation>
    <dataValidation type="list" allowBlank="1" showInputMessage="1" showErrorMessage="1" sqref="W13:W14" xr:uid="{6803588D-8D09-4589-9E41-90DB0D30558B}">
      <formula1>$G$113:$G$114</formula1>
    </dataValidation>
    <dataValidation type="list" allowBlank="1" showInputMessage="1" showErrorMessage="1" sqref="V13:V14" xr:uid="{33B2E694-9A85-43E0-AF63-DE31B47720AF}">
      <formula1>$H$108:$H$109</formula1>
    </dataValidation>
    <dataValidation type="list" allowBlank="1" showInputMessage="1" showErrorMessage="1" sqref="U13:U14" xr:uid="{270E5D31-81E8-49ED-9056-DF5349E27A8B}">
      <formula1>$G$108:$G$109</formula1>
    </dataValidation>
    <dataValidation type="list" allowBlank="1" showInputMessage="1" showErrorMessage="1" sqref="S13:S14" xr:uid="{B841878D-439A-4C4F-A166-99B7A340E00A}">
      <formula1>$H$103:$H$104</formula1>
    </dataValidation>
    <dataValidation type="list" allowBlank="1" showInputMessage="1" showErrorMessage="1" sqref="R13:R14" xr:uid="{39746FD9-2532-49B3-AA5D-9D8C6398139E}">
      <formula1>$G$103:$G$105</formula1>
    </dataValidation>
  </dataValidation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DF5E-709B-4B1E-BC2E-F4F13A9BAD3B}">
  <sheetPr>
    <tabColor rgb="FFFF0000"/>
  </sheetPr>
  <dimension ref="B1:CS300"/>
  <sheetViews>
    <sheetView topLeftCell="K17" zoomScale="39" zoomScaleNormal="39" workbookViewId="0">
      <selection activeCell="Z22" sqref="Z22"/>
    </sheetView>
  </sheetViews>
  <sheetFormatPr baseColWidth="10" defaultColWidth="11.42578125" defaultRowHeight="15" x14ac:dyDescent="0.25"/>
  <cols>
    <col min="1" max="1" width="6.28515625" style="335" customWidth="1"/>
    <col min="2" max="2" width="5" style="335" customWidth="1"/>
    <col min="3" max="3" width="25.85546875" style="335" customWidth="1"/>
    <col min="4" max="4" width="22.5703125" style="335" customWidth="1"/>
    <col min="5" max="5" width="15.42578125" style="335" customWidth="1"/>
    <col min="6" max="6" width="40.140625" style="335" customWidth="1"/>
    <col min="7" max="7" width="19.28515625" style="335" customWidth="1"/>
    <col min="8" max="8" width="33.7109375" style="335" customWidth="1"/>
    <col min="9" max="9" width="28.7109375" style="335" customWidth="1"/>
    <col min="10" max="10" width="15.7109375" style="335" customWidth="1"/>
    <col min="11" max="11" width="48.7109375" style="335" customWidth="1"/>
    <col min="12" max="12" width="34.5703125" style="335" customWidth="1"/>
    <col min="13" max="13" width="19.7109375" style="335" customWidth="1"/>
    <col min="14" max="14" width="31.85546875" style="335" customWidth="1"/>
    <col min="15" max="15" width="27.28515625" style="335" customWidth="1"/>
    <col min="16" max="16" width="17.5703125" style="335" customWidth="1"/>
    <col min="17" max="17" width="21.7109375" style="335" customWidth="1"/>
    <col min="18" max="18" width="13.5703125" style="335" customWidth="1"/>
    <col min="19" max="19" width="20.85546875" style="335" customWidth="1"/>
    <col min="20" max="20" width="18.42578125" style="335" customWidth="1"/>
    <col min="21" max="21" width="18.5703125" style="335" customWidth="1"/>
    <col min="22" max="22" width="19.28515625" style="335" customWidth="1"/>
    <col min="23" max="23" width="17.85546875" style="335" customWidth="1"/>
    <col min="24" max="24" width="18" style="335" customWidth="1"/>
    <col min="25" max="25" width="18.5703125" style="335" customWidth="1"/>
    <col min="26" max="26" width="25.140625" style="335" customWidth="1"/>
    <col min="27" max="27" width="17.42578125" style="335" customWidth="1"/>
    <col min="28" max="28" width="18.85546875" style="335" customWidth="1"/>
    <col min="29" max="29" width="12.85546875" style="335" customWidth="1"/>
    <col min="30" max="30" width="14" style="335" customWidth="1"/>
    <col min="31" max="31" width="19.7109375" style="335" customWidth="1"/>
    <col min="32" max="32" width="18.28515625" style="335" customWidth="1"/>
    <col min="33" max="33" width="14.85546875" style="335" customWidth="1"/>
    <col min="34" max="34" width="8.42578125" style="335" customWidth="1"/>
    <col min="35" max="35" width="13.85546875" style="335" customWidth="1"/>
    <col min="36" max="37" width="9" style="335" customWidth="1"/>
    <col min="38" max="38" width="24.5703125" style="335" customWidth="1"/>
    <col min="39" max="39" width="13.85546875" style="335" customWidth="1"/>
    <col min="40" max="40" width="12.5703125" style="335" customWidth="1"/>
    <col min="41" max="41" width="5.5703125" style="335" customWidth="1"/>
    <col min="42" max="47" width="15.5703125" style="335" customWidth="1"/>
    <col min="48" max="88" width="5.5703125" style="335" customWidth="1"/>
    <col min="89" max="89" width="11.5703125" style="335" customWidth="1"/>
    <col min="90" max="90" width="8.42578125" style="335" customWidth="1"/>
    <col min="91" max="91" width="8.7109375" style="335" customWidth="1"/>
    <col min="92" max="92" width="11.42578125" style="335"/>
    <col min="93" max="93" width="7.140625" style="335" customWidth="1"/>
    <col min="94" max="94" width="119.140625" style="335" bestFit="1" customWidth="1"/>
    <col min="95" max="97" width="11.42578125" style="335"/>
    <col min="98" max="98" width="43.7109375" style="335" customWidth="1"/>
    <col min="99" max="99" width="67.85546875" style="335" customWidth="1"/>
    <col min="100" max="100" width="18.140625" style="335" customWidth="1"/>
    <col min="101" max="101" width="11.42578125" style="335"/>
    <col min="102" max="102" width="17.140625" style="335" customWidth="1"/>
    <col min="103" max="106" width="11.42578125" style="335"/>
    <col min="107" max="107" width="12.85546875" style="335" customWidth="1"/>
    <col min="108" max="108" width="16.85546875" style="335" customWidth="1"/>
    <col min="109" max="109" width="19.28515625" style="335" customWidth="1"/>
    <col min="110" max="110" width="23.140625" style="335" customWidth="1"/>
    <col min="111" max="111" width="18" style="335" customWidth="1"/>
    <col min="112" max="16384" width="11.42578125" style="335"/>
  </cols>
  <sheetData>
    <row r="1" spans="2:97" ht="139.5" customHeight="1" x14ac:dyDescent="0.25"/>
    <row r="2" spans="2:97" ht="54.75" customHeight="1" x14ac:dyDescent="0.25"/>
    <row r="3" spans="2:97" ht="68.25" customHeight="1" x14ac:dyDescent="0.25">
      <c r="B3" s="336"/>
    </row>
    <row r="4" spans="2:97" x14ac:dyDescent="0.25">
      <c r="D4" s="338"/>
      <c r="E4" s="338"/>
      <c r="F4" s="338"/>
      <c r="G4" s="338"/>
      <c r="H4" s="338"/>
      <c r="I4" s="719"/>
      <c r="J4" s="719"/>
      <c r="K4" s="719"/>
      <c r="L4" s="719"/>
      <c r="M4" s="719"/>
      <c r="N4" s="719"/>
      <c r="O4" s="719"/>
      <c r="P4" s="719"/>
      <c r="Q4" s="719"/>
      <c r="R4" s="719"/>
      <c r="S4" s="719"/>
      <c r="T4" s="719"/>
      <c r="U4" s="719"/>
      <c r="V4" s="719"/>
      <c r="W4" s="719"/>
      <c r="X4" s="719"/>
      <c r="Y4" s="719"/>
      <c r="Z4" s="719"/>
      <c r="AA4" s="719"/>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c r="CD4" s="337"/>
      <c r="CE4" s="337"/>
      <c r="CF4" s="337"/>
      <c r="CG4" s="337"/>
      <c r="CH4" s="337"/>
      <c r="CI4" s="337"/>
      <c r="CJ4" s="337"/>
      <c r="CK4" s="337"/>
      <c r="CL4" s="337"/>
      <c r="CM4" s="337"/>
      <c r="CN4" s="337"/>
      <c r="CO4" s="337"/>
      <c r="CP4" s="337"/>
      <c r="CQ4" s="337"/>
      <c r="CR4" s="337"/>
      <c r="CS4" s="337"/>
    </row>
    <row r="5" spans="2:97" ht="6.75" customHeight="1" thickBot="1" x14ac:dyDescent="0.3">
      <c r="D5" s="339"/>
      <c r="E5" s="339"/>
      <c r="F5" s="339"/>
      <c r="G5" s="339"/>
      <c r="H5" s="339"/>
      <c r="I5" s="339"/>
      <c r="J5" s="339"/>
      <c r="K5" s="339"/>
      <c r="L5" s="339"/>
      <c r="M5" s="339"/>
      <c r="N5" s="339"/>
      <c r="O5" s="339"/>
      <c r="P5" s="340"/>
      <c r="Q5" s="340"/>
      <c r="R5" s="340"/>
      <c r="S5" s="340"/>
      <c r="T5" s="339"/>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c r="BB5" s="337"/>
      <c r="BC5" s="337"/>
      <c r="BD5" s="337"/>
      <c r="BE5" s="337"/>
      <c r="BF5" s="337"/>
      <c r="BG5" s="337"/>
      <c r="BH5" s="337"/>
      <c r="BI5" s="337"/>
      <c r="BJ5" s="337"/>
      <c r="BK5" s="337"/>
      <c r="BL5" s="337"/>
      <c r="BM5" s="337"/>
      <c r="BN5" s="337"/>
      <c r="BO5" s="337"/>
      <c r="BP5" s="337"/>
      <c r="BQ5" s="337"/>
      <c r="BR5" s="337"/>
      <c r="BS5" s="337"/>
      <c r="BT5" s="337"/>
      <c r="BU5" s="337"/>
      <c r="BV5" s="337"/>
      <c r="BW5" s="337"/>
      <c r="BX5" s="337"/>
      <c r="BY5" s="337"/>
      <c r="BZ5" s="337"/>
      <c r="CA5" s="337"/>
      <c r="CB5" s="337"/>
      <c r="CC5" s="337"/>
      <c r="CD5" s="337"/>
      <c r="CE5" s="337"/>
      <c r="CF5" s="337"/>
      <c r="CG5" s="337"/>
      <c r="CH5" s="337"/>
      <c r="CI5" s="337"/>
      <c r="CJ5" s="337"/>
      <c r="CK5" s="337"/>
      <c r="CL5" s="337"/>
      <c r="CM5" s="337"/>
      <c r="CN5" s="337"/>
      <c r="CO5" s="337"/>
      <c r="CP5" s="337"/>
      <c r="CQ5" s="337"/>
      <c r="CR5" s="337"/>
      <c r="CS5" s="337"/>
    </row>
    <row r="6" spans="2:97" ht="18.75" customHeight="1" x14ac:dyDescent="0.25">
      <c r="C6" s="771" t="s">
        <v>507</v>
      </c>
      <c r="D6" s="772"/>
      <c r="E6" s="772"/>
      <c r="F6" s="772"/>
      <c r="G6" s="772"/>
      <c r="H6" s="772"/>
      <c r="I6" s="772"/>
      <c r="J6" s="772"/>
      <c r="K6" s="772"/>
      <c r="L6" s="772"/>
      <c r="M6" s="772"/>
      <c r="N6" s="772"/>
      <c r="O6" s="772"/>
      <c r="P6" s="772"/>
      <c r="Q6" s="772"/>
      <c r="R6" s="772"/>
      <c r="S6" s="772"/>
      <c r="T6" s="772"/>
      <c r="U6" s="772"/>
      <c r="V6" s="772"/>
      <c r="W6" s="772"/>
      <c r="X6" s="772"/>
      <c r="Y6" s="772"/>
      <c r="Z6" s="772"/>
      <c r="AA6" s="772"/>
      <c r="AB6" s="772"/>
      <c r="AC6" s="772"/>
      <c r="AD6" s="772"/>
      <c r="AE6" s="772"/>
      <c r="AF6" s="772"/>
      <c r="AG6" s="772"/>
      <c r="AH6" s="772"/>
      <c r="AI6" s="772"/>
      <c r="AJ6" s="772"/>
      <c r="AK6" s="772"/>
      <c r="AL6" s="772"/>
      <c r="AM6" s="772"/>
      <c r="AN6" s="772"/>
      <c r="AO6" s="772"/>
      <c r="AP6" s="772"/>
      <c r="AQ6" s="773"/>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37"/>
      <c r="CE6" s="337"/>
      <c r="CF6" s="337"/>
      <c r="CG6" s="337"/>
      <c r="CH6" s="337"/>
      <c r="CI6" s="337"/>
      <c r="CJ6" s="337"/>
      <c r="CK6" s="337"/>
      <c r="CL6" s="337"/>
      <c r="CM6" s="337"/>
      <c r="CN6" s="337"/>
      <c r="CO6" s="337"/>
      <c r="CP6" s="337"/>
      <c r="CQ6" s="337"/>
      <c r="CR6" s="337"/>
      <c r="CS6" s="337"/>
    </row>
    <row r="7" spans="2:97" ht="7.5" customHeight="1" thickBot="1" x14ac:dyDescent="0.3">
      <c r="C7" s="774"/>
      <c r="D7" s="775"/>
      <c r="E7" s="775"/>
      <c r="F7" s="775"/>
      <c r="G7" s="775"/>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5"/>
      <c r="AI7" s="775"/>
      <c r="AJ7" s="775"/>
      <c r="AK7" s="775"/>
      <c r="AL7" s="775"/>
      <c r="AM7" s="775"/>
      <c r="AN7" s="775"/>
      <c r="AO7" s="775"/>
      <c r="AP7" s="775"/>
      <c r="AQ7" s="776"/>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c r="CR7" s="337"/>
      <c r="CS7" s="337"/>
    </row>
    <row r="8" spans="2:97" ht="20.25" customHeight="1" thickBot="1" x14ac:dyDescent="0.3">
      <c r="C8" s="777" t="s">
        <v>43</v>
      </c>
      <c r="D8" s="778"/>
      <c r="E8" s="779"/>
      <c r="F8" s="780"/>
      <c r="G8" s="781" t="str">
        <f>'[3]Datos del proceso'!A9</f>
        <v>PROCESO</v>
      </c>
      <c r="H8" s="782"/>
      <c r="I8" s="782"/>
      <c r="J8" s="782"/>
      <c r="K8" s="782"/>
      <c r="L8" s="782"/>
      <c r="M8" s="782"/>
      <c r="N8" s="782"/>
      <c r="O8" s="782"/>
      <c r="P8" s="782"/>
      <c r="Q8" s="782"/>
      <c r="R8" s="782"/>
      <c r="S8" s="783"/>
      <c r="T8" s="784"/>
      <c r="U8" s="785"/>
      <c r="V8" s="785"/>
      <c r="W8" s="341"/>
      <c r="X8" s="341"/>
      <c r="Y8" s="341"/>
      <c r="Z8" s="341"/>
      <c r="AA8" s="341"/>
      <c r="AB8" s="341"/>
      <c r="AC8" s="341"/>
      <c r="AD8" s="341"/>
      <c r="AE8" s="341"/>
      <c r="AF8" s="341"/>
      <c r="AG8" s="341"/>
      <c r="AH8" s="341"/>
      <c r="AI8" s="341"/>
      <c r="AJ8" s="341"/>
      <c r="AK8" s="341"/>
      <c r="AL8" s="341"/>
      <c r="AM8" s="341"/>
      <c r="AN8" s="341"/>
      <c r="AO8" s="341"/>
      <c r="AP8" s="341"/>
      <c r="AQ8" s="341"/>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c r="CQ8" s="337"/>
      <c r="CR8" s="337"/>
      <c r="CS8" s="337"/>
    </row>
    <row r="9" spans="2:97" ht="24.75" customHeight="1" thickBot="1" x14ac:dyDescent="0.3">
      <c r="C9" s="777" t="s">
        <v>130</v>
      </c>
      <c r="D9" s="778"/>
      <c r="E9" s="779"/>
      <c r="F9" s="780"/>
      <c r="G9" s="781" t="str">
        <f>'[3]Datos del proceso'!I9</f>
        <v>Objetivo</v>
      </c>
      <c r="H9" s="782"/>
      <c r="I9" s="782"/>
      <c r="J9" s="782"/>
      <c r="K9" s="782"/>
      <c r="L9" s="782"/>
      <c r="M9" s="782"/>
      <c r="N9" s="782"/>
      <c r="O9" s="782"/>
      <c r="P9" s="782"/>
      <c r="Q9" s="782"/>
      <c r="R9" s="782"/>
      <c r="S9" s="783"/>
      <c r="T9" s="342"/>
      <c r="U9" s="343"/>
      <c r="V9" s="343"/>
      <c r="W9" s="343"/>
      <c r="X9" s="343"/>
      <c r="Y9" s="343"/>
      <c r="Z9" s="343"/>
      <c r="AA9" s="343"/>
      <c r="AB9" s="343"/>
      <c r="AC9" s="343"/>
      <c r="AD9" s="343"/>
      <c r="AE9" s="343"/>
      <c r="AF9" s="343"/>
      <c r="AG9" s="343"/>
      <c r="AH9" s="343"/>
      <c r="AI9" s="343"/>
      <c r="AJ9" s="343"/>
      <c r="AK9" s="343"/>
      <c r="AL9" s="343"/>
      <c r="AM9" s="343"/>
      <c r="AN9" s="343"/>
      <c r="AO9" s="343"/>
      <c r="AP9" s="343"/>
      <c r="AQ9" s="343"/>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row>
    <row r="10" spans="2:97" ht="1.5" customHeight="1" x14ac:dyDescent="0.25">
      <c r="C10" s="344"/>
      <c r="D10" s="761"/>
      <c r="E10" s="761"/>
      <c r="F10" s="761"/>
      <c r="G10" s="345"/>
      <c r="I10" s="762"/>
      <c r="J10" s="762"/>
      <c r="K10" s="762"/>
      <c r="L10" s="762"/>
      <c r="M10" s="762"/>
      <c r="N10" s="762"/>
      <c r="O10" s="762"/>
      <c r="P10" s="762"/>
      <c r="Q10" s="762"/>
      <c r="R10" s="762"/>
      <c r="S10" s="762"/>
      <c r="T10" s="762"/>
      <c r="U10" s="762"/>
      <c r="V10" s="762"/>
      <c r="W10" s="762"/>
      <c r="X10" s="762"/>
      <c r="Y10" s="762"/>
      <c r="Z10" s="762"/>
      <c r="AA10" s="762"/>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row>
    <row r="11" spans="2:97" ht="7.5" customHeight="1" x14ac:dyDescent="0.25">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X11" s="337"/>
      <c r="BY11" s="337"/>
      <c r="BZ11" s="337"/>
      <c r="CA11" s="337"/>
      <c r="CB11" s="337"/>
      <c r="CC11" s="337"/>
      <c r="CD11" s="337"/>
      <c r="CE11" s="337"/>
      <c r="CF11" s="337"/>
      <c r="CG11" s="337"/>
      <c r="CH11" s="337"/>
      <c r="CI11" s="337"/>
      <c r="CJ11" s="337"/>
      <c r="CK11" s="337"/>
      <c r="CL11" s="337"/>
      <c r="CM11" s="337"/>
      <c r="CN11" s="337"/>
      <c r="CO11" s="337"/>
      <c r="CP11" s="337"/>
      <c r="CQ11" s="337"/>
      <c r="CR11" s="337"/>
      <c r="CS11" s="337"/>
    </row>
    <row r="12" spans="2:97" ht="27.75" x14ac:dyDescent="0.25">
      <c r="C12" s="752" t="s">
        <v>508</v>
      </c>
      <c r="D12" s="752"/>
      <c r="E12" s="752"/>
      <c r="F12" s="752"/>
      <c r="G12" s="752"/>
      <c r="H12" s="752"/>
      <c r="I12" s="752"/>
      <c r="J12" s="752"/>
      <c r="K12" s="752"/>
      <c r="L12" s="752"/>
      <c r="M12" s="752"/>
      <c r="N12" s="752"/>
      <c r="O12" s="752"/>
      <c r="P12" s="752"/>
      <c r="Q12" s="752"/>
      <c r="R12" s="752"/>
      <c r="S12" s="752"/>
      <c r="T12" s="752"/>
      <c r="U12" s="752"/>
      <c r="V12" s="752"/>
      <c r="W12" s="752"/>
      <c r="X12" s="752"/>
      <c r="Y12" s="752"/>
      <c r="Z12" s="752"/>
      <c r="AA12" s="763"/>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37"/>
      <c r="CE12" s="337"/>
      <c r="CF12" s="337"/>
      <c r="CG12" s="337"/>
      <c r="CH12" s="337"/>
      <c r="CI12" s="337"/>
      <c r="CJ12" s="337"/>
      <c r="CK12" s="337"/>
      <c r="CL12" s="337"/>
      <c r="CM12" s="337"/>
      <c r="CN12" s="337"/>
      <c r="CO12" s="337"/>
      <c r="CP12" s="337"/>
      <c r="CQ12" s="337"/>
      <c r="CR12" s="337"/>
      <c r="CS12" s="337"/>
    </row>
    <row r="13" spans="2:97" ht="5.25" customHeight="1" x14ac:dyDescent="0.25">
      <c r="D13" s="346"/>
      <c r="E13" s="346"/>
      <c r="F13" s="346"/>
      <c r="G13" s="346"/>
      <c r="H13" s="346"/>
      <c r="I13" s="346"/>
      <c r="J13" s="346"/>
      <c r="K13" s="337"/>
      <c r="L13" s="337"/>
      <c r="M13" s="337"/>
      <c r="N13" s="337"/>
      <c r="O13" s="337"/>
      <c r="P13" s="337"/>
      <c r="Q13" s="337"/>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c r="BJ13" s="337"/>
      <c r="BK13" s="337"/>
      <c r="BL13" s="337"/>
      <c r="BM13" s="337"/>
      <c r="BN13" s="337"/>
      <c r="BO13" s="337"/>
      <c r="BP13" s="337"/>
      <c r="BQ13" s="337"/>
      <c r="BR13" s="337"/>
      <c r="BS13" s="337"/>
      <c r="BT13" s="337"/>
      <c r="BU13" s="337"/>
      <c r="BV13" s="337"/>
      <c r="BW13" s="337"/>
      <c r="BX13" s="337"/>
      <c r="BY13" s="337"/>
      <c r="BZ13" s="337"/>
      <c r="CA13" s="337"/>
      <c r="CB13" s="337"/>
      <c r="CC13" s="337"/>
      <c r="CD13" s="337"/>
      <c r="CE13" s="337"/>
      <c r="CF13" s="337"/>
      <c r="CG13" s="337"/>
      <c r="CH13" s="337"/>
      <c r="CI13" s="337"/>
      <c r="CJ13" s="337"/>
      <c r="CK13" s="337"/>
      <c r="CL13" s="337"/>
      <c r="CM13" s="337"/>
      <c r="CN13" s="337"/>
      <c r="CO13" s="337"/>
      <c r="CP13" s="337"/>
      <c r="CQ13" s="337"/>
      <c r="CR13" s="337"/>
      <c r="CS13" s="337"/>
    </row>
    <row r="14" spans="2:97" ht="45" customHeight="1" x14ac:dyDescent="0.25">
      <c r="C14" s="749" t="s">
        <v>338</v>
      </c>
      <c r="D14" s="749"/>
      <c r="E14" s="764" t="s">
        <v>339</v>
      </c>
      <c r="F14" s="765"/>
      <c r="G14" s="764" t="s">
        <v>340</v>
      </c>
      <c r="H14" s="765"/>
      <c r="I14" s="764" t="s">
        <v>341</v>
      </c>
      <c r="J14" s="765"/>
      <c r="K14" s="347" t="s">
        <v>218</v>
      </c>
      <c r="L14" s="348" t="s">
        <v>1</v>
      </c>
      <c r="M14" s="347" t="s">
        <v>13</v>
      </c>
      <c r="N14" s="347" t="s">
        <v>342</v>
      </c>
      <c r="O14" s="347" t="s">
        <v>343</v>
      </c>
      <c r="P14" s="349"/>
      <c r="Q14" s="349"/>
      <c r="S14" s="350"/>
      <c r="T14" s="350"/>
      <c r="U14" s="350"/>
      <c r="V14" s="350"/>
      <c r="W14" s="350"/>
      <c r="X14" s="350"/>
      <c r="Y14" s="350"/>
      <c r="Z14" s="350"/>
      <c r="AA14" s="350"/>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37"/>
      <c r="BS14" s="337"/>
      <c r="BT14" s="337"/>
      <c r="BU14" s="337"/>
      <c r="BV14" s="337"/>
      <c r="BW14" s="337"/>
      <c r="BX14" s="337"/>
      <c r="BY14" s="337"/>
      <c r="BZ14" s="337"/>
      <c r="CA14" s="337"/>
      <c r="CB14" s="337"/>
      <c r="CC14" s="337"/>
      <c r="CD14" s="337"/>
      <c r="CE14" s="337"/>
      <c r="CF14" s="337"/>
      <c r="CG14" s="337"/>
      <c r="CH14" s="337"/>
      <c r="CI14" s="337"/>
      <c r="CJ14" s="337"/>
      <c r="CK14" s="337"/>
      <c r="CL14" s="337"/>
      <c r="CM14" s="337"/>
      <c r="CN14" s="337"/>
      <c r="CO14" s="337"/>
      <c r="CP14" s="337"/>
      <c r="CQ14" s="337"/>
      <c r="CR14" s="337"/>
      <c r="CS14" s="337"/>
    </row>
    <row r="15" spans="2:97" ht="180.75" customHeight="1" x14ac:dyDescent="0.25">
      <c r="C15" s="766" t="s">
        <v>574</v>
      </c>
      <c r="D15" s="767"/>
      <c r="E15" s="768" t="s">
        <v>575</v>
      </c>
      <c r="F15" s="769"/>
      <c r="G15" s="768" t="s">
        <v>576</v>
      </c>
      <c r="H15" s="769"/>
      <c r="I15" s="768" t="s">
        <v>567</v>
      </c>
      <c r="J15" s="770"/>
      <c r="K15" s="167" t="s">
        <v>581</v>
      </c>
      <c r="L15" s="422" t="s">
        <v>577</v>
      </c>
      <c r="M15" s="420" t="s">
        <v>555</v>
      </c>
      <c r="N15" s="169" t="s">
        <v>566</v>
      </c>
      <c r="O15" s="421" t="s">
        <v>567</v>
      </c>
      <c r="P15" s="351"/>
      <c r="Q15" s="351"/>
      <c r="S15" s="351"/>
      <c r="T15" s="350"/>
      <c r="U15" s="350"/>
      <c r="V15" s="351"/>
      <c r="W15" s="350"/>
      <c r="X15" s="350"/>
      <c r="Y15" s="350"/>
      <c r="Z15" s="350"/>
      <c r="AA15" s="350"/>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c r="CM15" s="337"/>
      <c r="CN15" s="337"/>
      <c r="CO15" s="337"/>
      <c r="CP15" s="337"/>
      <c r="CQ15" s="337"/>
      <c r="CR15" s="337"/>
      <c r="CS15" s="337"/>
    </row>
    <row r="16" spans="2:97" x14ac:dyDescent="0.25">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37"/>
      <c r="BS16" s="337"/>
      <c r="BT16" s="337"/>
      <c r="BU16" s="337"/>
      <c r="BV16" s="337"/>
      <c r="BW16" s="337"/>
      <c r="BX16" s="337"/>
      <c r="BY16" s="337"/>
      <c r="BZ16" s="337"/>
      <c r="CA16" s="337"/>
      <c r="CB16" s="337"/>
      <c r="CC16" s="337"/>
      <c r="CD16" s="337"/>
      <c r="CE16" s="337"/>
      <c r="CF16" s="337"/>
      <c r="CG16" s="337"/>
      <c r="CH16" s="337"/>
      <c r="CI16" s="337"/>
      <c r="CJ16" s="337"/>
      <c r="CK16" s="337"/>
      <c r="CL16" s="337"/>
      <c r="CM16" s="337"/>
      <c r="CN16" s="337"/>
      <c r="CO16" s="337"/>
      <c r="CP16" s="337"/>
      <c r="CQ16" s="337"/>
      <c r="CR16" s="337"/>
      <c r="CS16" s="337"/>
    </row>
    <row r="17" spans="3:97" ht="27.75" x14ac:dyDescent="0.25">
      <c r="C17" s="751" t="s">
        <v>510</v>
      </c>
      <c r="D17" s="752"/>
      <c r="E17" s="752"/>
      <c r="F17" s="752"/>
      <c r="G17" s="752"/>
      <c r="H17" s="752"/>
      <c r="I17" s="752"/>
      <c r="J17" s="752"/>
      <c r="K17" s="752"/>
      <c r="L17" s="752"/>
      <c r="M17" s="752"/>
      <c r="N17" s="752"/>
      <c r="O17" s="752"/>
      <c r="P17" s="752"/>
      <c r="Q17" s="752"/>
      <c r="R17" s="752"/>
      <c r="S17" s="752"/>
      <c r="T17" s="752"/>
      <c r="U17" s="752"/>
      <c r="V17" s="752"/>
      <c r="W17" s="752"/>
      <c r="X17" s="752"/>
      <c r="Y17" s="752"/>
      <c r="Z17" s="752"/>
      <c r="AA17" s="752"/>
      <c r="AB17" s="752"/>
      <c r="AC17" s="752"/>
      <c r="AD17" s="752"/>
      <c r="AE17" s="752"/>
      <c r="AF17" s="752"/>
      <c r="AG17" s="752"/>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R17" s="337"/>
      <c r="CS17" s="337"/>
    </row>
    <row r="18" spans="3:97" ht="6" customHeight="1" x14ac:dyDescent="0.25">
      <c r="D18" s="337"/>
      <c r="E18" s="337"/>
      <c r="F18" s="337"/>
      <c r="G18" s="337"/>
      <c r="H18" s="337"/>
      <c r="I18" s="337"/>
      <c r="J18" s="337"/>
      <c r="K18" s="337"/>
      <c r="L18" s="337"/>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R18" s="337"/>
      <c r="CS18" s="337"/>
    </row>
    <row r="19" spans="3:97" ht="41.25" customHeight="1" x14ac:dyDescent="0.25">
      <c r="C19" s="736" t="s">
        <v>222</v>
      </c>
      <c r="D19" s="736"/>
      <c r="E19" s="736"/>
      <c r="F19" s="736"/>
      <c r="G19" s="736"/>
      <c r="H19" s="736"/>
      <c r="I19" s="736"/>
      <c r="J19" s="753" t="s">
        <v>141</v>
      </c>
      <c r="K19" s="754"/>
      <c r="L19" s="754"/>
      <c r="M19" s="754"/>
      <c r="N19" s="754"/>
      <c r="O19" s="754"/>
      <c r="P19" s="754"/>
      <c r="Q19" s="754"/>
      <c r="R19" s="755"/>
      <c r="S19" s="753" t="s">
        <v>142</v>
      </c>
      <c r="T19" s="754"/>
      <c r="U19" s="754"/>
      <c r="V19" s="754"/>
      <c r="W19" s="754"/>
      <c r="X19" s="754"/>
      <c r="Y19" s="755"/>
      <c r="Z19" s="756" t="s">
        <v>34</v>
      </c>
      <c r="AA19" s="756"/>
      <c r="AB19" s="756"/>
      <c r="AC19" s="756"/>
      <c r="AD19" s="756"/>
      <c r="AE19" s="756"/>
      <c r="AF19" s="756"/>
      <c r="AG19" s="756"/>
      <c r="AH19" s="337"/>
      <c r="AI19" s="352"/>
      <c r="AJ19" s="352"/>
      <c r="AK19" s="352"/>
      <c r="AL19" s="352"/>
      <c r="AM19" s="352"/>
      <c r="AN19" s="352"/>
      <c r="AO19" s="337"/>
      <c r="AP19" s="337"/>
      <c r="AQ19" s="349"/>
      <c r="AR19" s="349"/>
      <c r="AS19" s="349"/>
      <c r="AT19" s="349"/>
      <c r="AU19" s="349"/>
      <c r="AV19" s="349"/>
      <c r="AW19" s="349"/>
      <c r="AX19" s="349"/>
      <c r="AY19" s="349"/>
      <c r="AZ19" s="349"/>
      <c r="BA19" s="349"/>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K19" s="337"/>
      <c r="CL19" s="337"/>
    </row>
    <row r="20" spans="3:97" ht="25.5" customHeight="1" x14ac:dyDescent="0.25">
      <c r="C20" s="736"/>
      <c r="D20" s="736"/>
      <c r="E20" s="736"/>
      <c r="F20" s="736"/>
      <c r="G20" s="736"/>
      <c r="H20" s="736"/>
      <c r="I20" s="736"/>
      <c r="J20" s="757" t="s">
        <v>11</v>
      </c>
      <c r="K20" s="749" t="s">
        <v>163</v>
      </c>
      <c r="L20" s="749" t="s">
        <v>503</v>
      </c>
      <c r="M20" s="749" t="s">
        <v>8</v>
      </c>
      <c r="N20" s="749"/>
      <c r="O20" s="749"/>
      <c r="P20" s="749"/>
      <c r="Q20" s="749"/>
      <c r="R20" s="749"/>
      <c r="S20" s="757" t="s">
        <v>502</v>
      </c>
      <c r="T20" s="757" t="s">
        <v>485</v>
      </c>
      <c r="U20" s="757" t="s">
        <v>488</v>
      </c>
      <c r="V20" s="757" t="s">
        <v>486</v>
      </c>
      <c r="W20" s="757" t="s">
        <v>481</v>
      </c>
      <c r="X20" s="757" t="s">
        <v>489</v>
      </c>
      <c r="Y20" s="757" t="s">
        <v>29</v>
      </c>
      <c r="Z20" s="749" t="s">
        <v>34</v>
      </c>
      <c r="AA20" s="758" t="s">
        <v>496</v>
      </c>
      <c r="AB20" s="749" t="s">
        <v>35</v>
      </c>
      <c r="AC20" s="749" t="s">
        <v>236</v>
      </c>
      <c r="AD20" s="758" t="s">
        <v>506</v>
      </c>
      <c r="AE20" s="760" t="s">
        <v>38</v>
      </c>
      <c r="AF20" s="760" t="s">
        <v>37</v>
      </c>
      <c r="AG20" s="760" t="s">
        <v>39</v>
      </c>
      <c r="AH20" s="349"/>
      <c r="AI20" s="353"/>
      <c r="AJ20" s="353"/>
      <c r="AK20" s="353"/>
      <c r="AL20" s="353"/>
      <c r="AM20" s="353"/>
      <c r="AN20" s="353"/>
      <c r="AO20" s="349"/>
      <c r="AP20" s="349"/>
      <c r="AQ20" s="354"/>
      <c r="AR20" s="354"/>
      <c r="AS20" s="354"/>
      <c r="AT20" s="354"/>
      <c r="AU20" s="354"/>
      <c r="AV20" s="354"/>
      <c r="AW20" s="354"/>
      <c r="AX20" s="354"/>
      <c r="AY20" s="354"/>
      <c r="AZ20" s="354"/>
      <c r="BA20" s="354"/>
      <c r="BB20" s="349"/>
      <c r="BC20" s="349"/>
      <c r="BD20" s="349"/>
      <c r="BE20" s="349"/>
      <c r="BF20" s="349"/>
      <c r="BG20" s="349"/>
      <c r="BH20" s="349"/>
      <c r="BI20" s="349"/>
      <c r="BJ20" s="349"/>
      <c r="BK20" s="349"/>
      <c r="BL20" s="349"/>
      <c r="BM20" s="349"/>
      <c r="BN20" s="349"/>
      <c r="BO20" s="349"/>
      <c r="BP20" s="349"/>
      <c r="BQ20" s="349"/>
      <c r="BR20" s="349"/>
      <c r="BS20" s="349"/>
      <c r="BT20" s="349"/>
      <c r="BU20" s="349"/>
      <c r="BV20" s="349"/>
      <c r="BW20" s="349"/>
      <c r="BX20" s="349"/>
      <c r="BY20" s="349"/>
      <c r="BZ20" s="349"/>
      <c r="CA20" s="349"/>
      <c r="CB20" s="349"/>
      <c r="CC20" s="349"/>
      <c r="CD20" s="349"/>
    </row>
    <row r="21" spans="3:97" ht="89.25" customHeight="1" x14ac:dyDescent="0.25">
      <c r="C21" s="355" t="s">
        <v>478</v>
      </c>
      <c r="D21" s="356" t="s">
        <v>480</v>
      </c>
      <c r="E21" s="357" t="s">
        <v>481</v>
      </c>
      <c r="F21" s="358" t="s">
        <v>238</v>
      </c>
      <c r="G21" s="357" t="s">
        <v>481</v>
      </c>
      <c r="H21" s="736" t="s">
        <v>239</v>
      </c>
      <c r="I21" s="736"/>
      <c r="J21" s="757"/>
      <c r="K21" s="749"/>
      <c r="L21" s="749"/>
      <c r="M21" s="359" t="s">
        <v>490</v>
      </c>
      <c r="N21" s="359" t="s">
        <v>492</v>
      </c>
      <c r="O21" s="359" t="s">
        <v>487</v>
      </c>
      <c r="P21" s="359" t="s">
        <v>499</v>
      </c>
      <c r="Q21" s="359" t="s">
        <v>500</v>
      </c>
      <c r="R21" s="359" t="s">
        <v>501</v>
      </c>
      <c r="S21" s="757"/>
      <c r="T21" s="757"/>
      <c r="U21" s="757"/>
      <c r="V21" s="757"/>
      <c r="W21" s="757"/>
      <c r="X21" s="757"/>
      <c r="Y21" s="757"/>
      <c r="Z21" s="758"/>
      <c r="AA21" s="759"/>
      <c r="AB21" s="758"/>
      <c r="AC21" s="758"/>
      <c r="AD21" s="759"/>
      <c r="AE21" s="760"/>
      <c r="AF21" s="760"/>
      <c r="AG21" s="760"/>
      <c r="AH21" s="349"/>
      <c r="AI21" s="350"/>
      <c r="AJ21" s="353"/>
      <c r="AK21" s="350"/>
      <c r="AL21" s="353"/>
      <c r="AM21" s="350"/>
      <c r="AN21" s="353"/>
      <c r="AO21" s="349"/>
      <c r="AP21" s="349"/>
      <c r="AQ21" s="354"/>
      <c r="AR21" s="354"/>
      <c r="AS21" s="354"/>
      <c r="AT21" s="354"/>
      <c r="AU21" s="354"/>
      <c r="AV21" s="354"/>
      <c r="AW21" s="354"/>
      <c r="AX21" s="354"/>
      <c r="AY21" s="354"/>
      <c r="AZ21" s="354"/>
      <c r="BA21" s="354"/>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row>
    <row r="22" spans="3:97" ht="206.25" customHeight="1" x14ac:dyDescent="0.25">
      <c r="C22" s="737">
        <v>240</v>
      </c>
      <c r="D22" s="739" t="str">
        <f>IF(C22&lt;=0,"",IF(C22&lt;=2,"Muy Baja",IF(C22&lt;=24,"Baja",IF(C22&lt;=500,"Media",IF(C22&lt;=5000,"Alta","Muy Alta")))))</f>
        <v>Media</v>
      </c>
      <c r="E22" s="741">
        <f>IF(D22="","",IF(D22="Muy Baja",0.2,IF(D22="Baja",0.4,IF(D22="Media",0.6,IF(D22="Alta",0.8,IF(D22="Muy Alta",1,))))))</f>
        <v>0.6</v>
      </c>
      <c r="F22" s="744" t="str">
        <f>IF(H56="Si","Catastrófico",IF(H60&lt;=5,"Moderado",IF(H60&lt;=11,"Mayor","Catastrófico")))</f>
        <v>Mayor</v>
      </c>
      <c r="G22" s="745">
        <f>IF(F22="","",IF(F22="Leve",0.2,IF(F22="Menor",0.4,IF(F22="Moderado",0.6,IF(F22="Mayor",0.8,IF(F22="Catastrófico",1,))))))</f>
        <v>0.8</v>
      </c>
      <c r="H22" s="744" t="str">
        <f>IF(OR(AND(D22="Muy Baja",F22="Leve"),AND(D22="Muy Baja",F22="Menor"),AND(D22="Baja",F22="Leve")),"Bajo",IF(OR(AND(D22="Muy baja",F22="Moderado"),AND(D22="Baja",F22="Menor"),AND(D22="Baja",F22="Moderado"),AND(D22="Media",F22="Leve"),AND(D22="Media",F22="Menor"),AND(D22="Media",F22="Moderado"),AND(D22="Alta",F22="Leve"),AND(D22="Alta",F22="Menor")),"Moderado",IF(OR(AND(D22="Muy Baja",F22="Mayor"),AND(D22="Baja",F22="Mayor"),AND(D22="Media",F22="Mayor"),AND(D22="Alta",F22="Moderado"),AND(D22="Alta",F22="Mayor"),AND(D22="Muy Alta",F22="Leve"),AND(D22="Muy Alta",F22="Menor"),AND(D22="Muy Alta",F22="Moderado"),AND(D22="Muy Alta",F22="Mayor")),"Alto",IF(OR(AND(D22="Muy Baja",F22="Catastrófico"),AND(D22="Baja",F22="Catastrófico"),AND(D22="Media",F22="Catastrófico"),AND(D22="Alta",F22="Catastrófico"),AND(D22="Muy Alta",F22="Catastrófico")),"Extremo",""))))</f>
        <v>Alto</v>
      </c>
      <c r="I22" s="744"/>
      <c r="J22" s="360">
        <v>1</v>
      </c>
      <c r="K22" s="435" t="s">
        <v>565</v>
      </c>
      <c r="L22" s="361" t="str">
        <f>IF(OR(M22="Preventivo",M22="Detectivo"),"Probabilidad",IF(M22="Correctivo","Impacto",""))</f>
        <v>Probabilidad</v>
      </c>
      <c r="M22" s="362" t="s">
        <v>14</v>
      </c>
      <c r="N22" s="362" t="s">
        <v>9</v>
      </c>
      <c r="O22" s="363" t="str">
        <f>IF(AND(M22="Preventivo",N22="Automático"),"50%",IF(AND(M22="Preventivo",N22="Manual"),"40%",IF(AND(M22="Detectivo",N22="Automático"),"40%",IF(AND(M22="Detectivo",N22="Manual"),"30%",IF(AND(M22="Correctivo",N22="Automático"),"35%",IF(AND(M22="Correctivo",N22="Manual"),"25%",""))))))</f>
        <v>40%</v>
      </c>
      <c r="P22" s="362" t="s">
        <v>493</v>
      </c>
      <c r="Q22" s="362" t="s">
        <v>22</v>
      </c>
      <c r="R22" s="362" t="s">
        <v>497</v>
      </c>
      <c r="S22" s="364">
        <f>IFERROR(IF(L22="Probabilidad",(E22-(+E22*O22)),IF(L22="Impacto",E22,"")),"")</f>
        <v>0.36</v>
      </c>
      <c r="T22" s="365" t="str">
        <f>IFERROR(IF(S22="","",IF(S22&lt;=0.2,"Muy Baja",IF(S22&lt;=0.4,"Baja",IF(S22&lt;=0.6,"Media",IF(S22&lt;=0.8,"Alta","Muy Alta"))))),"")</f>
        <v>Baja</v>
      </c>
      <c r="U22" s="363">
        <f>+S22</f>
        <v>0.36</v>
      </c>
      <c r="V22" s="365" t="str">
        <f>IFERROR(IF(W22="","",IF(W22&lt;=0.2,"Leve",IF(W22&lt;=0.4,"Menor",IF(W22&lt;=0.6,"Moderado",IF(W22&lt;=0.8,"Mayor","Catastrófico"))))),"")</f>
        <v>Mayor</v>
      </c>
      <c r="W22" s="363">
        <f>IFERROR(IF(L22="Impacto",(G22-(+G22*O22)),IF(L22="Probabilidad",G22,"")),"")</f>
        <v>0.8</v>
      </c>
      <c r="X22" s="366" t="str">
        <f>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Alto</v>
      </c>
      <c r="Y22" s="362" t="s">
        <v>30</v>
      </c>
      <c r="Z22" s="436" t="s">
        <v>568</v>
      </c>
      <c r="AA22" s="428" t="s">
        <v>569</v>
      </c>
      <c r="AB22" s="429" t="s">
        <v>570</v>
      </c>
      <c r="AC22" s="430">
        <v>44593</v>
      </c>
      <c r="AD22" s="430">
        <v>44772</v>
      </c>
      <c r="AE22" s="367"/>
      <c r="AF22" s="368"/>
      <c r="AG22" s="369"/>
      <c r="AH22" s="349"/>
      <c r="AO22" s="349"/>
      <c r="AP22" s="349"/>
      <c r="AQ22" s="354"/>
      <c r="AR22" s="354"/>
      <c r="AS22" s="354"/>
      <c r="AT22" s="354"/>
      <c r="AU22" s="354"/>
      <c r="AV22" s="354"/>
      <c r="AW22" s="354"/>
      <c r="AX22" s="354"/>
      <c r="AY22" s="354"/>
      <c r="AZ22" s="354"/>
      <c r="BA22" s="354"/>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row>
    <row r="23" spans="3:97" ht="108" customHeight="1" x14ac:dyDescent="0.25">
      <c r="C23" s="738"/>
      <c r="D23" s="740"/>
      <c r="E23" s="742"/>
      <c r="F23" s="744"/>
      <c r="G23" s="746"/>
      <c r="H23" s="744"/>
      <c r="I23" s="744"/>
      <c r="J23" s="360">
        <v>2</v>
      </c>
      <c r="K23" s="432"/>
      <c r="L23" s="361" t="str">
        <f>IF(OR(M23="Preventivo",M23="Detectivo"),"Probabilidad",IF(M23="Correctivo","Impacto",""))</f>
        <v/>
      </c>
      <c r="M23" s="362"/>
      <c r="N23" s="362"/>
      <c r="O23" s="363" t="str">
        <f>IF(AND(M23="Preventivo",N23="Automático"),"50%",IF(AND(M23="Preventivo",N23="Manual"),"40%",IF(AND(M23="Detectivo",N23="Automático"),"40%",IF(AND(M23="Detectivo",N23="Manual"),"30%",IF(AND(M23="Correctivo",N23="Automático"),"35%",IF(AND(M23="Correctivo",N23="Manual"),"25%",""))))))</f>
        <v/>
      </c>
      <c r="P23" s="362"/>
      <c r="Q23" s="362"/>
      <c r="R23" s="362"/>
      <c r="S23" s="364" t="str">
        <f>IFERROR(IF(L23="Probabilidad",(E22-(+E22*O23)),IF(L23="Impacto",E22,"")),"")</f>
        <v/>
      </c>
      <c r="T23" s="365" t="str">
        <f>IFERROR(IF(S23="","",IF(S23&lt;=0.2,"Muy Baja",IF(S23&lt;=0.4,"Baja",IF(S23&lt;=0.6,"Media",IF(S23&lt;=0.8,"Alta","Muy Alta"))))),"")</f>
        <v/>
      </c>
      <c r="U23" s="363" t="str">
        <f>+S23</f>
        <v/>
      </c>
      <c r="V23" s="365" t="str">
        <f>IFERROR(IF(W23="","",IF(W23&lt;=0.2,"Leve",IF(W23&lt;=0.4,"Menor",IF(W23&lt;=0.6,"Moderado",IF(W23&lt;=0.8,"Mayor","Catastrófico"))))),"")</f>
        <v/>
      </c>
      <c r="W23" s="363" t="str">
        <f>IFERROR(IF(L23="Impacto",(G22-(+G22*O23)),IF(L23="Probabilidad",G22,"")),"")</f>
        <v/>
      </c>
      <c r="X23" s="366" t="str">
        <f>IFERROR(IF(OR(AND(T23="Muy Baja",V23="Leve"),AND(T23="Muy Baja",V23="Menor"),AND(T23="Baja",V23="Leve")),"Bajo",IF(OR(AND(T23="Muy baja",V23="Moderado"),AND(T23="Baja",V23="Menor"),AND(T23="Baja",V23="Moderado"),AND(T23="Media",V23="Leve"),AND(T23="Media",V23="Menor"),AND(T23="Media",V23="Moderado"),AND(T23="Alta",V23="Leve"),AND(T23="Alta",V23="Menor")),"Moderado",IF(OR(AND(T23="Muy Baja",V23="Mayor"),AND(T23="Baja",V23="Mayor"),AND(T23="Media",V23="Mayor"),AND(T23="Alta",V23="Moderado"),AND(T23="Alta",V23="Mayor"),AND(T23="Muy Alta",V23="Leve"),AND(T23="Muy Alta",V23="Menor"),AND(T23="Muy Alta",V23="Moderado"),AND(T23="Muy Alta",V23="Mayor")),"Alto",IF(OR(AND(T23="Muy Baja",V23="Catastrófico"),AND(T23="Baja",V23="Catastrófico"),AND(T23="Media",V23="Catastrófico"),AND(T23="Alta",V23="Catastrófico"),AND(T23="Muy Alta",V23="Catastrófico")),"Extremo","")))),"")</f>
        <v/>
      </c>
      <c r="Y23" s="362"/>
      <c r="Z23" s="282" t="s">
        <v>578</v>
      </c>
      <c r="AA23" s="282" t="s">
        <v>579</v>
      </c>
      <c r="AB23" s="429" t="s">
        <v>571</v>
      </c>
      <c r="AC23" s="430">
        <v>44593</v>
      </c>
      <c r="AD23" s="430">
        <v>44910</v>
      </c>
      <c r="AE23" s="367"/>
      <c r="AF23" s="368"/>
      <c r="AG23" s="369"/>
      <c r="AH23" s="349"/>
      <c r="AO23" s="349"/>
      <c r="AP23" s="349"/>
      <c r="AQ23" s="354"/>
      <c r="AR23" s="354"/>
      <c r="AS23" s="354"/>
      <c r="AT23" s="354"/>
      <c r="AU23" s="354"/>
      <c r="AV23" s="354"/>
      <c r="AW23" s="354"/>
      <c r="AX23" s="354"/>
      <c r="AY23" s="354"/>
      <c r="AZ23" s="354"/>
      <c r="BA23" s="354"/>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row>
    <row r="24" spans="3:97" ht="103.5" customHeight="1" x14ac:dyDescent="0.25">
      <c r="C24" s="738"/>
      <c r="D24" s="740"/>
      <c r="E24" s="743"/>
      <c r="F24" s="744"/>
      <c r="G24" s="747"/>
      <c r="H24" s="744"/>
      <c r="I24" s="748"/>
      <c r="J24" s="750" t="s">
        <v>572</v>
      </c>
      <c r="K24" s="431"/>
      <c r="L24" s="370"/>
      <c r="M24" s="370"/>
      <c r="N24" s="370"/>
      <c r="O24" s="370"/>
      <c r="P24" s="370"/>
      <c r="Q24" s="370"/>
      <c r="R24" s="371" t="s">
        <v>573</v>
      </c>
      <c r="S24" s="372" t="e">
        <f>(($S$22*$O$23))</f>
        <v>#VALUE!</v>
      </c>
      <c r="T24" s="365"/>
      <c r="U24" s="363"/>
      <c r="V24" s="365"/>
      <c r="W24" s="363"/>
      <c r="X24" s="366"/>
      <c r="Y24" s="362"/>
      <c r="Z24" s="168"/>
      <c r="AA24" s="282"/>
      <c r="AB24" s="429"/>
      <c r="AC24" s="430"/>
      <c r="AD24" s="430"/>
      <c r="AE24" s="373"/>
      <c r="AF24" s="373"/>
      <c r="AG24" s="373"/>
      <c r="AH24" s="349"/>
      <c r="AO24" s="349"/>
      <c r="AP24" s="349"/>
      <c r="AQ24" s="354"/>
      <c r="AR24" s="354"/>
      <c r="AS24" s="354"/>
      <c r="AT24" s="354"/>
      <c r="AU24" s="354"/>
      <c r="AV24" s="354"/>
      <c r="AW24" s="354"/>
      <c r="AX24" s="354"/>
      <c r="AY24" s="354"/>
      <c r="AZ24" s="354"/>
      <c r="BA24" s="354"/>
      <c r="BB24" s="349"/>
      <c r="BC24" s="349"/>
      <c r="BD24" s="349"/>
      <c r="BE24" s="349"/>
      <c r="BF24" s="349"/>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row>
    <row r="25" spans="3:97" ht="84" customHeight="1" x14ac:dyDescent="0.25">
      <c r="C25" s="374" t="s">
        <v>513</v>
      </c>
      <c r="D25" s="375">
        <f>VLOOKUP(D22,D79:F83,2,0)</f>
        <v>0</v>
      </c>
      <c r="E25" s="375"/>
      <c r="F25" s="375">
        <f>VLOOKUP(F22,D87:F91,2,0)</f>
        <v>0</v>
      </c>
      <c r="G25" s="376"/>
      <c r="J25" s="750"/>
      <c r="K25" s="370"/>
      <c r="L25" s="370"/>
      <c r="M25" s="370"/>
      <c r="N25" s="370"/>
      <c r="O25" s="370"/>
      <c r="P25" s="370"/>
      <c r="Q25" s="370"/>
      <c r="R25" s="371" t="s">
        <v>573</v>
      </c>
      <c r="S25" s="372" t="e">
        <f>(($S$22-$S$24))</f>
        <v>#VALUE!</v>
      </c>
      <c r="T25" s="365" t="str">
        <f>IFERROR(IF(S25="","",IF(S25&lt;=0.2,"Muy Baja",IF(S25&lt;=0.4,"Baja",IF(S25&lt;=0.6,"Media",IF(S25&lt;=0.8,"Alta","Muy Alta"))))),"")</f>
        <v/>
      </c>
      <c r="U25" s="363" t="e">
        <f t="shared" ref="U25" si="0">+S25</f>
        <v>#VALUE!</v>
      </c>
      <c r="V25" s="365" t="str">
        <f t="shared" ref="V25" si="1">IFERROR(IF(W25="","",IF(W25&lt;=0.2,"Leve",IF(W25&lt;=0.4,"Menor",IF(W25&lt;=0.6,"Moderado",IF(W25&lt;=0.8,"Mayor","Catastrófico"))))),"")</f>
        <v/>
      </c>
      <c r="W25" s="363" t="str">
        <f>IFERROR(IF(L23="Impacto",(G22-(+G22*O23)),IF(L23="Probabilidad",G22,"")),"")</f>
        <v/>
      </c>
      <c r="X25" s="366" t="str">
        <f t="shared" ref="X25" si="2">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
      </c>
      <c r="Y25" s="337"/>
      <c r="Z25" s="337"/>
      <c r="AA25" s="337"/>
      <c r="AB25" s="427"/>
      <c r="AC25" s="427"/>
      <c r="AD25" s="427"/>
      <c r="AE25" s="377"/>
      <c r="AF25" s="373"/>
      <c r="AG25" s="373"/>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row>
    <row r="26" spans="3:97" ht="27.75" customHeight="1" x14ac:dyDescent="0.25">
      <c r="F26" s="378"/>
      <c r="G26" s="378"/>
      <c r="J26" s="354"/>
      <c r="K26" s="379"/>
      <c r="L26" s="379"/>
      <c r="M26" s="379"/>
      <c r="N26" s="379"/>
      <c r="O26" s="379"/>
      <c r="P26" s="379"/>
      <c r="Q26" s="379"/>
      <c r="R26" s="379"/>
      <c r="S26" s="338"/>
      <c r="T26" s="337"/>
      <c r="U26" s="337"/>
      <c r="V26" s="337"/>
      <c r="W26" s="337"/>
      <c r="X26" s="337"/>
      <c r="Y26" s="337"/>
      <c r="Z26" s="337"/>
      <c r="AA26" s="337"/>
      <c r="AB26" s="377"/>
      <c r="AC26" s="377"/>
      <c r="AD26" s="377"/>
      <c r="AE26" s="377"/>
      <c r="AF26" s="373"/>
      <c r="AG26" s="373"/>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row>
    <row r="27" spans="3:97" x14ac:dyDescent="0.25">
      <c r="F27" s="380"/>
      <c r="G27" s="380"/>
      <c r="J27" s="354"/>
      <c r="K27" s="379"/>
      <c r="L27" s="379"/>
      <c r="M27" s="379"/>
      <c r="N27" s="379"/>
      <c r="O27" s="379"/>
      <c r="P27" s="379"/>
      <c r="Q27" s="379"/>
      <c r="R27" s="379"/>
      <c r="S27" s="338"/>
      <c r="T27" s="337"/>
      <c r="U27" s="337"/>
      <c r="V27" s="337"/>
      <c r="W27" s="337"/>
      <c r="X27" s="337"/>
      <c r="Y27" s="337"/>
      <c r="Z27" s="337"/>
      <c r="AA27" s="337"/>
      <c r="AB27" s="377"/>
      <c r="AC27" s="377"/>
      <c r="AD27" s="377"/>
      <c r="AE27" s="377"/>
      <c r="AF27" s="373"/>
      <c r="AG27" s="373"/>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Q27" s="349"/>
      <c r="BR27" s="349"/>
      <c r="BS27" s="349"/>
      <c r="BT27" s="349"/>
      <c r="BU27" s="349"/>
      <c r="BV27" s="349"/>
      <c r="BW27" s="349"/>
      <c r="BX27" s="349"/>
      <c r="BY27" s="349"/>
      <c r="BZ27" s="349"/>
      <c r="CA27" s="349"/>
      <c r="CB27" s="349"/>
      <c r="CC27" s="349"/>
      <c r="CD27" s="349"/>
    </row>
    <row r="28" spans="3:97" x14ac:dyDescent="0.25">
      <c r="J28" s="354"/>
      <c r="K28" s="379"/>
      <c r="L28" s="379"/>
      <c r="M28" s="379"/>
      <c r="N28" s="379"/>
      <c r="O28" s="379"/>
      <c r="P28" s="379"/>
      <c r="Q28" s="379"/>
      <c r="R28" s="379"/>
      <c r="S28" s="338"/>
      <c r="AB28" s="377"/>
      <c r="AC28" s="377"/>
      <c r="AD28" s="377"/>
      <c r="AE28" s="377"/>
      <c r="AF28" s="373"/>
      <c r="AG28" s="373"/>
    </row>
    <row r="29" spans="3:97" x14ac:dyDescent="0.25">
      <c r="J29" s="721"/>
      <c r="K29" s="720"/>
      <c r="L29" s="720"/>
      <c r="M29" s="721"/>
      <c r="N29" s="721"/>
      <c r="O29" s="720"/>
      <c r="P29" s="720"/>
      <c r="Q29" s="720"/>
      <c r="R29" s="338"/>
      <c r="S29" s="338"/>
    </row>
    <row r="30" spans="3:97" ht="15" customHeight="1" x14ac:dyDescent="0.25">
      <c r="J30" s="721"/>
      <c r="K30" s="720"/>
      <c r="L30" s="720"/>
      <c r="M30" s="721"/>
      <c r="N30" s="721"/>
      <c r="O30" s="720"/>
      <c r="P30" s="720"/>
      <c r="Q30" s="720"/>
      <c r="R30" s="338"/>
      <c r="S30" s="338"/>
    </row>
    <row r="31" spans="3:97" ht="15" customHeight="1" x14ac:dyDescent="0.25">
      <c r="J31" s="721"/>
      <c r="K31" s="720"/>
      <c r="L31" s="720"/>
      <c r="M31" s="721"/>
      <c r="N31" s="721"/>
      <c r="O31" s="720"/>
      <c r="P31" s="720"/>
      <c r="Q31" s="720"/>
      <c r="R31" s="338"/>
      <c r="S31" s="338"/>
    </row>
    <row r="32" spans="3:97" x14ac:dyDescent="0.25">
      <c r="J32" s="721"/>
      <c r="K32" s="720"/>
      <c r="L32" s="720"/>
      <c r="M32" s="721"/>
      <c r="N32" s="721"/>
      <c r="O32" s="720"/>
      <c r="P32" s="720"/>
      <c r="Q32" s="720"/>
      <c r="R32" s="338"/>
      <c r="S32" s="338"/>
    </row>
    <row r="34" spans="4:23" ht="15" customHeight="1" x14ac:dyDescent="0.25"/>
    <row r="36" spans="4:23" ht="15" customHeight="1" x14ac:dyDescent="0.25">
      <c r="S36" s="727"/>
      <c r="T36" s="727"/>
      <c r="U36" s="727"/>
      <c r="V36" s="727"/>
      <c r="W36" s="727"/>
    </row>
    <row r="37" spans="4:23" ht="15" customHeight="1" x14ac:dyDescent="0.25">
      <c r="D37" s="728" t="s">
        <v>247</v>
      </c>
      <c r="E37" s="728"/>
      <c r="F37" s="728"/>
      <c r="G37" s="728"/>
      <c r="H37" s="728"/>
      <c r="J37" s="729"/>
      <c r="K37" s="729"/>
      <c r="L37" s="729"/>
      <c r="M37" s="729"/>
      <c r="N37" s="729"/>
      <c r="O37" s="729"/>
      <c r="P37" s="729"/>
      <c r="Q37" s="729"/>
      <c r="S37" s="727"/>
      <c r="T37" s="727"/>
      <c r="U37" s="727"/>
      <c r="V37" s="727"/>
      <c r="W37" s="727"/>
    </row>
    <row r="38" spans="4:23" x14ac:dyDescent="0.25">
      <c r="D38" s="337"/>
      <c r="E38" s="337"/>
      <c r="F38" s="337"/>
      <c r="G38" s="337"/>
      <c r="H38" s="337"/>
    </row>
    <row r="39" spans="4:23" ht="15" customHeight="1" x14ac:dyDescent="0.25">
      <c r="D39" s="730" t="s">
        <v>204</v>
      </c>
      <c r="E39" s="381"/>
      <c r="F39" s="732" t="s">
        <v>248</v>
      </c>
      <c r="G39" s="382"/>
      <c r="H39" s="383" t="s">
        <v>249</v>
      </c>
      <c r="L39" s="734"/>
      <c r="M39" s="734"/>
      <c r="N39" s="734"/>
      <c r="O39" s="734"/>
      <c r="P39" s="734"/>
      <c r="Q39" s="734"/>
      <c r="S39" s="735"/>
      <c r="T39" s="735"/>
      <c r="U39" s="735"/>
      <c r="V39" s="735"/>
      <c r="W39" s="735"/>
    </row>
    <row r="40" spans="4:23" x14ac:dyDescent="0.25">
      <c r="D40" s="731"/>
      <c r="E40" s="384"/>
      <c r="F40" s="733"/>
      <c r="G40" s="385"/>
      <c r="H40" s="386" t="s">
        <v>257</v>
      </c>
      <c r="J40" s="346"/>
      <c r="K40" s="346"/>
      <c r="L40" s="351"/>
      <c r="M40" s="351"/>
      <c r="N40" s="351"/>
      <c r="O40" s="351"/>
      <c r="P40" s="351"/>
      <c r="Q40" s="351"/>
      <c r="S40" s="735"/>
      <c r="T40" s="735"/>
      <c r="U40" s="735"/>
      <c r="V40" s="735"/>
      <c r="W40" s="735"/>
    </row>
    <row r="41" spans="4:23" ht="42.75" customHeight="1" x14ac:dyDescent="0.25">
      <c r="D41" s="387">
        <v>1</v>
      </c>
      <c r="E41" s="387"/>
      <c r="F41" s="388" t="s">
        <v>262</v>
      </c>
      <c r="G41" s="388"/>
      <c r="H41" s="334" t="s">
        <v>377</v>
      </c>
      <c r="J41" s="719"/>
      <c r="K41" s="724"/>
      <c r="L41" s="721"/>
      <c r="M41" s="720"/>
      <c r="N41" s="721"/>
      <c r="O41" s="720"/>
      <c r="P41" s="721"/>
      <c r="Q41" s="720"/>
      <c r="S41" s="735"/>
      <c r="T41" s="735"/>
      <c r="U41" s="735"/>
      <c r="V41" s="735"/>
      <c r="W41" s="735"/>
    </row>
    <row r="42" spans="4:23" ht="43.5" customHeight="1" x14ac:dyDescent="0.25">
      <c r="D42" s="387">
        <v>2</v>
      </c>
      <c r="E42" s="387"/>
      <c r="F42" s="388" t="s">
        <v>266</v>
      </c>
      <c r="G42" s="388"/>
      <c r="H42" s="334" t="s">
        <v>377</v>
      </c>
      <c r="J42" s="719"/>
      <c r="K42" s="724"/>
      <c r="L42" s="721"/>
      <c r="M42" s="720"/>
      <c r="N42" s="721"/>
      <c r="O42" s="720"/>
      <c r="P42" s="721"/>
      <c r="Q42" s="720"/>
      <c r="S42" s="339"/>
      <c r="T42" s="339"/>
      <c r="U42" s="339"/>
      <c r="V42" s="339"/>
      <c r="W42" s="339"/>
    </row>
    <row r="43" spans="4:23" ht="30" x14ac:dyDescent="0.25">
      <c r="D43" s="387">
        <v>3</v>
      </c>
      <c r="E43" s="387"/>
      <c r="F43" s="388" t="s">
        <v>269</v>
      </c>
      <c r="G43" s="388"/>
      <c r="H43" s="334" t="s">
        <v>377</v>
      </c>
      <c r="J43" s="719"/>
      <c r="K43" s="423"/>
      <c r="L43" s="395"/>
      <c r="M43" s="424"/>
      <c r="N43" s="395"/>
      <c r="O43" s="424"/>
      <c r="P43" s="395"/>
      <c r="Q43" s="424"/>
      <c r="S43" s="339"/>
      <c r="T43" s="339"/>
      <c r="U43" s="339"/>
      <c r="V43" s="339"/>
      <c r="W43" s="339"/>
    </row>
    <row r="44" spans="4:23" ht="46.5" customHeight="1" x14ac:dyDescent="0.25">
      <c r="D44" s="387">
        <v>4</v>
      </c>
      <c r="E44" s="387"/>
      <c r="F44" s="388" t="s">
        <v>273</v>
      </c>
      <c r="G44" s="388"/>
      <c r="H44" s="334" t="s">
        <v>378</v>
      </c>
      <c r="J44" s="726"/>
      <c r="K44" s="724"/>
      <c r="L44" s="719"/>
      <c r="M44" s="720"/>
      <c r="N44" s="719"/>
      <c r="O44" s="720"/>
      <c r="P44" s="719"/>
      <c r="Q44" s="720"/>
      <c r="S44" s="339"/>
      <c r="T44" s="339"/>
      <c r="U44" s="339"/>
      <c r="V44" s="339"/>
      <c r="W44" s="339"/>
    </row>
    <row r="45" spans="4:23" ht="46.5" customHeight="1" x14ac:dyDescent="0.25">
      <c r="D45" s="387">
        <v>5</v>
      </c>
      <c r="E45" s="387"/>
      <c r="F45" s="388" t="s">
        <v>278</v>
      </c>
      <c r="G45" s="388"/>
      <c r="H45" s="334" t="s">
        <v>377</v>
      </c>
      <c r="J45" s="726"/>
      <c r="K45" s="724"/>
      <c r="L45" s="719"/>
      <c r="M45" s="720"/>
      <c r="N45" s="719"/>
      <c r="O45" s="720"/>
      <c r="P45" s="719"/>
      <c r="Q45" s="720"/>
      <c r="S45" s="339"/>
      <c r="T45" s="339"/>
      <c r="U45" s="339"/>
      <c r="V45" s="339"/>
      <c r="W45" s="339"/>
    </row>
    <row r="46" spans="4:23" ht="41.25" customHeight="1" x14ac:dyDescent="0.25">
      <c r="D46" s="387">
        <v>6</v>
      </c>
      <c r="E46" s="387"/>
      <c r="F46" s="388" t="s">
        <v>279</v>
      </c>
      <c r="G46" s="388"/>
      <c r="H46" s="334" t="s">
        <v>377</v>
      </c>
      <c r="J46" s="726"/>
      <c r="K46" s="724"/>
      <c r="L46" s="721"/>
      <c r="M46" s="720"/>
      <c r="N46" s="721"/>
      <c r="O46" s="720"/>
      <c r="P46" s="721"/>
      <c r="Q46" s="720"/>
      <c r="S46" s="339"/>
      <c r="T46" s="339"/>
      <c r="U46" s="339"/>
      <c r="V46" s="339"/>
      <c r="W46" s="339"/>
    </row>
    <row r="47" spans="4:23" ht="41.25" customHeight="1" x14ac:dyDescent="0.25">
      <c r="D47" s="387">
        <v>7</v>
      </c>
      <c r="E47" s="387"/>
      <c r="F47" s="388" t="s">
        <v>284</v>
      </c>
      <c r="G47" s="388"/>
      <c r="H47" s="334" t="s">
        <v>377</v>
      </c>
      <c r="J47" s="726"/>
      <c r="K47" s="724"/>
      <c r="L47" s="721"/>
      <c r="M47" s="720"/>
      <c r="N47" s="721"/>
      <c r="O47" s="720"/>
      <c r="P47" s="721"/>
      <c r="Q47" s="720"/>
      <c r="S47" s="339"/>
      <c r="T47" s="339"/>
      <c r="U47" s="339"/>
      <c r="V47" s="339"/>
      <c r="W47" s="339"/>
    </row>
    <row r="48" spans="4:23" ht="50.25" customHeight="1" x14ac:dyDescent="0.25">
      <c r="D48" s="387">
        <v>8</v>
      </c>
      <c r="E48" s="387"/>
      <c r="F48" s="388" t="s">
        <v>511</v>
      </c>
      <c r="G48" s="388"/>
      <c r="H48" s="334" t="s">
        <v>378</v>
      </c>
      <c r="J48" s="726"/>
      <c r="K48" s="724"/>
      <c r="L48" s="721"/>
      <c r="M48" s="720"/>
      <c r="N48" s="721"/>
      <c r="O48" s="720"/>
      <c r="P48" s="721"/>
      <c r="Q48" s="720"/>
      <c r="S48" s="339"/>
      <c r="T48" s="339"/>
      <c r="U48" s="339"/>
      <c r="V48" s="339"/>
      <c r="W48" s="339"/>
    </row>
    <row r="49" spans="4:25" ht="42" customHeight="1" x14ac:dyDescent="0.25">
      <c r="D49" s="387">
        <v>9</v>
      </c>
      <c r="E49" s="387"/>
      <c r="F49" s="388" t="s">
        <v>285</v>
      </c>
      <c r="G49" s="388"/>
      <c r="H49" s="334" t="s">
        <v>378</v>
      </c>
      <c r="J49" s="726"/>
      <c r="K49" s="724"/>
      <c r="L49" s="721"/>
      <c r="M49" s="720"/>
      <c r="N49" s="721"/>
      <c r="O49" s="720"/>
      <c r="P49" s="721"/>
      <c r="Q49" s="720"/>
      <c r="S49" s="339"/>
      <c r="T49" s="339"/>
      <c r="U49" s="339"/>
      <c r="V49" s="339"/>
      <c r="W49" s="339"/>
    </row>
    <row r="50" spans="4:25" ht="42" customHeight="1" x14ac:dyDescent="0.25">
      <c r="D50" s="387">
        <v>10</v>
      </c>
      <c r="E50" s="387"/>
      <c r="F50" s="388" t="s">
        <v>289</v>
      </c>
      <c r="G50" s="388"/>
      <c r="H50" s="334" t="s">
        <v>377</v>
      </c>
      <c r="J50" s="726"/>
      <c r="K50" s="724"/>
      <c r="L50" s="721"/>
      <c r="M50" s="720"/>
      <c r="N50" s="721"/>
      <c r="O50" s="720"/>
      <c r="P50" s="721"/>
      <c r="Q50" s="720"/>
      <c r="X50" s="389"/>
    </row>
    <row r="51" spans="4:25" ht="48.75" customHeight="1" x14ac:dyDescent="0.25">
      <c r="D51" s="387">
        <v>11</v>
      </c>
      <c r="E51" s="387"/>
      <c r="F51" s="388" t="s">
        <v>290</v>
      </c>
      <c r="G51" s="388"/>
      <c r="H51" s="334" t="s">
        <v>377</v>
      </c>
      <c r="J51" s="725"/>
      <c r="K51" s="724"/>
      <c r="L51" s="721"/>
      <c r="M51" s="720"/>
      <c r="N51" s="721"/>
      <c r="O51" s="720"/>
      <c r="P51" s="721"/>
      <c r="Q51" s="720"/>
      <c r="S51" s="721"/>
      <c r="T51" s="721"/>
      <c r="U51" s="721"/>
      <c r="V51" s="723"/>
      <c r="W51" s="389"/>
      <c r="X51" s="389"/>
      <c r="Y51" s="351"/>
    </row>
    <row r="52" spans="4:25" ht="21" customHeight="1" x14ac:dyDescent="0.25">
      <c r="D52" s="387">
        <v>12</v>
      </c>
      <c r="E52" s="387"/>
      <c r="F52" s="388" t="s">
        <v>296</v>
      </c>
      <c r="G52" s="388"/>
      <c r="H52" s="334" t="s">
        <v>377</v>
      </c>
      <c r="J52" s="725"/>
      <c r="K52" s="724"/>
      <c r="L52" s="721"/>
      <c r="M52" s="720"/>
      <c r="N52" s="721"/>
      <c r="O52" s="720"/>
      <c r="P52" s="721"/>
      <c r="Q52" s="720"/>
      <c r="S52" s="721"/>
      <c r="T52" s="721"/>
      <c r="U52" s="721"/>
      <c r="V52" s="723"/>
      <c r="W52" s="389"/>
      <c r="X52" s="389"/>
      <c r="Y52" s="351"/>
    </row>
    <row r="53" spans="4:25" ht="27.75" customHeight="1" x14ac:dyDescent="0.25">
      <c r="D53" s="387">
        <v>13</v>
      </c>
      <c r="E53" s="387"/>
      <c r="F53" s="388" t="s">
        <v>297</v>
      </c>
      <c r="G53" s="388"/>
      <c r="H53" s="334" t="s">
        <v>377</v>
      </c>
      <c r="J53" s="725"/>
      <c r="K53" s="724"/>
      <c r="L53" s="721"/>
      <c r="M53" s="720"/>
      <c r="N53" s="721"/>
      <c r="O53" s="720"/>
      <c r="P53" s="721"/>
      <c r="Q53" s="720"/>
      <c r="S53" s="721"/>
      <c r="T53" s="721"/>
      <c r="U53" s="721"/>
      <c r="V53" s="723"/>
      <c r="W53" s="389"/>
      <c r="Y53" s="351"/>
    </row>
    <row r="54" spans="4:25" ht="48" customHeight="1" x14ac:dyDescent="0.25">
      <c r="D54" s="387">
        <v>14</v>
      </c>
      <c r="E54" s="387"/>
      <c r="F54" s="388" t="s">
        <v>298</v>
      </c>
      <c r="G54" s="388"/>
      <c r="H54" s="334" t="s">
        <v>377</v>
      </c>
      <c r="J54" s="721"/>
      <c r="K54" s="724"/>
      <c r="L54" s="719"/>
      <c r="M54" s="720"/>
      <c r="N54" s="719"/>
      <c r="O54" s="720"/>
      <c r="P54" s="719"/>
      <c r="Q54" s="720"/>
      <c r="Y54" s="351"/>
    </row>
    <row r="55" spans="4:25" ht="48" customHeight="1" x14ac:dyDescent="0.25">
      <c r="D55" s="387">
        <v>15</v>
      </c>
      <c r="E55" s="387"/>
      <c r="F55" s="388" t="s">
        <v>302</v>
      </c>
      <c r="G55" s="388"/>
      <c r="H55" s="334" t="s">
        <v>378</v>
      </c>
      <c r="J55" s="721"/>
      <c r="K55" s="724"/>
      <c r="L55" s="719"/>
      <c r="M55" s="720"/>
      <c r="N55" s="719"/>
      <c r="O55" s="720"/>
      <c r="P55" s="719"/>
      <c r="Q55" s="720"/>
      <c r="Y55" s="351"/>
    </row>
    <row r="56" spans="4:25" ht="63" customHeight="1" x14ac:dyDescent="0.25">
      <c r="D56" s="390">
        <v>16</v>
      </c>
      <c r="E56" s="390"/>
      <c r="F56" s="391" t="s">
        <v>303</v>
      </c>
      <c r="G56" s="391"/>
      <c r="H56" s="334" t="s">
        <v>378</v>
      </c>
      <c r="K56" s="346"/>
      <c r="L56" s="346"/>
      <c r="M56" s="424"/>
      <c r="N56" s="351"/>
      <c r="O56" s="424"/>
      <c r="P56" s="351"/>
      <c r="Q56" s="424"/>
      <c r="Y56" s="351"/>
    </row>
    <row r="57" spans="4:25" ht="45" customHeight="1" x14ac:dyDescent="0.25">
      <c r="D57" s="387">
        <v>17</v>
      </c>
      <c r="E57" s="387"/>
      <c r="F57" s="392" t="s">
        <v>306</v>
      </c>
      <c r="G57" s="392"/>
      <c r="H57" s="334" t="s">
        <v>378</v>
      </c>
      <c r="J57" s="721"/>
      <c r="L57" s="352"/>
      <c r="M57" s="395"/>
      <c r="N57" s="346"/>
      <c r="O57" s="395"/>
      <c r="P57" s="346"/>
      <c r="Q57" s="395"/>
      <c r="Y57" s="351"/>
    </row>
    <row r="58" spans="4:25" ht="31.5" customHeight="1" x14ac:dyDescent="0.25">
      <c r="D58" s="387">
        <v>18</v>
      </c>
      <c r="E58" s="387"/>
      <c r="F58" s="392" t="s">
        <v>309</v>
      </c>
      <c r="G58" s="392"/>
      <c r="H58" s="334" t="s">
        <v>378</v>
      </c>
      <c r="J58" s="721"/>
      <c r="K58" s="380"/>
      <c r="L58" s="380"/>
      <c r="R58" s="721"/>
      <c r="Y58" s="351"/>
    </row>
    <row r="59" spans="4:25" ht="36.75" customHeight="1" x14ac:dyDescent="0.25">
      <c r="D59" s="393">
        <v>19</v>
      </c>
      <c r="E59" s="393"/>
      <c r="F59" s="394" t="s">
        <v>311</v>
      </c>
      <c r="G59" s="394"/>
      <c r="H59" s="334" t="s">
        <v>378</v>
      </c>
      <c r="J59" s="721"/>
      <c r="K59" s="380"/>
      <c r="L59" s="352"/>
      <c r="M59" s="722"/>
      <c r="N59" s="722"/>
      <c r="O59" s="722"/>
      <c r="P59" s="722"/>
      <c r="Q59" s="722"/>
      <c r="R59" s="721"/>
      <c r="S59" s="395"/>
      <c r="Y59" s="351"/>
    </row>
    <row r="60" spans="4:25" ht="33" customHeight="1" x14ac:dyDescent="0.25">
      <c r="F60" s="396" t="s">
        <v>314</v>
      </c>
      <c r="G60" s="396"/>
      <c r="H60" s="396">
        <f>COUNTIF(H41:H59,"Si")</f>
        <v>11</v>
      </c>
      <c r="J60" s="721"/>
      <c r="K60" s="380"/>
      <c r="L60" s="352"/>
      <c r="M60" s="722"/>
      <c r="N60" s="722"/>
      <c r="O60" s="722"/>
      <c r="P60" s="722"/>
      <c r="Q60" s="722"/>
      <c r="R60" s="721"/>
      <c r="S60" s="395"/>
      <c r="Y60" s="351"/>
    </row>
    <row r="61" spans="4:25" x14ac:dyDescent="0.25">
      <c r="J61" s="397"/>
      <c r="K61" s="354"/>
      <c r="R61" s="395"/>
      <c r="S61" s="395"/>
      <c r="Y61" s="351"/>
    </row>
    <row r="62" spans="4:25" x14ac:dyDescent="0.25">
      <c r="S62" s="395"/>
      <c r="Y62" s="351"/>
    </row>
    <row r="63" spans="4:25" x14ac:dyDescent="0.25">
      <c r="X63" s="351"/>
      <c r="Y63" s="351"/>
    </row>
    <row r="64" spans="4:25" x14ac:dyDescent="0.25">
      <c r="T64" s="351"/>
      <c r="U64" s="351"/>
      <c r="V64" s="351"/>
      <c r="W64" s="351"/>
      <c r="X64" s="351"/>
      <c r="Y64" s="351"/>
    </row>
    <row r="65" spans="4:23" x14ac:dyDescent="0.25">
      <c r="T65" s="351"/>
      <c r="U65" s="351"/>
      <c r="V65" s="351"/>
      <c r="W65" s="351"/>
    </row>
    <row r="78" spans="4:23" ht="21" customHeight="1" x14ac:dyDescent="0.3">
      <c r="D78" s="717" t="s">
        <v>522</v>
      </c>
      <c r="E78" s="717"/>
      <c r="F78" s="717"/>
      <c r="G78" s="337"/>
      <c r="I78" s="718" t="s">
        <v>469</v>
      </c>
      <c r="J78" s="718"/>
      <c r="K78" s="718"/>
      <c r="L78" s="718"/>
      <c r="M78" s="718"/>
    </row>
    <row r="79" spans="4:23" ht="21" customHeight="1" x14ac:dyDescent="0.3">
      <c r="D79" s="398" t="s">
        <v>514</v>
      </c>
      <c r="E79" s="398"/>
      <c r="F79" s="399">
        <v>0.2</v>
      </c>
      <c r="G79" s="400"/>
      <c r="I79" s="401"/>
      <c r="J79" s="402"/>
      <c r="K79" s="403" t="s">
        <v>13</v>
      </c>
      <c r="L79" s="403" t="s">
        <v>498</v>
      </c>
      <c r="M79" s="401"/>
      <c r="N79" s="335" t="s">
        <v>265</v>
      </c>
    </row>
    <row r="80" spans="4:23" ht="21" customHeight="1" x14ac:dyDescent="0.3">
      <c r="D80" s="398" t="s">
        <v>515</v>
      </c>
      <c r="E80" s="398"/>
      <c r="F80" s="399">
        <v>0.4</v>
      </c>
      <c r="G80" s="400"/>
      <c r="I80" s="401"/>
      <c r="J80" s="402"/>
      <c r="K80" s="401" t="s">
        <v>14</v>
      </c>
      <c r="L80" s="401" t="s">
        <v>491</v>
      </c>
      <c r="M80" s="401"/>
      <c r="N80" s="335" t="s">
        <v>556</v>
      </c>
    </row>
    <row r="81" spans="4:14" ht="21" customHeight="1" x14ac:dyDescent="0.3">
      <c r="D81" s="404" t="s">
        <v>516</v>
      </c>
      <c r="E81" s="404"/>
      <c r="F81" s="405">
        <v>0.6</v>
      </c>
      <c r="G81" s="406"/>
      <c r="I81" s="407"/>
      <c r="J81" s="402"/>
      <c r="K81" s="401" t="s">
        <v>15</v>
      </c>
      <c r="L81" s="401" t="s">
        <v>9</v>
      </c>
      <c r="M81" s="401"/>
    </row>
    <row r="82" spans="4:14" ht="21" customHeight="1" x14ac:dyDescent="0.3">
      <c r="D82" s="404" t="s">
        <v>517</v>
      </c>
      <c r="E82" s="404"/>
      <c r="F82" s="405">
        <v>0.8</v>
      </c>
      <c r="G82" s="406"/>
      <c r="I82" s="401"/>
      <c r="J82" s="402"/>
      <c r="K82" s="401" t="s">
        <v>16</v>
      </c>
      <c r="L82" s="401"/>
      <c r="M82" s="401"/>
      <c r="N82" s="335" t="s">
        <v>557</v>
      </c>
    </row>
    <row r="83" spans="4:14" ht="21" customHeight="1" x14ac:dyDescent="0.3">
      <c r="D83" s="408" t="s">
        <v>518</v>
      </c>
      <c r="E83" s="408"/>
      <c r="F83" s="409">
        <v>1</v>
      </c>
      <c r="G83" s="410"/>
      <c r="I83" s="401"/>
      <c r="J83" s="402"/>
      <c r="K83" s="401"/>
      <c r="L83" s="401"/>
      <c r="M83" s="401"/>
      <c r="N83" s="335" t="s">
        <v>558</v>
      </c>
    </row>
    <row r="84" spans="4:14" ht="21" customHeight="1" x14ac:dyDescent="0.3">
      <c r="D84" s="337"/>
      <c r="E84" s="337"/>
      <c r="F84" s="337"/>
      <c r="G84" s="337"/>
      <c r="I84" s="401"/>
      <c r="J84" s="402"/>
      <c r="K84" s="403" t="s">
        <v>18</v>
      </c>
      <c r="L84" s="403" t="s">
        <v>495</v>
      </c>
      <c r="M84" s="401"/>
    </row>
    <row r="85" spans="4:14" ht="21" customHeight="1" x14ac:dyDescent="0.3">
      <c r="D85" s="337"/>
      <c r="E85" s="337"/>
      <c r="F85" s="337"/>
      <c r="G85" s="337"/>
      <c r="I85" s="401"/>
      <c r="J85" s="402"/>
      <c r="K85" s="401" t="s">
        <v>493</v>
      </c>
      <c r="L85" s="401" t="s">
        <v>22</v>
      </c>
      <c r="M85" s="401"/>
      <c r="N85" s="335" t="s">
        <v>276</v>
      </c>
    </row>
    <row r="86" spans="4:14" ht="21" customHeight="1" x14ac:dyDescent="0.3">
      <c r="D86" s="717" t="s">
        <v>523</v>
      </c>
      <c r="E86" s="717"/>
      <c r="F86" s="717"/>
      <c r="G86" s="337"/>
      <c r="I86" s="401"/>
      <c r="J86" s="402"/>
      <c r="K86" s="401" t="s">
        <v>494</v>
      </c>
      <c r="L86" s="401" t="s">
        <v>23</v>
      </c>
      <c r="M86" s="401"/>
      <c r="N86" s="335" t="s">
        <v>559</v>
      </c>
    </row>
    <row r="87" spans="4:14" ht="21" customHeight="1" x14ac:dyDescent="0.3">
      <c r="D87" s="411" t="s">
        <v>519</v>
      </c>
      <c r="E87" s="411"/>
      <c r="F87" s="412">
        <v>0.2</v>
      </c>
      <c r="G87" s="413"/>
      <c r="I87" s="401"/>
      <c r="J87" s="402"/>
      <c r="K87" s="401"/>
      <c r="L87" s="401"/>
      <c r="M87" s="401"/>
    </row>
    <row r="88" spans="4:14" ht="21" customHeight="1" x14ac:dyDescent="0.3">
      <c r="D88" s="411" t="s">
        <v>520</v>
      </c>
      <c r="E88" s="411"/>
      <c r="F88" s="412">
        <v>0.4</v>
      </c>
      <c r="G88" s="413"/>
      <c r="I88" s="401"/>
      <c r="J88" s="402"/>
      <c r="K88" s="401"/>
      <c r="L88" s="401"/>
      <c r="M88" s="401"/>
      <c r="N88" s="335" t="s">
        <v>282</v>
      </c>
    </row>
    <row r="89" spans="4:14" ht="21" customHeight="1" x14ac:dyDescent="0.3">
      <c r="D89" s="404" t="s">
        <v>447</v>
      </c>
      <c r="E89" s="404"/>
      <c r="F89" s="405">
        <v>0.6</v>
      </c>
      <c r="G89" s="406"/>
      <c r="I89" s="401"/>
      <c r="J89" s="402"/>
      <c r="K89" s="403" t="s">
        <v>496</v>
      </c>
      <c r="L89" s="403" t="s">
        <v>29</v>
      </c>
      <c r="M89" s="401"/>
      <c r="N89" s="335" t="s">
        <v>336</v>
      </c>
    </row>
    <row r="90" spans="4:14" ht="21" customHeight="1" x14ac:dyDescent="0.3">
      <c r="D90" s="408" t="s">
        <v>521</v>
      </c>
      <c r="E90" s="408"/>
      <c r="F90" s="409">
        <v>0.8</v>
      </c>
      <c r="G90" s="410"/>
      <c r="I90" s="401"/>
      <c r="J90" s="402"/>
      <c r="K90" s="401" t="s">
        <v>497</v>
      </c>
      <c r="L90" s="401" t="s">
        <v>30</v>
      </c>
      <c r="M90" s="401"/>
      <c r="N90" s="335" t="s">
        <v>560</v>
      </c>
    </row>
    <row r="91" spans="4:14" ht="21" customHeight="1" x14ac:dyDescent="0.3">
      <c r="D91" s="414" t="s">
        <v>524</v>
      </c>
      <c r="E91" s="414"/>
      <c r="F91" s="415">
        <v>1</v>
      </c>
      <c r="G91" s="416"/>
      <c r="I91" s="401"/>
      <c r="J91" s="402"/>
      <c r="K91" s="401" t="s">
        <v>27</v>
      </c>
      <c r="L91" s="401" t="s">
        <v>504</v>
      </c>
      <c r="M91" s="401"/>
    </row>
    <row r="92" spans="4:14" ht="16.5" x14ac:dyDescent="0.3">
      <c r="I92" s="401"/>
      <c r="J92" s="402"/>
      <c r="K92" s="401"/>
      <c r="L92" s="401" t="s">
        <v>31</v>
      </c>
      <c r="M92" s="401"/>
      <c r="N92" s="335" t="s">
        <v>288</v>
      </c>
    </row>
    <row r="93" spans="4:14" ht="16.5" x14ac:dyDescent="0.3">
      <c r="I93" s="401"/>
      <c r="J93" s="402"/>
      <c r="K93" s="403" t="s">
        <v>39</v>
      </c>
      <c r="L93" s="401" t="s">
        <v>505</v>
      </c>
      <c r="M93" s="401"/>
      <c r="N93" s="335" t="s">
        <v>561</v>
      </c>
    </row>
    <row r="94" spans="4:14" ht="16.5" x14ac:dyDescent="0.3">
      <c r="I94" s="401"/>
      <c r="J94" s="402"/>
      <c r="K94" s="401" t="s">
        <v>40</v>
      </c>
      <c r="L94" s="401" t="s">
        <v>32</v>
      </c>
      <c r="M94" s="401"/>
    </row>
    <row r="95" spans="4:14" x14ac:dyDescent="0.25">
      <c r="K95" s="335" t="s">
        <v>41</v>
      </c>
      <c r="N95" s="335" t="s">
        <v>293</v>
      </c>
    </row>
    <row r="96" spans="4:14" x14ac:dyDescent="0.25">
      <c r="N96" s="335" t="s">
        <v>562</v>
      </c>
    </row>
    <row r="98" spans="14:14" x14ac:dyDescent="0.25">
      <c r="N98" s="335" t="s">
        <v>301</v>
      </c>
    </row>
    <row r="99" spans="14:14" x14ac:dyDescent="0.25">
      <c r="N99" s="335" t="s">
        <v>563</v>
      </c>
    </row>
    <row r="100" spans="14:14" x14ac:dyDescent="0.25">
      <c r="N100" s="335" t="s">
        <v>564</v>
      </c>
    </row>
    <row r="118" spans="6:6" x14ac:dyDescent="0.25">
      <c r="F118" s="335" t="s">
        <v>395</v>
      </c>
    </row>
    <row r="120" spans="6:6" x14ac:dyDescent="0.25">
      <c r="F120" s="335" t="s">
        <v>377</v>
      </c>
    </row>
    <row r="121" spans="6:6" x14ac:dyDescent="0.25">
      <c r="F121" s="335" t="s">
        <v>378</v>
      </c>
    </row>
    <row r="283" spans="4:20" x14ac:dyDescent="0.25">
      <c r="J283" s="417"/>
      <c r="K283" s="417"/>
      <c r="L283" s="417"/>
    </row>
    <row r="286" spans="4:20" x14ac:dyDescent="0.25">
      <c r="M286" s="417"/>
      <c r="N286" s="417"/>
      <c r="O286" s="417"/>
      <c r="S286" s="417"/>
      <c r="T286" s="417"/>
    </row>
    <row r="287" spans="4:20" x14ac:dyDescent="0.25">
      <c r="D287" s="418"/>
    </row>
    <row r="288" spans="4:20" x14ac:dyDescent="0.25">
      <c r="D288" s="418"/>
    </row>
    <row r="289" spans="4:18" x14ac:dyDescent="0.25">
      <c r="D289" s="418"/>
    </row>
    <row r="290" spans="4:18" x14ac:dyDescent="0.25">
      <c r="D290" s="418"/>
    </row>
    <row r="291" spans="4:18" x14ac:dyDescent="0.25">
      <c r="D291" s="418"/>
      <c r="I291" s="417"/>
      <c r="P291" s="417"/>
      <c r="Q291" s="417"/>
    </row>
    <row r="292" spans="4:18" x14ac:dyDescent="0.25">
      <c r="D292" s="419"/>
      <c r="E292" s="417"/>
      <c r="F292" s="417"/>
      <c r="G292" s="417"/>
      <c r="H292" s="417"/>
    </row>
    <row r="300" spans="4:18" x14ac:dyDescent="0.25">
      <c r="R300" s="417"/>
    </row>
  </sheetData>
  <mergeCells count="129">
    <mergeCell ref="I4:O4"/>
    <mergeCell ref="P4:S4"/>
    <mergeCell ref="T4:W4"/>
    <mergeCell ref="X4:AA4"/>
    <mergeCell ref="C6:AQ7"/>
    <mergeCell ref="C8:F8"/>
    <mergeCell ref="G8:S8"/>
    <mergeCell ref="T8:V8"/>
    <mergeCell ref="C9:F9"/>
    <mergeCell ref="G9:S9"/>
    <mergeCell ref="D10:F10"/>
    <mergeCell ref="I10:AA10"/>
    <mergeCell ref="C12:AA12"/>
    <mergeCell ref="C14:D14"/>
    <mergeCell ref="E14:F14"/>
    <mergeCell ref="G14:H14"/>
    <mergeCell ref="I14:J14"/>
    <mergeCell ref="C15:D15"/>
    <mergeCell ref="E15:F15"/>
    <mergeCell ref="G15:H15"/>
    <mergeCell ref="I15:J15"/>
    <mergeCell ref="C17:AG17"/>
    <mergeCell ref="C19:I20"/>
    <mergeCell ref="J19:R19"/>
    <mergeCell ref="S19:Y19"/>
    <mergeCell ref="Z19:AG19"/>
    <mergeCell ref="J20:J21"/>
    <mergeCell ref="AB20:AB21"/>
    <mergeCell ref="AC20:AC21"/>
    <mergeCell ref="AD20:AD21"/>
    <mergeCell ref="AE20:AE21"/>
    <mergeCell ref="AF20:AF21"/>
    <mergeCell ref="AG20:AG21"/>
    <mergeCell ref="V20:V21"/>
    <mergeCell ref="W20:W21"/>
    <mergeCell ref="X20:X21"/>
    <mergeCell ref="Y20:Y21"/>
    <mergeCell ref="Z20:Z21"/>
    <mergeCell ref="AA20:AA21"/>
    <mergeCell ref="S20:S21"/>
    <mergeCell ref="T20:T21"/>
    <mergeCell ref="U20:U21"/>
    <mergeCell ref="K29:L32"/>
    <mergeCell ref="M29:N32"/>
    <mergeCell ref="O29:O32"/>
    <mergeCell ref="P29:P32"/>
    <mergeCell ref="H21:I21"/>
    <mergeCell ref="C22:C24"/>
    <mergeCell ref="D22:D24"/>
    <mergeCell ref="E22:E24"/>
    <mergeCell ref="F22:F24"/>
    <mergeCell ref="G22:G24"/>
    <mergeCell ref="H22:I24"/>
    <mergeCell ref="K20:K21"/>
    <mergeCell ref="L20:L21"/>
    <mergeCell ref="M20:R20"/>
    <mergeCell ref="Q29:Q32"/>
    <mergeCell ref="J24:J25"/>
    <mergeCell ref="J29:J32"/>
    <mergeCell ref="S36:W37"/>
    <mergeCell ref="D37:H37"/>
    <mergeCell ref="J37:Q37"/>
    <mergeCell ref="D39:D40"/>
    <mergeCell ref="F39:F40"/>
    <mergeCell ref="L39:M39"/>
    <mergeCell ref="N39:O39"/>
    <mergeCell ref="P39:Q39"/>
    <mergeCell ref="S39:S41"/>
    <mergeCell ref="T39:T41"/>
    <mergeCell ref="U39:U41"/>
    <mergeCell ref="V39:V41"/>
    <mergeCell ref="W39:W41"/>
    <mergeCell ref="J41:J43"/>
    <mergeCell ref="K41:K42"/>
    <mergeCell ref="L41:L42"/>
    <mergeCell ref="M41:M42"/>
    <mergeCell ref="N41:N42"/>
    <mergeCell ref="O41:O42"/>
    <mergeCell ref="P41:P42"/>
    <mergeCell ref="Q41:Q42"/>
    <mergeCell ref="J44:J45"/>
    <mergeCell ref="K44:K45"/>
    <mergeCell ref="L44:L45"/>
    <mergeCell ref="M44:M45"/>
    <mergeCell ref="N44:N45"/>
    <mergeCell ref="O44:O45"/>
    <mergeCell ref="P44:P45"/>
    <mergeCell ref="Q44:Q45"/>
    <mergeCell ref="P46:P48"/>
    <mergeCell ref="Q46:Q48"/>
    <mergeCell ref="J49:J50"/>
    <mergeCell ref="K49:K50"/>
    <mergeCell ref="L49:L50"/>
    <mergeCell ref="M49:M50"/>
    <mergeCell ref="N49:N50"/>
    <mergeCell ref="O49:O50"/>
    <mergeCell ref="P49:P50"/>
    <mergeCell ref="Q49:Q50"/>
    <mergeCell ref="J46:J48"/>
    <mergeCell ref="K46:K48"/>
    <mergeCell ref="L46:L48"/>
    <mergeCell ref="M46:M48"/>
    <mergeCell ref="N46:N48"/>
    <mergeCell ref="O46:O48"/>
    <mergeCell ref="P51:P53"/>
    <mergeCell ref="Q51:Q53"/>
    <mergeCell ref="S51:U53"/>
    <mergeCell ref="V51:V53"/>
    <mergeCell ref="J54:J55"/>
    <mergeCell ref="K54:K55"/>
    <mergeCell ref="L54:L55"/>
    <mergeCell ref="M54:M55"/>
    <mergeCell ref="N54:N55"/>
    <mergeCell ref="O54:O55"/>
    <mergeCell ref="J51:J53"/>
    <mergeCell ref="K51:K53"/>
    <mergeCell ref="L51:L53"/>
    <mergeCell ref="M51:M53"/>
    <mergeCell ref="N51:N53"/>
    <mergeCell ref="O51:O53"/>
    <mergeCell ref="D78:F78"/>
    <mergeCell ref="I78:M78"/>
    <mergeCell ref="D86:F86"/>
    <mergeCell ref="P54:P55"/>
    <mergeCell ref="Q54:Q55"/>
    <mergeCell ref="J57:J60"/>
    <mergeCell ref="R58:R60"/>
    <mergeCell ref="M59:Q59"/>
    <mergeCell ref="M60:Q60"/>
  </mergeCells>
  <conditionalFormatting sqref="D22">
    <cfRule type="cellIs" dxfId="94" priority="34" operator="equal">
      <formula>"Muy Baja"</formula>
    </cfRule>
    <cfRule type="cellIs" dxfId="93" priority="33" operator="equal">
      <formula>"Baja"</formula>
    </cfRule>
    <cfRule type="cellIs" dxfId="92" priority="32" operator="equal">
      <formula>"Media"</formula>
    </cfRule>
    <cfRule type="cellIs" dxfId="91" priority="31" operator="equal">
      <formula>"Alta"</formula>
    </cfRule>
    <cfRule type="cellIs" dxfId="90" priority="30" operator="equal">
      <formula>"Muy Alta"</formula>
    </cfRule>
  </conditionalFormatting>
  <conditionalFormatting sqref="H22">
    <cfRule type="containsText" dxfId="89" priority="41" operator="containsText" text="Bajo">
      <formula>NOT(ISERROR(SEARCH("Bajo",H22)))</formula>
    </cfRule>
    <cfRule type="containsText" dxfId="88" priority="38" operator="containsText" text="Extremo">
      <formula>NOT(ISERROR(SEARCH("Extremo",H22)))</formula>
    </cfRule>
    <cfRule type="containsText" dxfId="87" priority="39" operator="containsText" text="Alto">
      <formula>NOT(ISERROR(SEARCH("Alto",H22)))</formula>
    </cfRule>
    <cfRule type="containsText" dxfId="86" priority="40" operator="containsText" text="Moderado">
      <formula>NOT(ISERROR(SEARCH("Moderado",H22)))</formula>
    </cfRule>
  </conditionalFormatting>
  <conditionalFormatting sqref="R29:S32 S24:S28">
    <cfRule type="containsText" dxfId="85" priority="35" operator="containsText" text="Fuerte">
      <formula>NOT(ISERROR(SEARCH("Fuerte",R24)))</formula>
    </cfRule>
    <cfRule type="containsText" dxfId="84" priority="36" operator="containsText" text="Moderado">
      <formula>NOT(ISERROR(SEARCH("Moderado",R24)))</formula>
    </cfRule>
    <cfRule type="containsText" dxfId="83" priority="37" operator="containsText" text="Débil">
      <formula>NOT(ISERROR(SEARCH("Débil",R24)))</formula>
    </cfRule>
  </conditionalFormatting>
  <conditionalFormatting sqref="T22:T25">
    <cfRule type="cellIs" dxfId="82" priority="11" operator="equal">
      <formula>"Alta"</formula>
    </cfRule>
    <cfRule type="cellIs" dxfId="81" priority="10" operator="equal">
      <formula>"Muy Alta"</formula>
    </cfRule>
    <cfRule type="cellIs" dxfId="80" priority="14" operator="equal">
      <formula>"Muy Baja"</formula>
    </cfRule>
    <cfRule type="cellIs" dxfId="79" priority="13" operator="equal">
      <formula>"Baja"</formula>
    </cfRule>
    <cfRule type="cellIs" dxfId="78" priority="12" operator="equal">
      <formula>"Media"</formula>
    </cfRule>
  </conditionalFormatting>
  <conditionalFormatting sqref="V22:V25">
    <cfRule type="cellIs" dxfId="77" priority="9" operator="equal">
      <formula>"Leve"</formula>
    </cfRule>
    <cfRule type="cellIs" dxfId="76" priority="8" operator="equal">
      <formula>"Menor"</formula>
    </cfRule>
    <cfRule type="cellIs" dxfId="75" priority="7" operator="equal">
      <formula>"Moderado"</formula>
    </cfRule>
    <cfRule type="cellIs" dxfId="74" priority="6" operator="equal">
      <formula>"Mayor"</formula>
    </cfRule>
    <cfRule type="cellIs" dxfId="73" priority="5" operator="equal">
      <formula>"Catastrófico"</formula>
    </cfRule>
  </conditionalFormatting>
  <conditionalFormatting sqref="X22:X25">
    <cfRule type="cellIs" dxfId="72" priority="4" operator="equal">
      <formula>"Bajo"</formula>
    </cfRule>
    <cfRule type="cellIs" dxfId="71" priority="3" operator="equal">
      <formula>"Moderado"</formula>
    </cfRule>
    <cfRule type="cellIs" dxfId="70" priority="2" operator="equal">
      <formula>"Alto"</formula>
    </cfRule>
    <cfRule type="cellIs" dxfId="69" priority="1" operator="equal">
      <formula>"Extremo"</formula>
    </cfRule>
  </conditionalFormatting>
  <dataValidations count="15">
    <dataValidation type="list" allowBlank="1" showInputMessage="1" showErrorMessage="1" sqref="H41:H59" xr:uid="{B17A77B0-329A-46F3-B77B-BDA8712E471D}">
      <formula1>$F$120:$F$121</formula1>
    </dataValidation>
    <dataValidation type="list" allowBlank="1" showInputMessage="1" showErrorMessage="1" sqref="M22:M23" xr:uid="{D43DA1A3-72DE-46D2-B62F-AB521DD67CAE}">
      <formula1>$K$80:$K$82</formula1>
    </dataValidation>
    <dataValidation type="list" allowBlank="1" showInputMessage="1" showErrorMessage="1" sqref="N22:N23" xr:uid="{8DCA0251-1C65-4BF8-82FF-3268482418C3}">
      <formula1>$L$80:$L$81</formula1>
    </dataValidation>
    <dataValidation type="list" allowBlank="1" showInputMessage="1" showErrorMessage="1" sqref="P22:P23" xr:uid="{E1F6B45E-B1F0-4F32-886C-D30C82CDBB5D}">
      <formula1>$K$85:$K$86</formula1>
    </dataValidation>
    <dataValidation type="list" allowBlank="1" showInputMessage="1" showErrorMessage="1" sqref="Q22:Q23" xr:uid="{63EFB67F-6745-4652-94F8-75088911FA6C}">
      <formula1>$L$85:$L$86</formula1>
    </dataValidation>
    <dataValidation type="list" allowBlank="1" showInputMessage="1" showErrorMessage="1" sqref="R22:R23" xr:uid="{D2AC58C5-A2D9-4F55-8AAB-E6DBF4732FC5}">
      <formula1>$K$90:$K$91</formula1>
    </dataValidation>
    <dataValidation type="list" allowBlank="1" showInputMessage="1" showErrorMessage="1" sqref="Y22:Y24" xr:uid="{19D002D3-9A5C-41F6-9F62-A7075C4DF280}">
      <formula1>$L$90:$L$94</formula1>
    </dataValidation>
    <dataValidation type="list" allowBlank="1" showInputMessage="1" showErrorMessage="1" sqref="AG22:AG23" xr:uid="{0E8B89AC-0657-4A5D-B264-C27444E40347}">
      <formula1>$K$94:$K$95</formula1>
    </dataValidation>
    <dataValidation type="list" allowBlank="1" showInputMessage="1" showErrorMessage="1" sqref="L41:L42 N41:N42 P41:P42" xr:uid="{19EAAFDD-700B-40E4-A4BC-2859EF97001E}">
      <formula1>$N$79:$N$80</formula1>
    </dataValidation>
    <dataValidation type="list" allowBlank="1" showInputMessage="1" showErrorMessage="1" sqref="L43 N43 P43" xr:uid="{04BD3470-422B-4467-A358-6FB0DBD6F34B}">
      <formula1>$N$82:$N$83</formula1>
    </dataValidation>
    <dataValidation type="list" allowBlank="1" showInputMessage="1" showErrorMessage="1" sqref="L44:L45 N44:N45 P44:P45" xr:uid="{83ED651E-8023-4923-A34E-0167F4D544F9}">
      <formula1>$N$85:$N$86</formula1>
    </dataValidation>
    <dataValidation type="list" allowBlank="1" showInputMessage="1" showErrorMessage="1" sqref="L46:L48 N46:N48 P46:P48" xr:uid="{ACE4942C-69CB-4CDF-A4A6-9ABC20007EA9}">
      <formula1>$N$88:$N$90</formula1>
    </dataValidation>
    <dataValidation type="list" allowBlank="1" showInputMessage="1" showErrorMessage="1" sqref="L49:L50 N49:N50 P49:P50" xr:uid="{9345976F-1B9A-4742-AB45-19843576596B}">
      <formula1>$N$92:$N$93</formula1>
    </dataValidation>
    <dataValidation type="list" allowBlank="1" showInputMessage="1" showErrorMessage="1" sqref="L51:L53 N51:N53 P51:P53" xr:uid="{81BE644A-F849-439B-9E16-47FDCD530598}">
      <formula1>$N$95:$N$96</formula1>
    </dataValidation>
    <dataValidation type="list" allowBlank="1" showInputMessage="1" showErrorMessage="1" sqref="L54:L55 N54:N55 P54:P55" xr:uid="{EE7108F2-3532-4D72-B33E-7BFFD1D1AA3D}">
      <formula1>$N$98:$N$100</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1" stopIfTrue="1" operator="containsText" id="{27335615-ABAC-42CF-9079-DAC79257F4C4}">
            <xm:f>NOT(ISERROR(SEARCH($F$82,D25)))</xm:f>
            <xm:f>$F$82</xm:f>
            <x14:dxf>
              <fill>
                <patternFill>
                  <bgColor rgb="FFFFFF00"/>
                </patternFill>
              </fill>
            </x14:dxf>
          </x14:cfRule>
          <x14:cfRule type="containsText" priority="24" stopIfTrue="1" operator="containsText" id="{845FC7A0-D538-4AB9-8B99-89BBFE3956EA}">
            <xm:f>NOT(ISERROR(SEARCH($F$79,D25)))</xm:f>
            <xm:f>$F$79</xm:f>
            <x14:dxf>
              <fill>
                <patternFill>
                  <bgColor rgb="FF92D050"/>
                </patternFill>
              </fill>
            </x14:dxf>
          </x14:cfRule>
          <x14:cfRule type="containsText" priority="23" stopIfTrue="1" operator="containsText" id="{6CE9E409-F917-47DC-B8AF-8C7A1735600F}">
            <xm:f>NOT(ISERROR(SEARCH($F$80,D25)))</xm:f>
            <xm:f>$F$80</xm:f>
            <x14:dxf>
              <fill>
                <patternFill>
                  <bgColor rgb="FF92D050"/>
                </patternFill>
              </fill>
            </x14:dxf>
          </x14:cfRule>
          <x14:cfRule type="containsText" priority="22" stopIfTrue="1" operator="containsText" id="{373FE80D-DB8C-406F-8356-DC4E728D7730}">
            <xm:f>NOT(ISERROR(SEARCH($F$81,D25)))</xm:f>
            <xm:f>$F$81</xm:f>
            <x14:dxf>
              <fill>
                <patternFill>
                  <bgColor rgb="FFFFFF00"/>
                </patternFill>
              </fill>
            </x14:dxf>
          </x14:cfRule>
          <x14:cfRule type="containsText" priority="20" stopIfTrue="1" operator="containsText" id="{9B91637D-CF4B-4914-AA44-80CFB466D485}">
            <xm:f>NOT(ISERROR(SEARCH($F$83,D25)))</xm:f>
            <xm:f>$F$83</xm:f>
            <x14:dxf>
              <fill>
                <patternFill>
                  <bgColor theme="9" tint="-0.24994659260841701"/>
                </patternFill>
              </fill>
            </x14:dxf>
          </x14:cfRule>
          <xm:sqref>D25:E25</xm:sqref>
        </x14:conditionalFormatting>
        <x14:conditionalFormatting xmlns:xm="http://schemas.microsoft.com/office/excel/2006/main">
          <x14:cfRule type="containsText" priority="29" stopIfTrue="1" operator="containsText" id="{C41A099B-5CA9-4BA4-9A17-409973D9450D}">
            <xm:f>NOT(ISERROR(SEARCH($D$87,F22)))</xm:f>
            <xm:f>$D$87</xm:f>
            <x14:dxf>
              <fill>
                <patternFill>
                  <bgColor theme="6"/>
                </patternFill>
              </fill>
            </x14:dxf>
          </x14:cfRule>
          <x14:cfRule type="containsText" priority="28" stopIfTrue="1" operator="containsText" id="{A15688BF-EAEA-4772-A723-41BD0CB7C982}">
            <xm:f>NOT(ISERROR(SEARCH($D$89,F22)))</xm:f>
            <xm:f>$D$89</xm:f>
            <x14:dxf>
              <fill>
                <patternFill>
                  <bgColor rgb="FFFFFF00"/>
                </patternFill>
              </fill>
            </x14:dxf>
          </x14:cfRule>
          <x14:cfRule type="containsText" priority="27" stopIfTrue="1" operator="containsText" id="{B80EF250-865F-43FA-AE17-BF074C2135CD}">
            <xm:f>NOT(ISERROR(SEARCH($D$88,F22)))</xm:f>
            <xm:f>$D$88</xm:f>
            <x14:dxf>
              <fill>
                <patternFill>
                  <bgColor theme="6"/>
                </patternFill>
              </fill>
            </x14:dxf>
          </x14:cfRule>
          <x14:cfRule type="containsText" priority="26" stopIfTrue="1" operator="containsText" id="{F16C520C-DB61-43C2-8B0F-980E598FB079}">
            <xm:f>NOT(ISERROR(SEARCH($D$91,F22)))</xm:f>
            <xm:f>$D$91</xm:f>
            <x14:dxf>
              <fill>
                <patternFill>
                  <bgColor rgb="FFFF0000"/>
                </patternFill>
              </fill>
            </x14:dxf>
          </x14:cfRule>
          <x14:cfRule type="containsText" priority="25" stopIfTrue="1" operator="containsText" id="{3DCC2A01-DC4A-4A3A-95E1-C783FF78F732}">
            <xm:f>NOT(ISERROR(SEARCH($D$90,F22)))</xm:f>
            <xm:f>$D$90</xm:f>
            <x14:dxf>
              <fill>
                <patternFill>
                  <bgColor theme="9" tint="-0.24994659260841701"/>
                </patternFill>
              </fill>
            </x14:dxf>
          </x14:cfRule>
          <xm:sqref>F23:F24 F22:G22</xm:sqref>
        </x14:conditionalFormatting>
        <x14:conditionalFormatting xmlns:xm="http://schemas.microsoft.com/office/excel/2006/main">
          <x14:cfRule type="containsText" priority="15" stopIfTrue="1" operator="containsText" id="{BDB68F86-FBDC-427E-804E-88DBFED0E54E}">
            <xm:f>NOT(ISERROR(SEARCH($F$91,F25)))</xm:f>
            <xm:f>$F$91</xm:f>
            <x14:dxf>
              <fill>
                <patternFill>
                  <bgColor rgb="FFFF0000"/>
                </patternFill>
              </fill>
            </x14:dxf>
          </x14:cfRule>
          <x14:cfRule type="containsText" priority="16" stopIfTrue="1" operator="containsText" id="{CDE21EF2-30ED-49C5-8BB9-CDA5328B1ADC}">
            <xm:f>NOT(ISERROR(SEARCH($F$90,F25)))</xm:f>
            <xm:f>$F$90</xm:f>
            <x14:dxf>
              <fill>
                <patternFill>
                  <bgColor theme="9" tint="-0.24994659260841701"/>
                </patternFill>
              </fill>
            </x14:dxf>
          </x14:cfRule>
          <x14:cfRule type="containsText" priority="17" stopIfTrue="1" operator="containsText" id="{5BEDCC60-6B09-468B-BF02-8EF9E9AFB20C}">
            <xm:f>NOT(ISERROR(SEARCH($F$89,F25)))</xm:f>
            <xm:f>$F$89</xm:f>
            <x14:dxf>
              <fill>
                <patternFill>
                  <bgColor rgb="FFFFFF00"/>
                </patternFill>
              </fill>
            </x14:dxf>
          </x14:cfRule>
          <x14:cfRule type="containsText" priority="18" stopIfTrue="1" operator="containsText" id="{AABBD553-F745-43DA-A728-1B1FB9FA8CC4}">
            <xm:f>NOT(ISERROR(SEARCH($F$88,F25)))</xm:f>
            <xm:f>$F$88</xm:f>
            <x14:dxf>
              <fill>
                <patternFill>
                  <bgColor rgb="FF92D050"/>
                </patternFill>
              </fill>
            </x14:dxf>
          </x14:cfRule>
          <x14:cfRule type="containsText" priority="19" stopIfTrue="1" operator="containsText" id="{A55B0467-874E-44D5-BC38-050ADA286600}">
            <xm:f>NOT(ISERROR(SEARCH($F$87,F25)))</xm:f>
            <xm:f>$F$87</xm:f>
            <x14:dxf>
              <fill>
                <patternFill>
                  <bgColor rgb="FF92D050"/>
                </patternFill>
              </fill>
            </x14:dxf>
          </x14:cfRule>
          <xm:sqref>F25:G25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E7BD1-30A6-4E45-807C-5064EB613062}">
  <sheetPr>
    <tabColor rgb="FF002060"/>
  </sheetPr>
  <dimension ref="A1:BV120"/>
  <sheetViews>
    <sheetView tabSelected="1" topLeftCell="P4" zoomScale="70" zoomScaleNormal="70" workbookViewId="0">
      <selection activeCell="AD13" sqref="AD13"/>
    </sheetView>
  </sheetViews>
  <sheetFormatPr baseColWidth="10" defaultColWidth="11.42578125" defaultRowHeight="16.5" x14ac:dyDescent="0.3"/>
  <cols>
    <col min="1" max="1" width="4" style="2" bestFit="1" customWidth="1"/>
    <col min="2" max="2" width="22.28515625" style="2" customWidth="1"/>
    <col min="3" max="3" width="17.85546875" style="2" customWidth="1"/>
    <col min="4" max="4" width="20" style="2" customWidth="1"/>
    <col min="5" max="6" width="16.140625" style="2" customWidth="1"/>
    <col min="7" max="7" width="32.42578125" style="1" customWidth="1"/>
    <col min="8" max="8" width="19" style="5" customWidth="1"/>
    <col min="9" max="9" width="17.85546875" style="1" customWidth="1"/>
    <col min="10" max="10" width="16.5703125" style="1" customWidth="1"/>
    <col min="11" max="11" width="9" style="1" customWidth="1"/>
    <col min="12" max="12" width="27.28515625" style="1" bestFit="1" customWidth="1"/>
    <col min="13" max="13" width="30.5703125" style="1" hidden="1" customWidth="1"/>
    <col min="14" max="14" width="17.5703125" style="1" customWidth="1"/>
    <col min="15" max="15" width="9.28515625" style="1" customWidth="1"/>
    <col min="16" max="16" width="16" style="1" customWidth="1"/>
    <col min="17" max="17" width="5.85546875" style="1" customWidth="1"/>
    <col min="18" max="18" width="31" style="1" customWidth="1"/>
    <col min="19" max="19" width="15.140625" style="1" bestFit="1" customWidth="1"/>
    <col min="20" max="20" width="8.85546875" style="1" customWidth="1"/>
    <col min="21" max="22" width="8.140625" style="1" customWidth="1"/>
    <col min="23" max="25" width="9.5703125" style="1" customWidth="1"/>
    <col min="26" max="26" width="7.28515625" style="1" customWidth="1"/>
    <col min="27" max="27" width="8.7109375" style="1" customWidth="1"/>
    <col min="28" max="28" width="10.42578125" style="1" customWidth="1"/>
    <col min="29" max="29" width="9.28515625" style="1" customWidth="1"/>
    <col min="30" max="30" width="9.140625" style="1" customWidth="1"/>
    <col min="31" max="31" width="8.42578125" style="1" customWidth="1"/>
    <col min="32" max="32" width="7.28515625" style="1" customWidth="1"/>
    <col min="33" max="34" width="23" style="1" customWidth="1"/>
    <col min="35" max="35" width="18.85546875" style="1" customWidth="1"/>
    <col min="36" max="37" width="16.85546875" style="1" customWidth="1"/>
    <col min="38" max="38" width="14.85546875" style="1" customWidth="1"/>
    <col min="39" max="39" width="18.5703125" style="1" customWidth="1"/>
    <col min="40" max="40" width="21" style="1" customWidth="1"/>
    <col min="41" max="16384" width="11.42578125" style="1"/>
  </cols>
  <sheetData>
    <row r="1" spans="1:74" ht="106.5" customHeight="1" x14ac:dyDescent="0.3"/>
    <row r="2" spans="1:74" ht="76.5" customHeight="1" x14ac:dyDescent="0.3"/>
    <row r="3" spans="1:74" ht="19.5" customHeight="1" thickBot="1" x14ac:dyDescent="0.35"/>
    <row r="4" spans="1:74" ht="16.5" customHeight="1" x14ac:dyDescent="0.3">
      <c r="A4" s="536" t="s">
        <v>530</v>
      </c>
      <c r="B4" s="537"/>
      <c r="C4" s="537"/>
      <c r="D4" s="537"/>
      <c r="E4" s="537"/>
      <c r="F4" s="537"/>
      <c r="G4" s="537"/>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8"/>
    </row>
    <row r="5" spans="1:74" ht="24" customHeight="1" thickBot="1" x14ac:dyDescent="0.35">
      <c r="A5" s="674"/>
      <c r="B5" s="541"/>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42"/>
    </row>
    <row r="6" spans="1:74" ht="26.25" customHeight="1" x14ac:dyDescent="0.3">
      <c r="A6" s="543" t="s">
        <v>43</v>
      </c>
      <c r="B6" s="543"/>
      <c r="C6" s="544" t="str">
        <f>'Datos del proceso'!A10</f>
        <v>GESTIÓN FINANCIERAS</v>
      </c>
      <c r="D6" s="544"/>
      <c r="E6" s="544"/>
      <c r="F6" s="544"/>
      <c r="G6" s="544"/>
      <c r="H6" s="544"/>
      <c r="I6" s="544"/>
      <c r="J6" s="544"/>
      <c r="K6" s="544"/>
      <c r="L6" s="544"/>
      <c r="M6" s="544"/>
      <c r="N6" s="544"/>
      <c r="O6" s="544"/>
      <c r="P6" s="544"/>
      <c r="Q6" s="545"/>
      <c r="R6" s="545"/>
      <c r="S6" s="545"/>
      <c r="T6" s="268"/>
      <c r="U6" s="268"/>
      <c r="V6" s="268"/>
      <c r="W6" s="268"/>
      <c r="X6" s="268"/>
      <c r="Y6" s="268"/>
      <c r="Z6" s="268"/>
      <c r="AA6" s="268"/>
      <c r="AB6" s="268"/>
      <c r="AC6" s="268"/>
      <c r="AD6" s="268"/>
      <c r="AE6" s="268"/>
      <c r="AF6" s="268"/>
      <c r="AG6" s="268"/>
      <c r="AH6" s="268"/>
      <c r="AI6" s="268"/>
      <c r="AJ6" s="268"/>
      <c r="AK6" s="268"/>
      <c r="AL6" s="268"/>
      <c r="AM6" s="268"/>
      <c r="AN6" s="268"/>
    </row>
    <row r="7" spans="1:74" ht="30" customHeight="1" x14ac:dyDescent="0.3">
      <c r="A7" s="675" t="s">
        <v>130</v>
      </c>
      <c r="B7" s="675"/>
      <c r="C7" s="791" t="str">
        <f>'Datos del proceso'!I10</f>
        <v>Administrar las operaciones financieras y económicas de la FUGA de manera eficaz, transparente y oportuna para la toma de decisiones en cumplimiento de su misión durante la ejecución del plan de desarrollo, cumpliendo con el 100% de  las solicitudes internas de acuerdo a los procedimientos establecidos</v>
      </c>
      <c r="D7" s="791"/>
      <c r="E7" s="791"/>
      <c r="F7" s="791"/>
      <c r="G7" s="791"/>
      <c r="H7" s="791"/>
      <c r="I7" s="791"/>
      <c r="J7" s="791"/>
      <c r="K7" s="791"/>
      <c r="L7" s="791"/>
      <c r="M7" s="791"/>
      <c r="N7" s="791"/>
      <c r="O7" s="791"/>
      <c r="P7" s="791"/>
      <c r="Q7" s="268"/>
      <c r="R7" s="268"/>
      <c r="S7" s="268"/>
      <c r="T7" s="268"/>
      <c r="U7" s="268"/>
      <c r="V7" s="268"/>
      <c r="W7" s="268"/>
      <c r="X7" s="268"/>
      <c r="Y7" s="268"/>
      <c r="Z7" s="268"/>
      <c r="AA7" s="268"/>
      <c r="AB7" s="268"/>
      <c r="AC7" s="268"/>
      <c r="AD7" s="268"/>
      <c r="AE7" s="268"/>
      <c r="AF7" s="268"/>
      <c r="AG7" s="268"/>
      <c r="AH7" s="268"/>
      <c r="AI7" s="268"/>
      <c r="AJ7" s="268"/>
      <c r="AK7" s="268"/>
      <c r="AL7" s="268"/>
      <c r="AM7" s="268"/>
      <c r="AN7" s="268"/>
    </row>
    <row r="8" spans="1:74" s="270" customFormat="1" ht="15" x14ac:dyDescent="0.2">
      <c r="A8" s="670" t="s">
        <v>139</v>
      </c>
      <c r="B8" s="670"/>
      <c r="C8" s="670"/>
      <c r="D8" s="670"/>
      <c r="E8" s="670"/>
      <c r="F8" s="670"/>
      <c r="G8" s="670"/>
      <c r="H8" s="670"/>
      <c r="I8" s="670"/>
      <c r="J8" s="670" t="s">
        <v>140</v>
      </c>
      <c r="K8" s="670"/>
      <c r="L8" s="670"/>
      <c r="M8" s="670"/>
      <c r="N8" s="670"/>
      <c r="O8" s="670"/>
      <c r="P8" s="670"/>
      <c r="Q8" s="670" t="s">
        <v>141</v>
      </c>
      <c r="R8" s="670"/>
      <c r="S8" s="670"/>
      <c r="T8" s="670"/>
      <c r="U8" s="670"/>
      <c r="V8" s="670"/>
      <c r="W8" s="670"/>
      <c r="X8" s="670"/>
      <c r="Y8" s="670"/>
      <c r="Z8" s="670" t="s">
        <v>142</v>
      </c>
      <c r="AA8" s="670"/>
      <c r="AB8" s="670"/>
      <c r="AC8" s="670"/>
      <c r="AD8" s="670"/>
      <c r="AE8" s="670"/>
      <c r="AF8" s="670"/>
      <c r="AG8" s="670" t="s">
        <v>34</v>
      </c>
      <c r="AH8" s="670"/>
      <c r="AI8" s="670"/>
      <c r="AJ8" s="670"/>
      <c r="AK8" s="670"/>
      <c r="AL8" s="670"/>
      <c r="AM8" s="670"/>
      <c r="AN8" s="670"/>
    </row>
    <row r="9" spans="1:74" s="270" customFormat="1" ht="16.5" customHeight="1" x14ac:dyDescent="0.2">
      <c r="A9" s="678" t="s">
        <v>0</v>
      </c>
      <c r="B9" s="787" t="s">
        <v>218</v>
      </c>
      <c r="C9" s="789" t="s">
        <v>529</v>
      </c>
      <c r="D9" s="789" t="s">
        <v>533</v>
      </c>
      <c r="E9" s="787" t="s">
        <v>13</v>
      </c>
      <c r="F9" s="787" t="s">
        <v>317</v>
      </c>
      <c r="G9" s="789" t="s">
        <v>318</v>
      </c>
      <c r="H9" s="789" t="s">
        <v>531</v>
      </c>
      <c r="I9" s="546" t="s">
        <v>478</v>
      </c>
      <c r="J9" s="549" t="s">
        <v>480</v>
      </c>
      <c r="K9" s="534" t="s">
        <v>481</v>
      </c>
      <c r="L9" s="534" t="s">
        <v>479</v>
      </c>
      <c r="M9" s="534" t="s">
        <v>92</v>
      </c>
      <c r="N9" s="534" t="s">
        <v>482</v>
      </c>
      <c r="O9" s="534" t="s">
        <v>483</v>
      </c>
      <c r="P9" s="534" t="s">
        <v>484</v>
      </c>
      <c r="Q9" s="551" t="s">
        <v>11</v>
      </c>
      <c r="R9" s="534" t="s">
        <v>163</v>
      </c>
      <c r="S9" s="534" t="s">
        <v>503</v>
      </c>
      <c r="T9" s="534" t="s">
        <v>8</v>
      </c>
      <c r="U9" s="534"/>
      <c r="V9" s="534"/>
      <c r="W9" s="534"/>
      <c r="X9" s="534"/>
      <c r="Y9" s="534"/>
      <c r="Z9" s="551" t="s">
        <v>502</v>
      </c>
      <c r="AA9" s="551" t="s">
        <v>485</v>
      </c>
      <c r="AB9" s="551" t="s">
        <v>488</v>
      </c>
      <c r="AC9" s="551" t="s">
        <v>486</v>
      </c>
      <c r="AD9" s="551" t="s">
        <v>481</v>
      </c>
      <c r="AE9" s="551" t="s">
        <v>489</v>
      </c>
      <c r="AF9" s="551" t="s">
        <v>29</v>
      </c>
      <c r="AG9" s="534" t="s">
        <v>34</v>
      </c>
      <c r="AH9" s="546" t="s">
        <v>496</v>
      </c>
      <c r="AI9" s="534" t="s">
        <v>35</v>
      </c>
      <c r="AJ9" s="534" t="s">
        <v>236</v>
      </c>
      <c r="AK9" s="546" t="s">
        <v>506</v>
      </c>
      <c r="AL9" s="534" t="s">
        <v>38</v>
      </c>
      <c r="AM9" s="534" t="s">
        <v>37</v>
      </c>
      <c r="AN9" s="534" t="s">
        <v>39</v>
      </c>
    </row>
    <row r="10" spans="1:74" s="273" customFormat="1" ht="110.25" customHeight="1" x14ac:dyDescent="0.25">
      <c r="A10" s="678"/>
      <c r="B10" s="788"/>
      <c r="C10" s="790"/>
      <c r="D10" s="790"/>
      <c r="E10" s="788"/>
      <c r="F10" s="788"/>
      <c r="G10" s="790"/>
      <c r="H10" s="790"/>
      <c r="I10" s="547"/>
      <c r="J10" s="550"/>
      <c r="K10" s="534"/>
      <c r="L10" s="534"/>
      <c r="M10" s="534"/>
      <c r="N10" s="533"/>
      <c r="O10" s="534"/>
      <c r="P10" s="534"/>
      <c r="Q10" s="551"/>
      <c r="R10" s="534"/>
      <c r="S10" s="534"/>
      <c r="T10" s="290" t="s">
        <v>490</v>
      </c>
      <c r="U10" s="290" t="s">
        <v>492</v>
      </c>
      <c r="V10" s="290" t="s">
        <v>487</v>
      </c>
      <c r="W10" s="290" t="s">
        <v>499</v>
      </c>
      <c r="X10" s="290" t="s">
        <v>500</v>
      </c>
      <c r="Y10" s="290" t="s">
        <v>501</v>
      </c>
      <c r="Z10" s="551"/>
      <c r="AA10" s="551"/>
      <c r="AB10" s="551"/>
      <c r="AC10" s="551"/>
      <c r="AD10" s="551"/>
      <c r="AE10" s="551"/>
      <c r="AF10" s="551"/>
      <c r="AG10" s="534"/>
      <c r="AH10" s="547"/>
      <c r="AI10" s="534"/>
      <c r="AJ10" s="534"/>
      <c r="AK10" s="547"/>
      <c r="AL10" s="534"/>
      <c r="AM10" s="534"/>
      <c r="AN10" s="534"/>
      <c r="AO10" s="303"/>
      <c r="AP10" s="303"/>
      <c r="AQ10" s="303"/>
      <c r="AR10" s="303"/>
      <c r="AS10" s="303"/>
      <c r="AT10" s="303"/>
      <c r="AU10" s="303"/>
      <c r="AV10" s="303"/>
      <c r="AW10" s="303"/>
      <c r="AX10" s="303"/>
      <c r="AY10" s="303"/>
      <c r="AZ10" s="303"/>
      <c r="BA10" s="303"/>
      <c r="BB10" s="303"/>
      <c r="BC10" s="303"/>
      <c r="BD10" s="303"/>
      <c r="BE10" s="303"/>
      <c r="BF10" s="303"/>
      <c r="BG10" s="303"/>
      <c r="BH10" s="303"/>
      <c r="BI10" s="303"/>
      <c r="BJ10" s="303"/>
      <c r="BK10" s="303"/>
      <c r="BL10" s="303"/>
      <c r="BM10" s="303"/>
      <c r="BN10" s="303"/>
      <c r="BO10" s="303"/>
      <c r="BP10" s="303"/>
      <c r="BQ10" s="303"/>
      <c r="BR10" s="303"/>
      <c r="BS10" s="303"/>
      <c r="BT10" s="303"/>
      <c r="BU10" s="303"/>
    </row>
    <row r="11" spans="1:74" s="287" customFormat="1" ht="83.25" customHeight="1" x14ac:dyDescent="0.25">
      <c r="A11" s="554">
        <v>1</v>
      </c>
      <c r="B11" s="786" t="s">
        <v>526</v>
      </c>
      <c r="C11" s="555" t="s">
        <v>635</v>
      </c>
      <c r="D11" s="683" t="s">
        <v>636</v>
      </c>
      <c r="E11" s="683" t="s">
        <v>637</v>
      </c>
      <c r="F11" s="683" t="s">
        <v>638</v>
      </c>
      <c r="G11" s="556" t="s">
        <v>639</v>
      </c>
      <c r="H11" s="555" t="s">
        <v>640</v>
      </c>
      <c r="I11" s="557">
        <f>12+6+6+12+12</f>
        <v>48</v>
      </c>
      <c r="J11" s="558" t="str">
        <f>IF(I11&lt;=0,"",IF(I11&lt;=2,"Muy Baja",IF(I11&lt;=24,"Baja",IF(I11&lt;=500,"Media",IF(I11&lt;=5000,"Alta","Muy Alta")))))</f>
        <v>Media</v>
      </c>
      <c r="K11" s="553">
        <f>IF(J11="","",IF(J11="Muy Baja",0.2,IF(J11="Baja",0.4,IF(J11="Media",0.6,IF(J11="Alta",0.8,IF(J11="Muy Alta",1,))))))</f>
        <v>0.6</v>
      </c>
      <c r="L11" s="555">
        <v>60</v>
      </c>
      <c r="M11" s="553">
        <f>IF(NOT(ISERROR(MATCH(L11,'[2]Tabla Impacto'!$B$221:$B$223,0))),'[2]Tabla Impacto'!$F$223&amp;"Por favor no seleccionar los criterios de impacto(Afectación Económica o presupuestal y Pérdida Reputacional)",L11)</f>
        <v>60</v>
      </c>
      <c r="N11" s="558" t="str">
        <f>IF(L11&lt;=0,"",IF(L11&lt;=10,"Leve",IF(L11&lt;=50,"Menor",IF(L11&lt;=100,"Moderado",IF(L11&lt;=500,"Mayor","Catastrófico")))))</f>
        <v>Moderado</v>
      </c>
      <c r="O11" s="553">
        <f>IF(N11="","",IF(N11="Leve",0.2,IF(N11="Menor",0.4,IF(N11="Moderado",0.6,IF(N11="Mayor",0.8,IF(N11="Catastrófico",1,))))))</f>
        <v>0.6</v>
      </c>
      <c r="P11" s="552"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Moderado</v>
      </c>
      <c r="Q11" s="274">
        <v>1</v>
      </c>
      <c r="R11" s="275" t="s">
        <v>641</v>
      </c>
      <c r="S11" s="276" t="str">
        <f t="shared" ref="S11" si="0">IF(OR(T11="Preventivo",T11="Detectivo"),"Probabilidad",IF(T11="Correctivo","Impacto",""))</f>
        <v>Impacto</v>
      </c>
      <c r="T11" s="277" t="s">
        <v>16</v>
      </c>
      <c r="U11" s="277" t="s">
        <v>9</v>
      </c>
      <c r="V11" s="278" t="str">
        <f>IF(AND(T11="Preventivo",U11="Automático"),"50%",IF(AND(T11="Preventivo",U11="Manual"),"40%",IF(AND(T11="Detectivo",U11="Automático"),"40%",IF(AND(T11="Detectivo",U11="Manual"),"30%",IF(AND(T11="Correctivo",U11="Automático"),"35%",IF(AND(T11="Correctivo",U11="Manual"),"25%",""))))))</f>
        <v>25%</v>
      </c>
      <c r="W11" s="277" t="s">
        <v>494</v>
      </c>
      <c r="X11" s="277" t="s">
        <v>22</v>
      </c>
      <c r="Y11" s="277" t="s">
        <v>497</v>
      </c>
      <c r="Z11" s="279">
        <f>IFERROR(IF(S11="Probabilidad",(K11-(+K11*V11)),IF(S11="Impacto",K11,"")),"")</f>
        <v>0.6</v>
      </c>
      <c r="AA11" s="280" t="str">
        <f>IFERROR(IF(Z11="","",IF(Z11&lt;=0.2,"Muy Baja",IF(Z11&lt;=0.4,"Baja",IF(Z11&lt;=0.6,"Media",IF(Z11&lt;=0.8,"Alta","Muy Alta"))))),"")</f>
        <v>Media</v>
      </c>
      <c r="AB11" s="278">
        <f>+Z11</f>
        <v>0.6</v>
      </c>
      <c r="AC11" s="280" t="str">
        <f>IFERROR(IF(AD11="","",IF(AD11&lt;=0.2,"Leve",IF(AD11&lt;=0.4,"Menor",IF(AD11&lt;=0.6,"Moderado",IF(AD11&lt;=0.8,"Mayor","Catastrófico"))))),"")</f>
        <v>Moderado</v>
      </c>
      <c r="AD11" s="278">
        <f>IFERROR(IF(S11="Impacto",(O11-(+O11*V11)),IF(S11="Probabilidad",O11,"")),"")</f>
        <v>0.44999999999999996</v>
      </c>
      <c r="AE11" s="281" t="str">
        <f>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Moderado</v>
      </c>
      <c r="AF11" s="277" t="s">
        <v>30</v>
      </c>
      <c r="AG11" s="282" t="s">
        <v>642</v>
      </c>
      <c r="AH11" s="282"/>
      <c r="AI11" s="283"/>
      <c r="AJ11" s="284"/>
      <c r="AK11" s="284"/>
      <c r="AL11" s="284"/>
      <c r="AM11" s="282"/>
      <c r="AN11" s="285" t="s">
        <v>41</v>
      </c>
      <c r="AO11" s="304"/>
      <c r="AP11" s="304"/>
      <c r="AQ11" s="304"/>
      <c r="AR11" s="304"/>
      <c r="AS11" s="304"/>
      <c r="AT11" s="304"/>
      <c r="AU11" s="304"/>
      <c r="AV11" s="304"/>
      <c r="AW11" s="304"/>
      <c r="AX11" s="304"/>
      <c r="AY11" s="304"/>
      <c r="AZ11" s="304"/>
      <c r="BA11" s="304"/>
      <c r="BB11" s="304"/>
      <c r="BC11" s="304"/>
      <c r="BD11" s="304"/>
      <c r="BE11" s="304"/>
      <c r="BF11" s="304"/>
      <c r="BG11" s="304"/>
      <c r="BH11" s="304"/>
      <c r="BI11" s="304"/>
      <c r="BJ11" s="304"/>
      <c r="BK11" s="304"/>
      <c r="BL11" s="304"/>
      <c r="BM11" s="304"/>
      <c r="BN11" s="304"/>
      <c r="BO11" s="304"/>
      <c r="BP11" s="304"/>
      <c r="BQ11" s="304"/>
      <c r="BR11" s="304"/>
      <c r="BS11" s="304"/>
      <c r="BT11" s="304"/>
      <c r="BU11" s="304"/>
      <c r="BV11" s="301"/>
    </row>
    <row r="12" spans="1:74" s="289" customFormat="1" ht="60" customHeight="1" x14ac:dyDescent="0.2">
      <c r="A12" s="554"/>
      <c r="B12" s="786"/>
      <c r="C12" s="555"/>
      <c r="D12" s="688"/>
      <c r="E12" s="688"/>
      <c r="F12" s="688"/>
      <c r="G12" s="556"/>
      <c r="H12" s="555"/>
      <c r="I12" s="557"/>
      <c r="J12" s="558"/>
      <c r="K12" s="553"/>
      <c r="L12" s="555"/>
      <c r="M12" s="553">
        <f ca="1">IF(NOT(ISERROR(MATCH(L12,_xlfn.ANCHORARRAY(G15),0))),#REF!&amp;"Por favor no seleccionar los criterios de impacto",L12)</f>
        <v>0</v>
      </c>
      <c r="N12" s="558"/>
      <c r="O12" s="553"/>
      <c r="P12" s="552"/>
      <c r="Q12" s="274">
        <v>2</v>
      </c>
      <c r="R12" s="275"/>
      <c r="S12" s="276" t="str">
        <f t="shared" ref="S12:S30" si="1">IF(OR(T12="Preventivo",T12="Detectivo"),"Probabilidad",IF(T12="Correctivo","Impacto",""))</f>
        <v/>
      </c>
      <c r="T12" s="277"/>
      <c r="U12" s="277"/>
      <c r="V12" s="278" t="str">
        <f t="shared" ref="V12" si="2">IF(AND(T12="Preventivo",U12="Automático"),"50%",IF(AND(T12="Preventivo",U12="Manual"),"40%",IF(AND(T12="Detectivo",U12="Automático"),"40%",IF(AND(T12="Detectivo",U12="Manual"),"30%",IF(AND(T12="Correctivo",U12="Automático"),"35%",IF(AND(T12="Correctivo",U12="Manual"),"25%",""))))))</f>
        <v/>
      </c>
      <c r="W12" s="277"/>
      <c r="X12" s="277"/>
      <c r="Y12" s="277"/>
      <c r="Z12" s="279" t="str">
        <f>IFERROR(IF(AND(S11="Probabilidad",S12="Probabilidad"),(AB11-(+AB11*V12)),IF(S12="Probabilidad",(K11-(+K11*V12)),IF(S12="Impacto",AB11,""))),"")</f>
        <v/>
      </c>
      <c r="AA12" s="280" t="str">
        <f t="shared" ref="AA12:AA30" si="3">IFERROR(IF(Z12="","",IF(Z12&lt;=0.2,"Muy Baja",IF(Z12&lt;=0.4,"Baja",IF(Z12&lt;=0.6,"Media",IF(Z12&lt;=0.8,"Alta","Muy Alta"))))),"")</f>
        <v/>
      </c>
      <c r="AB12" s="278" t="str">
        <f t="shared" ref="AB12" si="4">+Z12</f>
        <v/>
      </c>
      <c r="AC12" s="280" t="str">
        <f t="shared" ref="AC12:AC30" si="5">IFERROR(IF(AD12="","",IF(AD12&lt;=0.2,"Leve",IF(AD12&lt;=0.4,"Menor",IF(AD12&lt;=0.6,"Moderado",IF(AD12&lt;=0.8,"Mayor","Catastrófico"))))),"")</f>
        <v/>
      </c>
      <c r="AD12" s="278" t="str">
        <f>IFERROR(IF(AND(S11="Impacto",S12="Impacto"),(AD11-(+AD11*V12)),IF(S12="Impacto",($O$11-(+$O$11*V12)),IF(S12="Probabilidad",AD11,""))),"")</f>
        <v/>
      </c>
      <c r="AE12" s="281" t="str">
        <f t="shared" ref="AE12" si="6">IFERROR(IF(OR(AND(AA12="Muy Baja",AC12="Leve"),AND(AA12="Muy Baja",AC12="Menor"),AND(AA12="Baja",AC12="Leve")),"Bajo",IF(OR(AND(AA12="Muy baja",AC12="Moderado"),AND(AA12="Baja",AC12="Menor"),AND(AA12="Baja",AC12="Moderado"),AND(AA12="Media",AC12="Leve"),AND(AA12="Media",AC12="Menor"),AND(AA12="Media",AC12="Moderado"),AND(AA12="Alta",AC12="Leve"),AND(AA12="Alta",AC12="Menor")),"Moderado",IF(OR(AND(AA12="Muy Baja",AC12="Mayor"),AND(AA12="Baja",AC12="Mayor"),AND(AA12="Media",AC12="Mayor"),AND(AA12="Alta",AC12="Moderado"),AND(AA12="Alta",AC12="Mayor"),AND(AA12="Muy Alta",AC12="Leve"),AND(AA12="Muy Alta",AC12="Menor"),AND(AA12="Muy Alta",AC12="Moderado"),AND(AA12="Muy Alta",AC12="Mayor")),"Alto",IF(OR(AND(AA12="Muy Baja",AC12="Catastrófico"),AND(AA12="Baja",AC12="Catastrófico"),AND(AA12="Media",AC12="Catastrófico"),AND(AA12="Alta",AC12="Catastrófico"),AND(AA12="Muy Alta",AC12="Catastrófico")),"Extremo","")))),"")</f>
        <v/>
      </c>
      <c r="AF12" s="277"/>
      <c r="AG12" s="282"/>
      <c r="AH12" s="282"/>
      <c r="AI12" s="283"/>
      <c r="AJ12" s="284"/>
      <c r="AK12" s="284"/>
      <c r="AL12" s="284"/>
      <c r="AM12" s="282"/>
      <c r="AN12" s="285"/>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c r="BU12" s="270"/>
      <c r="BV12" s="302"/>
    </row>
    <row r="13" spans="1:74" s="289" customFormat="1" ht="69" customHeight="1" x14ac:dyDescent="0.2">
      <c r="A13" s="554">
        <v>2</v>
      </c>
      <c r="B13" s="555"/>
      <c r="C13" s="555"/>
      <c r="D13" s="555"/>
      <c r="E13" s="683"/>
      <c r="F13" s="683"/>
      <c r="G13" s="556"/>
      <c r="H13" s="555"/>
      <c r="I13" s="557"/>
      <c r="J13" s="558" t="str">
        <f t="shared" ref="J13" si="7">IF(I13&lt;=0,"",IF(I13&lt;=2,"Muy Baja",IF(I13&lt;=24,"Baja",IF(I13&lt;=500,"Media",IF(I13&lt;=5000,"Alta","Muy Alta")))))</f>
        <v/>
      </c>
      <c r="K13" s="553" t="str">
        <f t="shared" ref="K13" si="8">IF(J13="","",IF(J13="Muy Baja",0.2,IF(J13="Baja",0.4,IF(J13="Media",0.6,IF(J13="Alta",0.8,IF(J13="Muy Alta",1,))))))</f>
        <v/>
      </c>
      <c r="L13" s="555"/>
      <c r="M13" s="553">
        <f>IF(NOT(ISERROR(MATCH(L13,'[2]Tabla Impacto'!$B$221:$B$223,0))),'[2]Tabla Impacto'!$F$223&amp;"Por favor no seleccionar los criterios de impacto(Afectación Económica o presupuestal y Pérdida Reputacional)",L13)</f>
        <v>0</v>
      </c>
      <c r="N13" s="558" t="str">
        <f t="shared" ref="N13" si="9">IF(L13&lt;=0,"",IF(L13&lt;=10,"Leve",IF(L13&lt;=50,"Menor",IF(L13&lt;=100,"Moderado",IF(L13&lt;=500,"Mayor","Catastrófico")))))</f>
        <v/>
      </c>
      <c r="O13" s="553" t="str">
        <f t="shared" ref="O13" si="10">IF(N13="","",IF(N13="Leve",0.2,IF(N13="Menor",0.4,IF(N13="Moderado",0.6,IF(N13="Mayor",0.8,IF(N13="Catastrófico",1,))))))</f>
        <v/>
      </c>
      <c r="P13" s="552" t="str">
        <f t="shared" ref="P13" si="11">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274">
        <v>1</v>
      </c>
      <c r="R13" s="275"/>
      <c r="S13" s="276" t="str">
        <f t="shared" si="1"/>
        <v/>
      </c>
      <c r="T13" s="277"/>
      <c r="U13" s="277"/>
      <c r="V13" s="278" t="str">
        <f>IF(AND(T13="Preventivo",U13="Automático"),"50%",IF(AND(T13="Preventivo",U13="Manual"),"40%",IF(AND(T13="Detectivo",U13="Automático"),"40%",IF(AND(T13="Detectivo",U13="Manual"),"30%",IF(AND(T13="Correctivo",U13="Automático"),"35%",IF(AND(T13="Correctivo",U13="Manual"),"25%",""))))))</f>
        <v/>
      </c>
      <c r="W13" s="277"/>
      <c r="X13" s="277"/>
      <c r="Y13" s="277"/>
      <c r="Z13" s="279" t="str">
        <f>IFERROR(IF(S13="Probabilidad",(K13-(+K13*V13)),IF(S13="Impacto",K13,"")),"")</f>
        <v/>
      </c>
      <c r="AA13" s="280" t="str">
        <f>IFERROR(IF(Z13="","",IF(Z13&lt;=0.2,"Muy Baja",IF(Z13&lt;=0.4,"Baja",IF(Z13&lt;=0.6,"Media",IF(Z13&lt;=0.8,"Alta","Muy Alta"))))),"")</f>
        <v/>
      </c>
      <c r="AB13" s="278" t="str">
        <f>+Z13</f>
        <v/>
      </c>
      <c r="AC13" s="280" t="str">
        <f>IFERROR(IF(AD13="","",IF(AD13&lt;=0.2,"Leve",IF(AD13&lt;=0.4,"Menor",IF(AD13&lt;=0.6,"Moderado",IF(AD13&lt;=0.8,"Mayor","Catastrófico"))))),"")</f>
        <v/>
      </c>
      <c r="AD13" s="278" t="str">
        <f>IFERROR(IF(S13="Impacto",(O13-(+O13*V13)),IF(S13="Probabilidad",O13,"")),"")</f>
        <v/>
      </c>
      <c r="AE13" s="281" t="str">
        <f>IFERROR(IF(OR(AND(AA13="Muy Baja",AC13="Leve"),AND(AA13="Muy Baja",AC13="Menor"),AND(AA13="Baja",AC13="Leve")),"Bajo",IF(OR(AND(AA13="Muy baja",AC13="Moderado"),AND(AA13="Baja",AC13="Menor"),AND(AA13="Baja",AC13="Moderado"),AND(AA13="Media",AC13="Leve"),AND(AA13="Media",AC13="Menor"),AND(AA13="Media",AC13="Moderado"),AND(AA13="Alta",AC13="Leve"),AND(AA13="Alta",AC13="Menor")),"Moderado",IF(OR(AND(AA13="Muy Baja",AC13="Mayor"),AND(AA13="Baja",AC13="Mayor"),AND(AA13="Media",AC13="Mayor"),AND(AA13="Alta",AC13="Moderado"),AND(AA13="Alta",AC13="Mayor"),AND(AA13="Muy Alta",AC13="Leve"),AND(AA13="Muy Alta",AC13="Menor"),AND(AA13="Muy Alta",AC13="Moderado"),AND(AA13="Muy Alta",AC13="Mayor")),"Alto",IF(OR(AND(AA13="Muy Baja",AC13="Catastrófico"),AND(AA13="Baja",AC13="Catastrófico"),AND(AA13="Media",AC13="Catastrófico"),AND(AA13="Alta",AC13="Catastrófico"),AND(AA13="Muy Alta",AC13="Catastrófico")),"Extremo","")))),"")</f>
        <v/>
      </c>
      <c r="AF13" s="277"/>
      <c r="AG13" s="282"/>
      <c r="AH13" s="282"/>
      <c r="AI13" s="283"/>
      <c r="AJ13" s="284"/>
      <c r="AK13" s="284"/>
      <c r="AL13" s="284"/>
      <c r="AM13" s="282"/>
      <c r="AN13" s="285"/>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V13" s="302"/>
    </row>
    <row r="14" spans="1:74" s="289" customFormat="1" ht="69" customHeight="1" x14ac:dyDescent="0.2">
      <c r="A14" s="554"/>
      <c r="B14" s="555"/>
      <c r="C14" s="555"/>
      <c r="D14" s="555"/>
      <c r="E14" s="688"/>
      <c r="F14" s="688"/>
      <c r="G14" s="556"/>
      <c r="H14" s="555"/>
      <c r="I14" s="557"/>
      <c r="J14" s="558"/>
      <c r="K14" s="553"/>
      <c r="L14" s="555"/>
      <c r="M14" s="553">
        <f ca="1">IF(NOT(ISERROR(MATCH(L14,_xlfn.ANCHORARRAY(G17),0))),#REF!&amp;"Por favor no seleccionar los criterios de impacto",L14)</f>
        <v>0</v>
      </c>
      <c r="N14" s="558"/>
      <c r="O14" s="553"/>
      <c r="P14" s="552"/>
      <c r="Q14" s="274">
        <v>2</v>
      </c>
      <c r="R14" s="275"/>
      <c r="S14" s="276" t="str">
        <f t="shared" si="1"/>
        <v/>
      </c>
      <c r="T14" s="277"/>
      <c r="U14" s="277"/>
      <c r="V14" s="278" t="str">
        <f t="shared" ref="V14" si="12">IF(AND(T14="Preventivo",U14="Automático"),"50%",IF(AND(T14="Preventivo",U14="Manual"),"40%",IF(AND(T14="Detectivo",U14="Automático"),"40%",IF(AND(T14="Detectivo",U14="Manual"),"30%",IF(AND(T14="Correctivo",U14="Automático"),"35%",IF(AND(T14="Correctivo",U14="Manual"),"25%",""))))))</f>
        <v/>
      </c>
      <c r="W14" s="277"/>
      <c r="X14" s="277"/>
      <c r="Y14" s="277"/>
      <c r="Z14" s="279" t="str">
        <f>IFERROR(IF(AND(S13="Probabilidad",S14="Probabilidad"),(AB13-(+AB13*V14)),IF(S14="Probabilidad",(K13-(+K13*V14)),IF(S14="Impacto",AB13,""))),"")</f>
        <v/>
      </c>
      <c r="AA14" s="280" t="str">
        <f t="shared" si="3"/>
        <v/>
      </c>
      <c r="AB14" s="278" t="str">
        <f t="shared" ref="AB14" si="13">+Z14</f>
        <v/>
      </c>
      <c r="AC14" s="280" t="str">
        <f t="shared" si="5"/>
        <v/>
      </c>
      <c r="AD14" s="278" t="str">
        <f>IFERROR(IF(AND(S13="Impacto",S14="Impacto"),(AD11-(+AD11*V14)),IF(S14="Impacto",($O$13-(+$O$13*V14)),IF(S14="Probabilidad",AD11,""))),"")</f>
        <v/>
      </c>
      <c r="AE14" s="281" t="str">
        <f t="shared" ref="AE14" si="14">IFERROR(IF(OR(AND(AA14="Muy Baja",AC14="Leve"),AND(AA14="Muy Baja",AC14="Menor"),AND(AA14="Baja",AC14="Leve")),"Bajo",IF(OR(AND(AA14="Muy baja",AC14="Moderado"),AND(AA14="Baja",AC14="Menor"),AND(AA14="Baja",AC14="Moderado"),AND(AA14="Media",AC14="Leve"),AND(AA14="Media",AC14="Menor"),AND(AA14="Media",AC14="Moderado"),AND(AA14="Alta",AC14="Leve"),AND(AA14="Alta",AC14="Menor")),"Moderado",IF(OR(AND(AA14="Muy Baja",AC14="Mayor"),AND(AA14="Baja",AC14="Mayor"),AND(AA14="Media",AC14="Mayor"),AND(AA14="Alta",AC14="Moderado"),AND(AA14="Alta",AC14="Mayor"),AND(AA14="Muy Alta",AC14="Leve"),AND(AA14="Muy Alta",AC14="Menor"),AND(AA14="Muy Alta",AC14="Moderado"),AND(AA14="Muy Alta",AC14="Mayor")),"Alto",IF(OR(AND(AA14="Muy Baja",AC14="Catastrófico"),AND(AA14="Baja",AC14="Catastrófico"),AND(AA14="Media",AC14="Catastrófico"),AND(AA14="Alta",AC14="Catastrófico"),AND(AA14="Muy Alta",AC14="Catastrófico")),"Extremo","")))),"")</f>
        <v/>
      </c>
      <c r="AF14" s="277"/>
      <c r="AG14" s="282"/>
      <c r="AH14" s="282"/>
      <c r="AI14" s="283"/>
      <c r="AJ14" s="284"/>
      <c r="AK14" s="284"/>
      <c r="AL14" s="284"/>
      <c r="AM14" s="282"/>
      <c r="AN14" s="285"/>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302"/>
    </row>
    <row r="15" spans="1:74" s="289" customFormat="1" ht="69" customHeight="1" x14ac:dyDescent="0.2">
      <c r="A15" s="554">
        <v>3</v>
      </c>
      <c r="B15" s="555"/>
      <c r="C15" s="555"/>
      <c r="D15" s="555"/>
      <c r="E15" s="683"/>
      <c r="F15" s="683"/>
      <c r="G15" s="556"/>
      <c r="H15" s="555"/>
      <c r="I15" s="557"/>
      <c r="J15" s="558" t="str">
        <f t="shared" ref="J15" si="15">IF(I15&lt;=0,"",IF(I15&lt;=2,"Muy Baja",IF(I15&lt;=24,"Baja",IF(I15&lt;=500,"Media",IF(I15&lt;=5000,"Alta","Muy Alta")))))</f>
        <v/>
      </c>
      <c r="K15" s="553" t="str">
        <f t="shared" ref="K15" si="16">IF(J15="","",IF(J15="Muy Baja",0.2,IF(J15="Baja",0.4,IF(J15="Media",0.6,IF(J15="Alta",0.8,IF(J15="Muy Alta",1,))))))</f>
        <v/>
      </c>
      <c r="L15" s="555"/>
      <c r="M15" s="553">
        <f>IF(NOT(ISERROR(MATCH(L15,'[2]Tabla Impacto'!$B$221:$B$223,0))),'[2]Tabla Impacto'!$F$223&amp;"Por favor no seleccionar los criterios de impacto(Afectación Económica o presupuestal y Pérdida Reputacional)",L15)</f>
        <v>0</v>
      </c>
      <c r="N15" s="558" t="str">
        <f t="shared" ref="N15" si="17">IF(L15&lt;=0,"",IF(L15&lt;=10,"Leve",IF(L15&lt;=50,"Menor",IF(L15&lt;=100,"Moderado",IF(L15&lt;=500,"Mayor","Catastrófico")))))</f>
        <v/>
      </c>
      <c r="O15" s="553" t="str">
        <f t="shared" ref="O15" si="18">IF(N15="","",IF(N15="Leve",0.2,IF(N15="Menor",0.4,IF(N15="Moderado",0.6,IF(N15="Mayor",0.8,IF(N15="Catastrófico",1,))))))</f>
        <v/>
      </c>
      <c r="P15" s="552" t="str">
        <f t="shared" ref="P15" si="19">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274">
        <v>1</v>
      </c>
      <c r="R15" s="275"/>
      <c r="S15" s="276" t="str">
        <f t="shared" si="1"/>
        <v/>
      </c>
      <c r="T15" s="277"/>
      <c r="U15" s="277"/>
      <c r="V15" s="278" t="str">
        <f>IF(AND(T15="Preventivo",U15="Automático"),"50%",IF(AND(T15="Preventivo",U15="Manual"),"40%",IF(AND(T15="Detectivo",U15="Automático"),"40%",IF(AND(T15="Detectivo",U15="Manual"),"30%",IF(AND(T15="Correctivo",U15="Automático"),"35%",IF(AND(T15="Correctivo",U15="Manual"),"25%",""))))))</f>
        <v/>
      </c>
      <c r="W15" s="277"/>
      <c r="X15" s="277"/>
      <c r="Y15" s="277"/>
      <c r="Z15" s="279" t="str">
        <f>IFERROR(IF(S15="Probabilidad",(K15-(+K15*V15)),IF(S15="Impacto",K15,"")),"")</f>
        <v/>
      </c>
      <c r="AA15" s="280" t="str">
        <f>IFERROR(IF(Z15="","",IF(Z15&lt;=0.2,"Muy Baja",IF(Z15&lt;=0.4,"Baja",IF(Z15&lt;=0.6,"Media",IF(Z15&lt;=0.8,"Alta","Muy Alta"))))),"")</f>
        <v/>
      </c>
      <c r="AB15" s="278" t="str">
        <f>+Z15</f>
        <v/>
      </c>
      <c r="AC15" s="280" t="str">
        <f>IFERROR(IF(AD15="","",IF(AD15&lt;=0.2,"Leve",IF(AD15&lt;=0.4,"Menor",IF(AD15&lt;=0.6,"Moderado",IF(AD15&lt;=0.8,"Mayor","Catastrófico"))))),"")</f>
        <v/>
      </c>
      <c r="AD15" s="278" t="str">
        <f>IFERROR(IF(S15="Impacto",(O15-(+O15*V15)),IF(S15="Probabilidad",O15,"")),"")</f>
        <v/>
      </c>
      <c r="AE15" s="281" t="str">
        <f>IFERROR(IF(OR(AND(AA15="Muy Baja",AC15="Leve"),AND(AA15="Muy Baja",AC15="Menor"),AND(AA15="Baja",AC15="Leve")),"Bajo",IF(OR(AND(AA15="Muy baja",AC15="Moderado"),AND(AA15="Baja",AC15="Menor"),AND(AA15="Baja",AC15="Moderado"),AND(AA15="Media",AC15="Leve"),AND(AA15="Media",AC15="Menor"),AND(AA15="Media",AC15="Moderado"),AND(AA15="Alta",AC15="Leve"),AND(AA15="Alta",AC15="Menor")),"Moderado",IF(OR(AND(AA15="Muy Baja",AC15="Mayor"),AND(AA15="Baja",AC15="Mayor"),AND(AA15="Media",AC15="Mayor"),AND(AA15="Alta",AC15="Moderado"),AND(AA15="Alta",AC15="Mayor"),AND(AA15="Muy Alta",AC15="Leve"),AND(AA15="Muy Alta",AC15="Menor"),AND(AA15="Muy Alta",AC15="Moderado"),AND(AA15="Muy Alta",AC15="Mayor")),"Alto",IF(OR(AND(AA15="Muy Baja",AC15="Catastrófico"),AND(AA15="Baja",AC15="Catastrófico"),AND(AA15="Media",AC15="Catastrófico"),AND(AA15="Alta",AC15="Catastrófico"),AND(AA15="Muy Alta",AC15="Catastrófico")),"Extremo","")))),"")</f>
        <v/>
      </c>
      <c r="AF15" s="277"/>
      <c r="AG15" s="282"/>
      <c r="AH15" s="282"/>
      <c r="AI15" s="283"/>
      <c r="AJ15" s="284"/>
      <c r="AK15" s="284"/>
      <c r="AL15" s="284"/>
      <c r="AM15" s="282"/>
      <c r="AN15" s="285"/>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302"/>
    </row>
    <row r="16" spans="1:74" s="289" customFormat="1" ht="69" customHeight="1" x14ac:dyDescent="0.2">
      <c r="A16" s="554"/>
      <c r="B16" s="555"/>
      <c r="C16" s="555"/>
      <c r="D16" s="555"/>
      <c r="E16" s="688"/>
      <c r="F16" s="688"/>
      <c r="G16" s="556"/>
      <c r="H16" s="555"/>
      <c r="I16" s="557"/>
      <c r="J16" s="558"/>
      <c r="K16" s="553"/>
      <c r="L16" s="555"/>
      <c r="M16" s="553">
        <f ca="1">IF(NOT(ISERROR(MATCH(L16,_xlfn.ANCHORARRAY(G19),0))),#REF!&amp;"Por favor no seleccionar los criterios de impacto",L16)</f>
        <v>0</v>
      </c>
      <c r="N16" s="558"/>
      <c r="O16" s="553"/>
      <c r="P16" s="552"/>
      <c r="Q16" s="274">
        <v>2</v>
      </c>
      <c r="R16" s="275"/>
      <c r="S16" s="276" t="str">
        <f t="shared" si="1"/>
        <v/>
      </c>
      <c r="T16" s="277"/>
      <c r="U16" s="277"/>
      <c r="V16" s="278" t="str">
        <f t="shared" ref="V16" si="20">IF(AND(T16="Preventivo",U16="Automático"),"50%",IF(AND(T16="Preventivo",U16="Manual"),"40%",IF(AND(T16="Detectivo",U16="Automático"),"40%",IF(AND(T16="Detectivo",U16="Manual"),"30%",IF(AND(T16="Correctivo",U16="Automático"),"35%",IF(AND(T16="Correctivo",U16="Manual"),"25%",""))))))</f>
        <v/>
      </c>
      <c r="W16" s="277"/>
      <c r="X16" s="277"/>
      <c r="Y16" s="277"/>
      <c r="Z16" s="279" t="str">
        <f>IFERROR(IF(AND(S15="Probabilidad",S16="Probabilidad"),(AB15-(+AB15*V16)),IF(S16="Probabilidad",(K15-(+K15*V16)),IF(S16="Impacto",AB15,""))),"")</f>
        <v/>
      </c>
      <c r="AA16" s="280" t="str">
        <f t="shared" si="3"/>
        <v/>
      </c>
      <c r="AB16" s="278" t="str">
        <f t="shared" ref="AB16" si="21">+Z16</f>
        <v/>
      </c>
      <c r="AC16" s="280" t="str">
        <f t="shared" si="5"/>
        <v/>
      </c>
      <c r="AD16" s="278" t="str">
        <f>IFERROR(IF(AND(S15="Impacto",S16="Impacto"),(AD13-(+AD13*V16)),IF(S16="Impacto",($O$15-(+$O$15*V16)),IF(S16="Probabilidad",AD13,""))),"")</f>
        <v/>
      </c>
      <c r="AE16" s="281" t="str">
        <f t="shared" ref="AE16" si="22">IFERROR(IF(OR(AND(AA16="Muy Baja",AC16="Leve"),AND(AA16="Muy Baja",AC16="Menor"),AND(AA16="Baja",AC16="Leve")),"Bajo",IF(OR(AND(AA16="Muy baja",AC16="Moderado"),AND(AA16="Baja",AC16="Menor"),AND(AA16="Baja",AC16="Moderado"),AND(AA16="Media",AC16="Leve"),AND(AA16="Media",AC16="Menor"),AND(AA16="Media",AC16="Moderado"),AND(AA16="Alta",AC16="Leve"),AND(AA16="Alta",AC16="Menor")),"Moderado",IF(OR(AND(AA16="Muy Baja",AC16="Mayor"),AND(AA16="Baja",AC16="Mayor"),AND(AA16="Media",AC16="Mayor"),AND(AA16="Alta",AC16="Moderado"),AND(AA16="Alta",AC16="Mayor"),AND(AA16="Muy Alta",AC16="Leve"),AND(AA16="Muy Alta",AC16="Menor"),AND(AA16="Muy Alta",AC16="Moderado"),AND(AA16="Muy Alta",AC16="Mayor")),"Alto",IF(OR(AND(AA16="Muy Baja",AC16="Catastrófico"),AND(AA16="Baja",AC16="Catastrófico"),AND(AA16="Media",AC16="Catastrófico"),AND(AA16="Alta",AC16="Catastrófico"),AND(AA16="Muy Alta",AC16="Catastrófico")),"Extremo","")))),"")</f>
        <v/>
      </c>
      <c r="AF16" s="277"/>
      <c r="AG16" s="282"/>
      <c r="AH16" s="282"/>
      <c r="AI16" s="283"/>
      <c r="AJ16" s="284"/>
      <c r="AK16" s="284"/>
      <c r="AL16" s="284"/>
      <c r="AM16" s="282"/>
      <c r="AN16" s="285"/>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302"/>
    </row>
    <row r="17" spans="1:74" s="289" customFormat="1" ht="69" customHeight="1" x14ac:dyDescent="0.2">
      <c r="A17" s="554">
        <v>4</v>
      </c>
      <c r="B17" s="555"/>
      <c r="C17" s="555"/>
      <c r="D17" s="555"/>
      <c r="E17" s="683"/>
      <c r="F17" s="683"/>
      <c r="G17" s="556"/>
      <c r="H17" s="555"/>
      <c r="I17" s="557"/>
      <c r="J17" s="558" t="str">
        <f t="shared" ref="J17" si="23">IF(I17&lt;=0,"",IF(I17&lt;=2,"Muy Baja",IF(I17&lt;=24,"Baja",IF(I17&lt;=500,"Media",IF(I17&lt;=5000,"Alta","Muy Alta")))))</f>
        <v/>
      </c>
      <c r="K17" s="553" t="str">
        <f t="shared" ref="K17" si="24">IF(J17="","",IF(J17="Muy Baja",0.2,IF(J17="Baja",0.4,IF(J17="Media",0.6,IF(J17="Alta",0.8,IF(J17="Muy Alta",1,))))))</f>
        <v/>
      </c>
      <c r="L17" s="555"/>
      <c r="M17" s="553">
        <f>IF(NOT(ISERROR(MATCH(L17,'[2]Tabla Impacto'!$B$221:$B$223,0))),'[2]Tabla Impacto'!$F$223&amp;"Por favor no seleccionar los criterios de impacto(Afectación Económica o presupuestal y Pérdida Reputacional)",L17)</f>
        <v>0</v>
      </c>
      <c r="N17" s="558" t="str">
        <f t="shared" ref="N17" si="25">IF(L17&lt;=0,"",IF(L17&lt;=10,"Leve",IF(L17&lt;=50,"Menor",IF(L17&lt;=100,"Moderado",IF(L17&lt;=500,"Mayor","Catastrófico")))))</f>
        <v/>
      </c>
      <c r="O17" s="553" t="str">
        <f t="shared" ref="O17" si="26">IF(N17="","",IF(N17="Leve",0.2,IF(N17="Menor",0.4,IF(N17="Moderado",0.6,IF(N17="Mayor",0.8,IF(N17="Catastrófico",1,))))))</f>
        <v/>
      </c>
      <c r="P17" s="552" t="str">
        <f t="shared" ref="P17" si="27">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274">
        <v>1</v>
      </c>
      <c r="R17" s="275"/>
      <c r="S17" s="276" t="str">
        <f t="shared" si="1"/>
        <v/>
      </c>
      <c r="T17" s="277"/>
      <c r="U17" s="277"/>
      <c r="V17" s="278" t="str">
        <f>IF(AND(T17="Preventivo",U17="Automático"),"50%",IF(AND(T17="Preventivo",U17="Manual"),"40%",IF(AND(T17="Detectivo",U17="Automático"),"40%",IF(AND(T17="Detectivo",U17="Manual"),"30%",IF(AND(T17="Correctivo",U17="Automático"),"35%",IF(AND(T17="Correctivo",U17="Manual"),"25%",""))))))</f>
        <v/>
      </c>
      <c r="W17" s="277"/>
      <c r="X17" s="277"/>
      <c r="Y17" s="277"/>
      <c r="Z17" s="279" t="str">
        <f>IFERROR(IF(S17="Probabilidad",(K17-(+K17*V17)),IF(S17="Impacto",K17,"")),"")</f>
        <v/>
      </c>
      <c r="AA17" s="280" t="str">
        <f>IFERROR(IF(Z17="","",IF(Z17&lt;=0.2,"Muy Baja",IF(Z17&lt;=0.4,"Baja",IF(Z17&lt;=0.6,"Media",IF(Z17&lt;=0.8,"Alta","Muy Alta"))))),"")</f>
        <v/>
      </c>
      <c r="AB17" s="278" t="str">
        <f>+Z17</f>
        <v/>
      </c>
      <c r="AC17" s="280" t="str">
        <f>IFERROR(IF(AD17="","",IF(AD17&lt;=0.2,"Leve",IF(AD17&lt;=0.4,"Menor",IF(AD17&lt;=0.6,"Moderado",IF(AD17&lt;=0.8,"Mayor","Catastrófico"))))),"")</f>
        <v/>
      </c>
      <c r="AD17" s="278" t="str">
        <f>IFERROR(IF(S17="Impacto",(O17-(+O17*V17)),IF(S17="Probabilidad",O17,"")),"")</f>
        <v/>
      </c>
      <c r="AE17" s="281" t="str">
        <f>IFERROR(IF(OR(AND(AA17="Muy Baja",AC17="Leve"),AND(AA17="Muy Baja",AC17="Menor"),AND(AA17="Baja",AC17="Leve")),"Bajo",IF(OR(AND(AA17="Muy baja",AC17="Moderado"),AND(AA17="Baja",AC17="Menor"),AND(AA17="Baja",AC17="Moderado"),AND(AA17="Media",AC17="Leve"),AND(AA17="Media",AC17="Menor"),AND(AA17="Media",AC17="Moderado"),AND(AA17="Alta",AC17="Leve"),AND(AA17="Alta",AC17="Menor")),"Moderado",IF(OR(AND(AA17="Muy Baja",AC17="Mayor"),AND(AA17="Baja",AC17="Mayor"),AND(AA17="Media",AC17="Mayor"),AND(AA17="Alta",AC17="Moderado"),AND(AA17="Alta",AC17="Mayor"),AND(AA17="Muy Alta",AC17="Leve"),AND(AA17="Muy Alta",AC17="Menor"),AND(AA17="Muy Alta",AC17="Moderado"),AND(AA17="Muy Alta",AC17="Mayor")),"Alto",IF(OR(AND(AA17="Muy Baja",AC17="Catastrófico"),AND(AA17="Baja",AC17="Catastrófico"),AND(AA17="Media",AC17="Catastrófico"),AND(AA17="Alta",AC17="Catastrófico"),AND(AA17="Muy Alta",AC17="Catastrófico")),"Extremo","")))),"")</f>
        <v/>
      </c>
      <c r="AF17" s="277"/>
      <c r="AG17" s="282"/>
      <c r="AH17" s="282"/>
      <c r="AI17" s="283"/>
      <c r="AJ17" s="284"/>
      <c r="AK17" s="284"/>
      <c r="AL17" s="284"/>
      <c r="AM17" s="282"/>
      <c r="AN17" s="285"/>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302"/>
    </row>
    <row r="18" spans="1:74" s="289" customFormat="1" ht="69" customHeight="1" x14ac:dyDescent="0.2">
      <c r="A18" s="554"/>
      <c r="B18" s="555"/>
      <c r="C18" s="555"/>
      <c r="D18" s="555"/>
      <c r="E18" s="688"/>
      <c r="F18" s="688"/>
      <c r="G18" s="556"/>
      <c r="H18" s="555"/>
      <c r="I18" s="557"/>
      <c r="J18" s="558"/>
      <c r="K18" s="553"/>
      <c r="L18" s="555"/>
      <c r="M18" s="553">
        <f ca="1">IF(NOT(ISERROR(MATCH(L18,_xlfn.ANCHORARRAY(G21),0))),#REF!&amp;"Por favor no seleccionar los criterios de impacto",L18)</f>
        <v>0</v>
      </c>
      <c r="N18" s="558"/>
      <c r="O18" s="553"/>
      <c r="P18" s="552"/>
      <c r="Q18" s="274">
        <v>2</v>
      </c>
      <c r="R18" s="275"/>
      <c r="S18" s="276" t="str">
        <f t="shared" si="1"/>
        <v/>
      </c>
      <c r="T18" s="277"/>
      <c r="U18" s="277"/>
      <c r="V18" s="278" t="str">
        <f t="shared" ref="V18" si="28">IF(AND(T18="Preventivo",U18="Automático"),"50%",IF(AND(T18="Preventivo",U18="Manual"),"40%",IF(AND(T18="Detectivo",U18="Automático"),"40%",IF(AND(T18="Detectivo",U18="Manual"),"30%",IF(AND(T18="Correctivo",U18="Automático"),"35%",IF(AND(T18="Correctivo",U18="Manual"),"25%",""))))))</f>
        <v/>
      </c>
      <c r="W18" s="277"/>
      <c r="X18" s="277"/>
      <c r="Y18" s="277"/>
      <c r="Z18" s="279" t="str">
        <f>IFERROR(IF(AND(S17="Probabilidad",S18="Probabilidad"),(AB17-(+AB17*V18)),IF(S18="Probabilidad",(K17-(+K17*V18)),IF(S18="Impacto",AB17,""))),"")</f>
        <v/>
      </c>
      <c r="AA18" s="280" t="str">
        <f t="shared" si="3"/>
        <v/>
      </c>
      <c r="AB18" s="278" t="str">
        <f t="shared" ref="AB18" si="29">+Z18</f>
        <v/>
      </c>
      <c r="AC18" s="280" t="str">
        <f t="shared" si="5"/>
        <v/>
      </c>
      <c r="AD18" s="278" t="str">
        <f>IFERROR(IF(AND(S17="Impacto",S18="Impacto"),(AD15-(+AD15*V18)),IF(S18="Impacto",($O$17-(+$O$17*V18)),IF(S18="Probabilidad",AD15,""))),"")</f>
        <v/>
      </c>
      <c r="AE18" s="281" t="str">
        <f t="shared" ref="AE18" si="30">IFERROR(IF(OR(AND(AA18="Muy Baja",AC18="Leve"),AND(AA18="Muy Baja",AC18="Menor"),AND(AA18="Baja",AC18="Leve")),"Bajo",IF(OR(AND(AA18="Muy baja",AC18="Moderado"),AND(AA18="Baja",AC18="Menor"),AND(AA18="Baja",AC18="Moderado"),AND(AA18="Media",AC18="Leve"),AND(AA18="Media",AC18="Menor"),AND(AA18="Media",AC18="Moderado"),AND(AA18="Alta",AC18="Leve"),AND(AA18="Alta",AC18="Menor")),"Moderado",IF(OR(AND(AA18="Muy Baja",AC18="Mayor"),AND(AA18="Baja",AC18="Mayor"),AND(AA18="Media",AC18="Mayor"),AND(AA18="Alta",AC18="Moderado"),AND(AA18="Alta",AC18="Mayor"),AND(AA18="Muy Alta",AC18="Leve"),AND(AA18="Muy Alta",AC18="Menor"),AND(AA18="Muy Alta",AC18="Moderado"),AND(AA18="Muy Alta",AC18="Mayor")),"Alto",IF(OR(AND(AA18="Muy Baja",AC18="Catastrófico"),AND(AA18="Baja",AC18="Catastrófico"),AND(AA18="Media",AC18="Catastrófico"),AND(AA18="Alta",AC18="Catastrófico"),AND(AA18="Muy Alta",AC18="Catastrófico")),"Extremo","")))),"")</f>
        <v/>
      </c>
      <c r="AF18" s="277"/>
      <c r="AG18" s="282"/>
      <c r="AH18" s="282"/>
      <c r="AI18" s="283"/>
      <c r="AJ18" s="284"/>
      <c r="AK18" s="284"/>
      <c r="AL18" s="284"/>
      <c r="AM18" s="282"/>
      <c r="AN18" s="285"/>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302"/>
    </row>
    <row r="19" spans="1:74" s="289" customFormat="1" ht="69" customHeight="1" x14ac:dyDescent="0.2">
      <c r="A19" s="554">
        <v>5</v>
      </c>
      <c r="B19" s="555"/>
      <c r="C19" s="555"/>
      <c r="D19" s="555"/>
      <c r="E19" s="683"/>
      <c r="F19" s="683"/>
      <c r="G19" s="556"/>
      <c r="H19" s="555"/>
      <c r="I19" s="557"/>
      <c r="J19" s="558" t="str">
        <f t="shared" ref="J19" si="31">IF(I19&lt;=0,"",IF(I19&lt;=2,"Muy Baja",IF(I19&lt;=24,"Baja",IF(I19&lt;=500,"Media",IF(I19&lt;=5000,"Alta","Muy Alta")))))</f>
        <v/>
      </c>
      <c r="K19" s="553" t="str">
        <f t="shared" ref="K19" si="32">IF(J19="","",IF(J19="Muy Baja",0.2,IF(J19="Baja",0.4,IF(J19="Media",0.6,IF(J19="Alta",0.8,IF(J19="Muy Alta",1,))))))</f>
        <v/>
      </c>
      <c r="L19" s="555"/>
      <c r="M19" s="553">
        <f>IF(NOT(ISERROR(MATCH(L19,'[2]Tabla Impacto'!$B$221:$B$223,0))),'[2]Tabla Impacto'!$F$223&amp;"Por favor no seleccionar los criterios de impacto(Afectación Económica o presupuestal y Pérdida Reputacional)",L19)</f>
        <v>0</v>
      </c>
      <c r="N19" s="558" t="str">
        <f t="shared" ref="N19" si="33">IF(L19&lt;=0,"",IF(L19&lt;=10,"Leve",IF(L19&lt;=50,"Menor",IF(L19&lt;=100,"Moderado",IF(L19&lt;=500,"Mayor","Catastrófico")))))</f>
        <v/>
      </c>
      <c r="O19" s="553" t="str">
        <f t="shared" ref="O19" si="34">IF(N19="","",IF(N19="Leve",0.2,IF(N19="Menor",0.4,IF(N19="Moderado",0.6,IF(N19="Mayor",0.8,IF(N19="Catastrófico",1,))))))</f>
        <v/>
      </c>
      <c r="P19" s="552" t="str">
        <f t="shared" ref="P19" si="35">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274">
        <v>1</v>
      </c>
      <c r="R19" s="275"/>
      <c r="S19" s="276" t="str">
        <f t="shared" si="1"/>
        <v/>
      </c>
      <c r="T19" s="277"/>
      <c r="U19" s="277"/>
      <c r="V19" s="278" t="str">
        <f>IF(AND(T19="Preventivo",U19="Automático"),"50%",IF(AND(T19="Preventivo",U19="Manual"),"40%",IF(AND(T19="Detectivo",U19="Automático"),"40%",IF(AND(T19="Detectivo",U19="Manual"),"30%",IF(AND(T19="Correctivo",U19="Automático"),"35%",IF(AND(T19="Correctivo",U19="Manual"),"25%",""))))))</f>
        <v/>
      </c>
      <c r="W19" s="277"/>
      <c r="X19" s="277"/>
      <c r="Y19" s="277"/>
      <c r="Z19" s="279" t="str">
        <f>IFERROR(IF(S19="Probabilidad",(K19-(+K19*V19)),IF(S19="Impacto",K19,"")),"")</f>
        <v/>
      </c>
      <c r="AA19" s="280" t="str">
        <f>IFERROR(IF(Z19="","",IF(Z19&lt;=0.2,"Muy Baja",IF(Z19&lt;=0.4,"Baja",IF(Z19&lt;=0.6,"Media",IF(Z19&lt;=0.8,"Alta","Muy Alta"))))),"")</f>
        <v/>
      </c>
      <c r="AB19" s="278" t="str">
        <f>+Z19</f>
        <v/>
      </c>
      <c r="AC19" s="280" t="str">
        <f>IFERROR(IF(AD19="","",IF(AD19&lt;=0.2,"Leve",IF(AD19&lt;=0.4,"Menor",IF(AD19&lt;=0.6,"Moderado",IF(AD19&lt;=0.8,"Mayor","Catastrófico"))))),"")</f>
        <v/>
      </c>
      <c r="AD19" s="278" t="str">
        <f>IFERROR(IF(S19="Impacto",(O19-(+O19*V19)),IF(S19="Probabilidad",O19,"")),"")</f>
        <v/>
      </c>
      <c r="AE19" s="281" t="str">
        <f>IFERROR(IF(OR(AND(AA19="Muy Baja",AC19="Leve"),AND(AA19="Muy Baja",AC19="Menor"),AND(AA19="Baja",AC19="Leve")),"Bajo",IF(OR(AND(AA19="Muy baja",AC19="Moderado"),AND(AA19="Baja",AC19="Menor"),AND(AA19="Baja",AC19="Moderado"),AND(AA19="Media",AC19="Leve"),AND(AA19="Media",AC19="Menor"),AND(AA19="Media",AC19="Moderado"),AND(AA19="Alta",AC19="Leve"),AND(AA19="Alta",AC19="Menor")),"Moderado",IF(OR(AND(AA19="Muy Baja",AC19="Mayor"),AND(AA19="Baja",AC19="Mayor"),AND(AA19="Media",AC19="Mayor"),AND(AA19="Alta",AC19="Moderado"),AND(AA19="Alta",AC19="Mayor"),AND(AA19="Muy Alta",AC19="Leve"),AND(AA19="Muy Alta",AC19="Menor"),AND(AA19="Muy Alta",AC19="Moderado"),AND(AA19="Muy Alta",AC19="Mayor")),"Alto",IF(OR(AND(AA19="Muy Baja",AC19="Catastrófico"),AND(AA19="Baja",AC19="Catastrófico"),AND(AA19="Media",AC19="Catastrófico"),AND(AA19="Alta",AC19="Catastrófico"),AND(AA19="Muy Alta",AC19="Catastrófico")),"Extremo","")))),"")</f>
        <v/>
      </c>
      <c r="AF19" s="277"/>
      <c r="AG19" s="282"/>
      <c r="AH19" s="282"/>
      <c r="AI19" s="283"/>
      <c r="AJ19" s="284"/>
      <c r="AK19" s="284"/>
      <c r="AL19" s="284"/>
      <c r="AM19" s="282"/>
      <c r="AN19" s="285"/>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302"/>
    </row>
    <row r="20" spans="1:74" s="289" customFormat="1" ht="69" customHeight="1" x14ac:dyDescent="0.2">
      <c r="A20" s="554"/>
      <c r="B20" s="555"/>
      <c r="C20" s="555"/>
      <c r="D20" s="555"/>
      <c r="E20" s="688"/>
      <c r="F20" s="688"/>
      <c r="G20" s="556"/>
      <c r="H20" s="555"/>
      <c r="I20" s="557"/>
      <c r="J20" s="558"/>
      <c r="K20" s="553"/>
      <c r="L20" s="555"/>
      <c r="M20" s="553">
        <f ca="1">IF(NOT(ISERROR(MATCH(L20,_xlfn.ANCHORARRAY(G23),0))),#REF!&amp;"Por favor no seleccionar los criterios de impacto",L20)</f>
        <v>0</v>
      </c>
      <c r="N20" s="558"/>
      <c r="O20" s="553"/>
      <c r="P20" s="552"/>
      <c r="Q20" s="274">
        <v>2</v>
      </c>
      <c r="R20" s="275"/>
      <c r="S20" s="276" t="str">
        <f t="shared" si="1"/>
        <v/>
      </c>
      <c r="T20" s="277"/>
      <c r="U20" s="277"/>
      <c r="V20" s="278" t="str">
        <f t="shared" ref="V20" si="36">IF(AND(T20="Preventivo",U20="Automático"),"50%",IF(AND(T20="Preventivo",U20="Manual"),"40%",IF(AND(T20="Detectivo",U20="Automático"),"40%",IF(AND(T20="Detectivo",U20="Manual"),"30%",IF(AND(T20="Correctivo",U20="Automático"),"35%",IF(AND(T20="Correctivo",U20="Manual"),"25%",""))))))</f>
        <v/>
      </c>
      <c r="W20" s="277"/>
      <c r="X20" s="277"/>
      <c r="Y20" s="277"/>
      <c r="Z20" s="279" t="str">
        <f>IFERROR(IF(AND(S19="Probabilidad",S20="Probabilidad"),(AB19-(+AB19*V20)),IF(S20="Probabilidad",(K19-(+K19*V20)),IF(S20="Impacto",AB19,""))),"")</f>
        <v/>
      </c>
      <c r="AA20" s="280" t="str">
        <f t="shared" si="3"/>
        <v/>
      </c>
      <c r="AB20" s="278" t="str">
        <f t="shared" ref="AB20" si="37">+Z20</f>
        <v/>
      </c>
      <c r="AC20" s="280" t="str">
        <f t="shared" si="5"/>
        <v/>
      </c>
      <c r="AD20" s="278" t="str">
        <f>IFERROR(IF(AND(S19="Impacto",S20="Impacto"),(AD17-(+AD17*V20)),IF(S20="Impacto",($O$19-(+$O$19*V20)),IF(S20="Probabilidad",AD17,""))),"")</f>
        <v/>
      </c>
      <c r="AE20" s="281" t="str">
        <f t="shared" ref="AE20" si="38">IFERROR(IF(OR(AND(AA20="Muy Baja",AC20="Leve"),AND(AA20="Muy Baja",AC20="Menor"),AND(AA20="Baja",AC20="Leve")),"Bajo",IF(OR(AND(AA20="Muy baja",AC20="Moderado"),AND(AA20="Baja",AC20="Menor"),AND(AA20="Baja",AC20="Moderado"),AND(AA20="Media",AC20="Leve"),AND(AA20="Media",AC20="Menor"),AND(AA20="Media",AC20="Moderado"),AND(AA20="Alta",AC20="Leve"),AND(AA20="Alta",AC20="Menor")),"Moderado",IF(OR(AND(AA20="Muy Baja",AC20="Mayor"),AND(AA20="Baja",AC20="Mayor"),AND(AA20="Media",AC20="Mayor"),AND(AA20="Alta",AC20="Moderado"),AND(AA20="Alta",AC20="Mayor"),AND(AA20="Muy Alta",AC20="Leve"),AND(AA20="Muy Alta",AC20="Menor"),AND(AA20="Muy Alta",AC20="Moderado"),AND(AA20="Muy Alta",AC20="Mayor")),"Alto",IF(OR(AND(AA20="Muy Baja",AC20="Catastrófico"),AND(AA20="Baja",AC20="Catastrófico"),AND(AA20="Media",AC20="Catastrófico"),AND(AA20="Alta",AC20="Catastrófico"),AND(AA20="Muy Alta",AC20="Catastrófico")),"Extremo","")))),"")</f>
        <v/>
      </c>
      <c r="AF20" s="277"/>
      <c r="AG20" s="282"/>
      <c r="AH20" s="282"/>
      <c r="AI20" s="283"/>
      <c r="AJ20" s="284"/>
      <c r="AK20" s="284"/>
      <c r="AL20" s="284"/>
      <c r="AM20" s="282"/>
      <c r="AN20" s="285"/>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302"/>
    </row>
    <row r="21" spans="1:74" s="289" customFormat="1" ht="69" customHeight="1" x14ac:dyDescent="0.2">
      <c r="A21" s="554">
        <v>6</v>
      </c>
      <c r="B21" s="555"/>
      <c r="C21" s="555"/>
      <c r="D21" s="555"/>
      <c r="E21" s="282"/>
      <c r="F21" s="282"/>
      <c r="G21" s="556"/>
      <c r="H21" s="555"/>
      <c r="I21" s="557"/>
      <c r="J21" s="558" t="str">
        <f t="shared" ref="J21" si="39">IF(I21&lt;=0,"",IF(I21&lt;=2,"Muy Baja",IF(I21&lt;=24,"Baja",IF(I21&lt;=500,"Media",IF(I21&lt;=5000,"Alta","Muy Alta")))))</f>
        <v/>
      </c>
      <c r="K21" s="553" t="str">
        <f t="shared" ref="K21" si="40">IF(J21="","",IF(J21="Muy Baja",0.2,IF(J21="Baja",0.4,IF(J21="Media",0.6,IF(J21="Alta",0.8,IF(J21="Muy Alta",1,))))))</f>
        <v/>
      </c>
      <c r="L21" s="555"/>
      <c r="M21" s="553">
        <f>IF(NOT(ISERROR(MATCH(L21,'[2]Tabla Impacto'!$B$221:$B$223,0))),'[2]Tabla Impacto'!$F$223&amp;"Por favor no seleccionar los criterios de impacto(Afectación Económica o presupuestal y Pérdida Reputacional)",L21)</f>
        <v>0</v>
      </c>
      <c r="N21" s="558" t="str">
        <f t="shared" ref="N21" si="41">IF(L21&lt;=0,"",IF(L21&lt;=10,"Leve",IF(L21&lt;=50,"Menor",IF(L21&lt;=100,"Moderado",IF(L21&lt;=500,"Mayor","Catastrófico")))))</f>
        <v/>
      </c>
      <c r="O21" s="553" t="str">
        <f t="shared" ref="O21" si="42">IF(N21="","",IF(N21="Leve",0.2,IF(N21="Menor",0.4,IF(N21="Moderado",0.6,IF(N21="Mayor",0.8,IF(N21="Catastrófico",1,))))))</f>
        <v/>
      </c>
      <c r="P21" s="552" t="str">
        <f t="shared" ref="P21" si="43">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274">
        <v>1</v>
      </c>
      <c r="R21" s="275"/>
      <c r="S21" s="276" t="str">
        <f t="shared" si="1"/>
        <v/>
      </c>
      <c r="T21" s="277"/>
      <c r="U21" s="277"/>
      <c r="V21" s="278" t="str">
        <f>IF(AND(T21="Preventivo",U21="Automático"),"50%",IF(AND(T21="Preventivo",U21="Manual"),"40%",IF(AND(T21="Detectivo",U21="Automático"),"40%",IF(AND(T21="Detectivo",U21="Manual"),"30%",IF(AND(T21="Correctivo",U21="Automático"),"35%",IF(AND(T21="Correctivo",U21="Manual"),"25%",""))))))</f>
        <v/>
      </c>
      <c r="W21" s="277"/>
      <c r="X21" s="277"/>
      <c r="Y21" s="277"/>
      <c r="Z21" s="279" t="str">
        <f>IFERROR(IF(S21="Probabilidad",(K21-(+K21*V21)),IF(S21="Impacto",K21,"")),"")</f>
        <v/>
      </c>
      <c r="AA21" s="280" t="str">
        <f>IFERROR(IF(Z21="","",IF(Z21&lt;=0.2,"Muy Baja",IF(Z21&lt;=0.4,"Baja",IF(Z21&lt;=0.6,"Media",IF(Z21&lt;=0.8,"Alta","Muy Alta"))))),"")</f>
        <v/>
      </c>
      <c r="AB21" s="278" t="str">
        <f>+Z21</f>
        <v/>
      </c>
      <c r="AC21" s="280" t="str">
        <f>IFERROR(IF(AD21="","",IF(AD21&lt;=0.2,"Leve",IF(AD21&lt;=0.4,"Menor",IF(AD21&lt;=0.6,"Moderado",IF(AD21&lt;=0.8,"Mayor","Catastrófico"))))),"")</f>
        <v/>
      </c>
      <c r="AD21" s="278" t="str">
        <f>IFERROR(IF(S21="Impacto",(O21-(+O21*V21)),IF(S21="Probabilidad",O21,"")),"")</f>
        <v/>
      </c>
      <c r="AE21" s="281" t="str">
        <f>IFERROR(IF(OR(AND(AA21="Muy Baja",AC21="Leve"),AND(AA21="Muy Baja",AC21="Menor"),AND(AA21="Baja",AC21="Leve")),"Bajo",IF(OR(AND(AA21="Muy baja",AC21="Moderado"),AND(AA21="Baja",AC21="Menor"),AND(AA21="Baja",AC21="Moderado"),AND(AA21="Media",AC21="Leve"),AND(AA21="Media",AC21="Menor"),AND(AA21="Media",AC21="Moderado"),AND(AA21="Alta",AC21="Leve"),AND(AA21="Alta",AC21="Menor")),"Moderado",IF(OR(AND(AA21="Muy Baja",AC21="Mayor"),AND(AA21="Baja",AC21="Mayor"),AND(AA21="Media",AC21="Mayor"),AND(AA21="Alta",AC21="Moderado"),AND(AA21="Alta",AC21="Mayor"),AND(AA21="Muy Alta",AC21="Leve"),AND(AA21="Muy Alta",AC21="Menor"),AND(AA21="Muy Alta",AC21="Moderado"),AND(AA21="Muy Alta",AC21="Mayor")),"Alto",IF(OR(AND(AA21="Muy Baja",AC21="Catastrófico"),AND(AA21="Baja",AC21="Catastrófico"),AND(AA21="Media",AC21="Catastrófico"),AND(AA21="Alta",AC21="Catastrófico"),AND(AA21="Muy Alta",AC21="Catastrófico")),"Extremo","")))),"")</f>
        <v/>
      </c>
      <c r="AF21" s="277"/>
      <c r="AG21" s="282"/>
      <c r="AH21" s="282"/>
      <c r="AI21" s="283"/>
      <c r="AJ21" s="284"/>
      <c r="AK21" s="284"/>
      <c r="AL21" s="284"/>
      <c r="AM21" s="282"/>
      <c r="AN21" s="285"/>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302"/>
    </row>
    <row r="22" spans="1:74" s="289" customFormat="1" ht="69" customHeight="1" x14ac:dyDescent="0.2">
      <c r="A22" s="554"/>
      <c r="B22" s="555"/>
      <c r="C22" s="555"/>
      <c r="D22" s="555"/>
      <c r="E22" s="282"/>
      <c r="F22" s="282"/>
      <c r="G22" s="556"/>
      <c r="H22" s="555"/>
      <c r="I22" s="557"/>
      <c r="J22" s="558"/>
      <c r="K22" s="553"/>
      <c r="L22" s="555"/>
      <c r="M22" s="553">
        <f ca="1">IF(NOT(ISERROR(MATCH(L22,_xlfn.ANCHORARRAY(G25),0))),#REF!&amp;"Por favor no seleccionar los criterios de impacto",L22)</f>
        <v>0</v>
      </c>
      <c r="N22" s="558"/>
      <c r="O22" s="553"/>
      <c r="P22" s="552"/>
      <c r="Q22" s="274">
        <v>2</v>
      </c>
      <c r="R22" s="275"/>
      <c r="S22" s="276" t="str">
        <f t="shared" si="1"/>
        <v/>
      </c>
      <c r="T22" s="277"/>
      <c r="U22" s="277"/>
      <c r="V22" s="278" t="str">
        <f t="shared" ref="V22" si="44">IF(AND(T22="Preventivo",U22="Automático"),"50%",IF(AND(T22="Preventivo",U22="Manual"),"40%",IF(AND(T22="Detectivo",U22="Automático"),"40%",IF(AND(T22="Detectivo",U22="Manual"),"30%",IF(AND(T22="Correctivo",U22="Automático"),"35%",IF(AND(T22="Correctivo",U22="Manual"),"25%",""))))))</f>
        <v/>
      </c>
      <c r="W22" s="277"/>
      <c r="X22" s="277"/>
      <c r="Y22" s="277"/>
      <c r="Z22" s="279" t="str">
        <f>IFERROR(IF(AND(S21="Probabilidad",S22="Probabilidad"),(AB21-(+AB21*V22)),IF(S22="Probabilidad",(K21-(+K21*V22)),IF(S22="Impacto",AB21,""))),"")</f>
        <v/>
      </c>
      <c r="AA22" s="280" t="str">
        <f t="shared" si="3"/>
        <v/>
      </c>
      <c r="AB22" s="278" t="str">
        <f t="shared" ref="AB22" si="45">+Z22</f>
        <v/>
      </c>
      <c r="AC22" s="280" t="str">
        <f t="shared" si="5"/>
        <v/>
      </c>
      <c r="AD22" s="278" t="str">
        <f>IFERROR(IF(AND(S21="Impacto",S22="Impacto"),(AD19-(+AD19*V22)),IF(S22="Impacto",($O$21-(+$O$21*V22)),IF(S22="Probabilidad",AD19,""))),"")</f>
        <v/>
      </c>
      <c r="AE22" s="281" t="str">
        <f t="shared" ref="AE22" si="46">IFERROR(IF(OR(AND(AA22="Muy Baja",AC22="Leve"),AND(AA22="Muy Baja",AC22="Menor"),AND(AA22="Baja",AC22="Leve")),"Bajo",IF(OR(AND(AA22="Muy baja",AC22="Moderado"),AND(AA22="Baja",AC22="Menor"),AND(AA22="Baja",AC22="Moderado"),AND(AA22="Media",AC22="Leve"),AND(AA22="Media",AC22="Menor"),AND(AA22="Media",AC22="Moderado"),AND(AA22="Alta",AC22="Leve"),AND(AA22="Alta",AC22="Menor")),"Moderado",IF(OR(AND(AA22="Muy Baja",AC22="Mayor"),AND(AA22="Baja",AC22="Mayor"),AND(AA22="Media",AC22="Mayor"),AND(AA22="Alta",AC22="Moderado"),AND(AA22="Alta",AC22="Mayor"),AND(AA22="Muy Alta",AC22="Leve"),AND(AA22="Muy Alta",AC22="Menor"),AND(AA22="Muy Alta",AC22="Moderado"),AND(AA22="Muy Alta",AC22="Mayor")),"Alto",IF(OR(AND(AA22="Muy Baja",AC22="Catastrófico"),AND(AA22="Baja",AC22="Catastrófico"),AND(AA22="Media",AC22="Catastrófico"),AND(AA22="Alta",AC22="Catastrófico"),AND(AA22="Muy Alta",AC22="Catastrófico")),"Extremo","")))),"")</f>
        <v/>
      </c>
      <c r="AF22" s="277"/>
      <c r="AG22" s="282"/>
      <c r="AH22" s="282"/>
      <c r="AI22" s="283"/>
      <c r="AJ22" s="284"/>
      <c r="AK22" s="284"/>
      <c r="AL22" s="284"/>
      <c r="AM22" s="282"/>
      <c r="AN22" s="285"/>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302"/>
    </row>
    <row r="23" spans="1:74" s="289" customFormat="1" ht="69" customHeight="1" x14ac:dyDescent="0.2">
      <c r="A23" s="554">
        <v>7</v>
      </c>
      <c r="B23" s="555"/>
      <c r="C23" s="555"/>
      <c r="D23" s="555"/>
      <c r="E23" s="282"/>
      <c r="F23" s="282"/>
      <c r="G23" s="556"/>
      <c r="H23" s="555"/>
      <c r="I23" s="557"/>
      <c r="J23" s="558" t="str">
        <f t="shared" ref="J23" si="47">IF(I23&lt;=0,"",IF(I23&lt;=2,"Muy Baja",IF(I23&lt;=24,"Baja",IF(I23&lt;=500,"Media",IF(I23&lt;=5000,"Alta","Muy Alta")))))</f>
        <v/>
      </c>
      <c r="K23" s="553" t="str">
        <f t="shared" ref="K23" si="48">IF(J23="","",IF(J23="Muy Baja",0.2,IF(J23="Baja",0.4,IF(J23="Media",0.6,IF(J23="Alta",0.8,IF(J23="Muy Alta",1,))))))</f>
        <v/>
      </c>
      <c r="L23" s="555"/>
      <c r="M23" s="553">
        <f>IF(NOT(ISERROR(MATCH(L23,'[2]Tabla Impacto'!$B$221:$B$223,0))),'[2]Tabla Impacto'!$F$223&amp;"Por favor no seleccionar los criterios de impacto(Afectación Económica o presupuestal y Pérdida Reputacional)",L23)</f>
        <v>0</v>
      </c>
      <c r="N23" s="558" t="str">
        <f t="shared" ref="N23" si="49">IF(L23&lt;=0,"",IF(L23&lt;=10,"Leve",IF(L23&lt;=50,"Menor",IF(L23&lt;=100,"Moderado",IF(L23&lt;=500,"Mayor","Catastrófico")))))</f>
        <v/>
      </c>
      <c r="O23" s="553" t="str">
        <f t="shared" ref="O23" si="50">IF(N23="","",IF(N23="Leve",0.2,IF(N23="Menor",0.4,IF(N23="Moderado",0.6,IF(N23="Mayor",0.8,IF(N23="Catastrófico",1,))))))</f>
        <v/>
      </c>
      <c r="P23" s="552" t="str">
        <f t="shared" ref="P23" si="51">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274">
        <v>1</v>
      </c>
      <c r="R23" s="275"/>
      <c r="S23" s="276" t="str">
        <f t="shared" si="1"/>
        <v/>
      </c>
      <c r="T23" s="277"/>
      <c r="U23" s="277"/>
      <c r="V23" s="278" t="str">
        <f>IF(AND(T23="Preventivo",U23="Automático"),"50%",IF(AND(T23="Preventivo",U23="Manual"),"40%",IF(AND(T23="Detectivo",U23="Automático"),"40%",IF(AND(T23="Detectivo",U23="Manual"),"30%",IF(AND(T23="Correctivo",U23="Automático"),"35%",IF(AND(T23="Correctivo",U23="Manual"),"25%",""))))))</f>
        <v/>
      </c>
      <c r="W23" s="277"/>
      <c r="X23" s="277"/>
      <c r="Y23" s="277"/>
      <c r="Z23" s="279" t="str">
        <f>IFERROR(IF(S23="Probabilidad",(K23-(+K23*V23)),IF(S23="Impacto",K23,"")),"")</f>
        <v/>
      </c>
      <c r="AA23" s="280" t="str">
        <f>IFERROR(IF(Z23="","",IF(Z23&lt;=0.2,"Muy Baja",IF(Z23&lt;=0.4,"Baja",IF(Z23&lt;=0.6,"Media",IF(Z23&lt;=0.8,"Alta","Muy Alta"))))),"")</f>
        <v/>
      </c>
      <c r="AB23" s="278" t="str">
        <f>+Z23</f>
        <v/>
      </c>
      <c r="AC23" s="280" t="str">
        <f>IFERROR(IF(AD23="","",IF(AD23&lt;=0.2,"Leve",IF(AD23&lt;=0.4,"Menor",IF(AD23&lt;=0.6,"Moderado",IF(AD23&lt;=0.8,"Mayor","Catastrófico"))))),"")</f>
        <v/>
      </c>
      <c r="AD23" s="278" t="str">
        <f>IFERROR(IF(S23="Impacto",(O23-(+O23*V23)),IF(S23="Probabilidad",O23,"")),"")</f>
        <v/>
      </c>
      <c r="AE23" s="281" t="str">
        <f>IFERROR(IF(OR(AND(AA23="Muy Baja",AC23="Leve"),AND(AA23="Muy Baja",AC23="Menor"),AND(AA23="Baja",AC23="Leve")),"Bajo",IF(OR(AND(AA23="Muy baja",AC23="Moderado"),AND(AA23="Baja",AC23="Menor"),AND(AA23="Baja",AC23="Moderado"),AND(AA23="Media",AC23="Leve"),AND(AA23="Media",AC23="Menor"),AND(AA23="Media",AC23="Moderado"),AND(AA23="Alta",AC23="Leve"),AND(AA23="Alta",AC23="Menor")),"Moderado",IF(OR(AND(AA23="Muy Baja",AC23="Mayor"),AND(AA23="Baja",AC23="Mayor"),AND(AA23="Media",AC23="Mayor"),AND(AA23="Alta",AC23="Moderado"),AND(AA23="Alta",AC23="Mayor"),AND(AA23="Muy Alta",AC23="Leve"),AND(AA23="Muy Alta",AC23="Menor"),AND(AA23="Muy Alta",AC23="Moderado"),AND(AA23="Muy Alta",AC23="Mayor")),"Alto",IF(OR(AND(AA23="Muy Baja",AC23="Catastrófico"),AND(AA23="Baja",AC23="Catastrófico"),AND(AA23="Media",AC23="Catastrófico"),AND(AA23="Alta",AC23="Catastrófico"),AND(AA23="Muy Alta",AC23="Catastrófico")),"Extremo","")))),"")</f>
        <v/>
      </c>
      <c r="AF23" s="277"/>
      <c r="AG23" s="282"/>
      <c r="AH23" s="282"/>
      <c r="AI23" s="283"/>
      <c r="AJ23" s="284"/>
      <c r="AK23" s="284"/>
      <c r="AL23" s="284"/>
      <c r="AM23" s="282"/>
      <c r="AN23" s="285"/>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302"/>
    </row>
    <row r="24" spans="1:74" s="289" customFormat="1" ht="69" customHeight="1" x14ac:dyDescent="0.2">
      <c r="A24" s="554"/>
      <c r="B24" s="555"/>
      <c r="C24" s="555"/>
      <c r="D24" s="555"/>
      <c r="E24" s="282"/>
      <c r="F24" s="282"/>
      <c r="G24" s="556"/>
      <c r="H24" s="555"/>
      <c r="I24" s="557"/>
      <c r="J24" s="558"/>
      <c r="K24" s="553"/>
      <c r="L24" s="555"/>
      <c r="M24" s="553">
        <f ca="1">IF(NOT(ISERROR(MATCH(L24,_xlfn.ANCHORARRAY(G27),0))),#REF!&amp;"Por favor no seleccionar los criterios de impacto",L24)</f>
        <v>0</v>
      </c>
      <c r="N24" s="558"/>
      <c r="O24" s="553"/>
      <c r="P24" s="552"/>
      <c r="Q24" s="274">
        <v>2</v>
      </c>
      <c r="R24" s="275"/>
      <c r="S24" s="276" t="str">
        <f t="shared" si="1"/>
        <v/>
      </c>
      <c r="T24" s="277"/>
      <c r="U24" s="277"/>
      <c r="V24" s="278" t="str">
        <f t="shared" ref="V24" si="52">IF(AND(T24="Preventivo",U24="Automático"),"50%",IF(AND(T24="Preventivo",U24="Manual"),"40%",IF(AND(T24="Detectivo",U24="Automático"),"40%",IF(AND(T24="Detectivo",U24="Manual"),"30%",IF(AND(T24="Correctivo",U24="Automático"),"35%",IF(AND(T24="Correctivo",U24="Manual"),"25%",""))))))</f>
        <v/>
      </c>
      <c r="W24" s="277"/>
      <c r="X24" s="277"/>
      <c r="Y24" s="277"/>
      <c r="Z24" s="279" t="str">
        <f>IFERROR(IF(AND(S23="Probabilidad",S24="Probabilidad"),(AB23-(+AB23*V24)),IF(S24="Probabilidad",(K23-(+K23*V24)),IF(S24="Impacto",AB23,""))),"")</f>
        <v/>
      </c>
      <c r="AA24" s="280" t="str">
        <f t="shared" si="3"/>
        <v/>
      </c>
      <c r="AB24" s="278" t="str">
        <f t="shared" ref="AB24" si="53">+Z24</f>
        <v/>
      </c>
      <c r="AC24" s="280" t="str">
        <f t="shared" si="5"/>
        <v/>
      </c>
      <c r="AD24" s="278" t="str">
        <f>IFERROR(IF(AND(S23="Impacto",S24="Impacto"),(AD21-(+AD21*V24)),IF(S24="Impacto",($O$23-(+$O$23*V24)),IF(S24="Probabilidad",AD21,""))),"")</f>
        <v/>
      </c>
      <c r="AE24" s="281" t="str">
        <f t="shared" ref="AE24" si="54">IFERROR(IF(OR(AND(AA24="Muy Baja",AC24="Leve"),AND(AA24="Muy Baja",AC24="Menor"),AND(AA24="Baja",AC24="Leve")),"Bajo",IF(OR(AND(AA24="Muy baja",AC24="Moderado"),AND(AA24="Baja",AC24="Menor"),AND(AA24="Baja",AC24="Moderado"),AND(AA24="Media",AC24="Leve"),AND(AA24="Media",AC24="Menor"),AND(AA24="Media",AC24="Moderado"),AND(AA24="Alta",AC24="Leve"),AND(AA24="Alta",AC24="Menor")),"Moderado",IF(OR(AND(AA24="Muy Baja",AC24="Mayor"),AND(AA24="Baja",AC24="Mayor"),AND(AA24="Media",AC24="Mayor"),AND(AA24="Alta",AC24="Moderado"),AND(AA24="Alta",AC24="Mayor"),AND(AA24="Muy Alta",AC24="Leve"),AND(AA24="Muy Alta",AC24="Menor"),AND(AA24="Muy Alta",AC24="Moderado"),AND(AA24="Muy Alta",AC24="Mayor")),"Alto",IF(OR(AND(AA24="Muy Baja",AC24="Catastrófico"),AND(AA24="Baja",AC24="Catastrófico"),AND(AA24="Media",AC24="Catastrófico"),AND(AA24="Alta",AC24="Catastrófico"),AND(AA24="Muy Alta",AC24="Catastrófico")),"Extremo","")))),"")</f>
        <v/>
      </c>
      <c r="AF24" s="277"/>
      <c r="AG24" s="282"/>
      <c r="AH24" s="282"/>
      <c r="AI24" s="283"/>
      <c r="AJ24" s="284"/>
      <c r="AK24" s="284"/>
      <c r="AL24" s="284"/>
      <c r="AM24" s="282"/>
      <c r="AN24" s="285"/>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302"/>
    </row>
    <row r="25" spans="1:74" s="289" customFormat="1" ht="69" customHeight="1" x14ac:dyDescent="0.2">
      <c r="A25" s="554">
        <v>8</v>
      </c>
      <c r="B25" s="555"/>
      <c r="C25" s="555"/>
      <c r="D25" s="555"/>
      <c r="E25" s="282"/>
      <c r="F25" s="282"/>
      <c r="G25" s="556"/>
      <c r="H25" s="555"/>
      <c r="I25" s="557"/>
      <c r="J25" s="558" t="str">
        <f t="shared" ref="J25" si="55">IF(I25&lt;=0,"",IF(I25&lt;=2,"Muy Baja",IF(I25&lt;=24,"Baja",IF(I25&lt;=500,"Media",IF(I25&lt;=5000,"Alta","Muy Alta")))))</f>
        <v/>
      </c>
      <c r="K25" s="553" t="str">
        <f t="shared" ref="K25" si="56">IF(J25="","",IF(J25="Muy Baja",0.2,IF(J25="Baja",0.4,IF(J25="Media",0.6,IF(J25="Alta",0.8,IF(J25="Muy Alta",1,))))))</f>
        <v/>
      </c>
      <c r="L25" s="555"/>
      <c r="M25" s="553">
        <f>IF(NOT(ISERROR(MATCH(L25,'[2]Tabla Impacto'!$B$221:$B$223,0))),'[2]Tabla Impacto'!$F$223&amp;"Por favor no seleccionar los criterios de impacto(Afectación Económica o presupuestal y Pérdida Reputacional)",L25)</f>
        <v>0</v>
      </c>
      <c r="N25" s="558" t="str">
        <f t="shared" ref="N25" si="57">IF(L25&lt;=0,"",IF(L25&lt;=10,"Leve",IF(L25&lt;=50,"Menor",IF(L25&lt;=100,"Moderado",IF(L25&lt;=500,"Mayor","Catastrófico")))))</f>
        <v/>
      </c>
      <c r="O25" s="553" t="str">
        <f t="shared" ref="O25" si="58">IF(N25="","",IF(N25="Leve",0.2,IF(N25="Menor",0.4,IF(N25="Moderado",0.6,IF(N25="Mayor",0.8,IF(N25="Catastrófico",1,))))))</f>
        <v/>
      </c>
      <c r="P25" s="552" t="str">
        <f t="shared" ref="P25" si="59">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274">
        <v>1</v>
      </c>
      <c r="R25" s="275"/>
      <c r="S25" s="276" t="str">
        <f t="shared" si="1"/>
        <v/>
      </c>
      <c r="T25" s="277"/>
      <c r="U25" s="277"/>
      <c r="V25" s="278" t="str">
        <f>IF(AND(T25="Preventivo",U25="Automático"),"50%",IF(AND(T25="Preventivo",U25="Manual"),"40%",IF(AND(T25="Detectivo",U25="Automático"),"40%",IF(AND(T25="Detectivo",U25="Manual"),"30%",IF(AND(T25="Correctivo",U25="Automático"),"35%",IF(AND(T25="Correctivo",U25="Manual"),"25%",""))))))</f>
        <v/>
      </c>
      <c r="W25" s="277"/>
      <c r="X25" s="277"/>
      <c r="Y25" s="277"/>
      <c r="Z25" s="279" t="str">
        <f>IFERROR(IF(S25="Probabilidad",(K25-(+K25*V25)),IF(S25="Impacto",K25,"")),"")</f>
        <v/>
      </c>
      <c r="AA25" s="280" t="str">
        <f>IFERROR(IF(Z25="","",IF(Z25&lt;=0.2,"Muy Baja",IF(Z25&lt;=0.4,"Baja",IF(Z25&lt;=0.6,"Media",IF(Z25&lt;=0.8,"Alta","Muy Alta"))))),"")</f>
        <v/>
      </c>
      <c r="AB25" s="278" t="str">
        <f>+Z25</f>
        <v/>
      </c>
      <c r="AC25" s="280" t="str">
        <f>IFERROR(IF(AD25="","",IF(AD25&lt;=0.2,"Leve",IF(AD25&lt;=0.4,"Menor",IF(AD25&lt;=0.6,"Moderado",IF(AD25&lt;=0.8,"Mayor","Catastrófico"))))),"")</f>
        <v/>
      </c>
      <c r="AD25" s="278" t="str">
        <f>IFERROR(IF(S25="Impacto",(O25-(+O25*V25)),IF(S25="Probabilidad",O25,"")),"")</f>
        <v/>
      </c>
      <c r="AE25" s="281" t="str">
        <f>IFERROR(IF(OR(AND(AA25="Muy Baja",AC25="Leve"),AND(AA25="Muy Baja",AC25="Menor"),AND(AA25="Baja",AC25="Leve")),"Bajo",IF(OR(AND(AA25="Muy baja",AC25="Moderado"),AND(AA25="Baja",AC25="Menor"),AND(AA25="Baja",AC25="Moderado"),AND(AA25="Media",AC25="Leve"),AND(AA25="Media",AC25="Menor"),AND(AA25="Media",AC25="Moderado"),AND(AA25="Alta",AC25="Leve"),AND(AA25="Alta",AC25="Menor")),"Moderado",IF(OR(AND(AA25="Muy Baja",AC25="Mayor"),AND(AA25="Baja",AC25="Mayor"),AND(AA25="Media",AC25="Mayor"),AND(AA25="Alta",AC25="Moderado"),AND(AA25="Alta",AC25="Mayor"),AND(AA25="Muy Alta",AC25="Leve"),AND(AA25="Muy Alta",AC25="Menor"),AND(AA25="Muy Alta",AC25="Moderado"),AND(AA25="Muy Alta",AC25="Mayor")),"Alto",IF(OR(AND(AA25="Muy Baja",AC25="Catastrófico"),AND(AA25="Baja",AC25="Catastrófico"),AND(AA25="Media",AC25="Catastrófico"),AND(AA25="Alta",AC25="Catastrófico"),AND(AA25="Muy Alta",AC25="Catastrófico")),"Extremo","")))),"")</f>
        <v/>
      </c>
      <c r="AF25" s="277"/>
      <c r="AG25" s="282"/>
      <c r="AH25" s="282"/>
      <c r="AI25" s="283"/>
      <c r="AJ25" s="284"/>
      <c r="AK25" s="284"/>
      <c r="AL25" s="284"/>
      <c r="AM25" s="282"/>
      <c r="AN25" s="285"/>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302"/>
    </row>
    <row r="26" spans="1:74" s="289" customFormat="1" ht="69" customHeight="1" x14ac:dyDescent="0.2">
      <c r="A26" s="554"/>
      <c r="B26" s="555"/>
      <c r="C26" s="555"/>
      <c r="D26" s="555"/>
      <c r="E26" s="282"/>
      <c r="F26" s="282"/>
      <c r="G26" s="556"/>
      <c r="H26" s="555"/>
      <c r="I26" s="557"/>
      <c r="J26" s="558"/>
      <c r="K26" s="553"/>
      <c r="L26" s="555"/>
      <c r="M26" s="553">
        <f ca="1">IF(NOT(ISERROR(MATCH(L26,_xlfn.ANCHORARRAY(G29),0))),#REF!&amp;"Por favor no seleccionar los criterios de impacto",L26)</f>
        <v>0</v>
      </c>
      <c r="N26" s="558"/>
      <c r="O26" s="553"/>
      <c r="P26" s="552"/>
      <c r="Q26" s="274">
        <v>2</v>
      </c>
      <c r="R26" s="275"/>
      <c r="S26" s="276" t="str">
        <f t="shared" si="1"/>
        <v/>
      </c>
      <c r="T26" s="277"/>
      <c r="U26" s="277"/>
      <c r="V26" s="278" t="str">
        <f t="shared" ref="V26" si="60">IF(AND(T26="Preventivo",U26="Automático"),"50%",IF(AND(T26="Preventivo",U26="Manual"),"40%",IF(AND(T26="Detectivo",U26="Automático"),"40%",IF(AND(T26="Detectivo",U26="Manual"),"30%",IF(AND(T26="Correctivo",U26="Automático"),"35%",IF(AND(T26="Correctivo",U26="Manual"),"25%",""))))))</f>
        <v/>
      </c>
      <c r="W26" s="277"/>
      <c r="X26" s="277"/>
      <c r="Y26" s="277"/>
      <c r="Z26" s="279" t="str">
        <f>IFERROR(IF(AND(S25="Probabilidad",S26="Probabilidad"),(AB25-(+AB25*V26)),IF(S26="Probabilidad",(K25-(+K25*V26)),IF(S26="Impacto",AB25,""))),"")</f>
        <v/>
      </c>
      <c r="AA26" s="280" t="str">
        <f t="shared" si="3"/>
        <v/>
      </c>
      <c r="AB26" s="278" t="str">
        <f t="shared" ref="AB26" si="61">+Z26</f>
        <v/>
      </c>
      <c r="AC26" s="280" t="str">
        <f t="shared" si="5"/>
        <v/>
      </c>
      <c r="AD26" s="278" t="str">
        <f>IFERROR(IF(AND(S25="Impacto",S26="Impacto"),(AD23-(+AD23*V26)),IF(S26="Impacto",($O$25-(+$O$25*V26)),IF(S26="Probabilidad",AD23,""))),"")</f>
        <v/>
      </c>
      <c r="AE26" s="281" t="str">
        <f t="shared" ref="AE26" si="62">IFERROR(IF(OR(AND(AA26="Muy Baja",AC26="Leve"),AND(AA26="Muy Baja",AC26="Menor"),AND(AA26="Baja",AC26="Leve")),"Bajo",IF(OR(AND(AA26="Muy baja",AC26="Moderado"),AND(AA26="Baja",AC26="Menor"),AND(AA26="Baja",AC26="Moderado"),AND(AA26="Media",AC26="Leve"),AND(AA26="Media",AC26="Menor"),AND(AA26="Media",AC26="Moderado"),AND(AA26="Alta",AC26="Leve"),AND(AA26="Alta",AC26="Menor")),"Moderado",IF(OR(AND(AA26="Muy Baja",AC26="Mayor"),AND(AA26="Baja",AC26="Mayor"),AND(AA26="Media",AC26="Mayor"),AND(AA26="Alta",AC26="Moderado"),AND(AA26="Alta",AC26="Mayor"),AND(AA26="Muy Alta",AC26="Leve"),AND(AA26="Muy Alta",AC26="Menor"),AND(AA26="Muy Alta",AC26="Moderado"),AND(AA26="Muy Alta",AC26="Mayor")),"Alto",IF(OR(AND(AA26="Muy Baja",AC26="Catastrófico"),AND(AA26="Baja",AC26="Catastrófico"),AND(AA26="Media",AC26="Catastrófico"),AND(AA26="Alta",AC26="Catastrófico"),AND(AA26="Muy Alta",AC26="Catastrófico")),"Extremo","")))),"")</f>
        <v/>
      </c>
      <c r="AF26" s="277"/>
      <c r="AG26" s="282"/>
      <c r="AH26" s="282"/>
      <c r="AI26" s="283"/>
      <c r="AJ26" s="284"/>
      <c r="AK26" s="284"/>
      <c r="AL26" s="284"/>
      <c r="AM26" s="282"/>
      <c r="AN26" s="285"/>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302"/>
    </row>
    <row r="27" spans="1:74" s="289" customFormat="1" ht="69" customHeight="1" x14ac:dyDescent="0.2">
      <c r="A27" s="554">
        <v>9</v>
      </c>
      <c r="B27" s="555"/>
      <c r="C27" s="555"/>
      <c r="D27" s="555"/>
      <c r="E27" s="683"/>
      <c r="F27" s="683"/>
      <c r="G27" s="556"/>
      <c r="H27" s="555"/>
      <c r="I27" s="557"/>
      <c r="J27" s="558" t="str">
        <f t="shared" ref="J27" si="63">IF(I27&lt;=0,"",IF(I27&lt;=2,"Muy Baja",IF(I27&lt;=24,"Baja",IF(I27&lt;=500,"Media",IF(I27&lt;=5000,"Alta","Muy Alta")))))</f>
        <v/>
      </c>
      <c r="K27" s="553" t="str">
        <f t="shared" ref="K27" si="64">IF(J27="","",IF(J27="Muy Baja",0.2,IF(J27="Baja",0.4,IF(J27="Media",0.6,IF(J27="Alta",0.8,IF(J27="Muy Alta",1,))))))</f>
        <v/>
      </c>
      <c r="L27" s="555"/>
      <c r="M27" s="553">
        <f>IF(NOT(ISERROR(MATCH(L27,'[2]Tabla Impacto'!$B$221:$B$223,0))),'[2]Tabla Impacto'!$F$223&amp;"Por favor no seleccionar los criterios de impacto(Afectación Económica o presupuestal y Pérdida Reputacional)",L27)</f>
        <v>0</v>
      </c>
      <c r="N27" s="558" t="str">
        <f t="shared" ref="N27" si="65">IF(L27&lt;=0,"",IF(L27&lt;=10,"Leve",IF(L27&lt;=50,"Menor",IF(L27&lt;=100,"Moderado",IF(L27&lt;=500,"Mayor","Catastrófico")))))</f>
        <v/>
      </c>
      <c r="O27" s="553" t="str">
        <f t="shared" ref="O27" si="66">IF(N27="","",IF(N27="Leve",0.2,IF(N27="Menor",0.4,IF(N27="Moderado",0.6,IF(N27="Mayor",0.8,IF(N27="Catastrófico",1,))))))</f>
        <v/>
      </c>
      <c r="P27" s="552" t="str">
        <f t="shared" ref="P27" si="67">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274">
        <v>1</v>
      </c>
      <c r="R27" s="275"/>
      <c r="S27" s="276" t="str">
        <f t="shared" si="1"/>
        <v/>
      </c>
      <c r="T27" s="277"/>
      <c r="U27" s="277"/>
      <c r="V27" s="278" t="str">
        <f>IF(AND(T27="Preventivo",U27="Automático"),"50%",IF(AND(T27="Preventivo",U27="Manual"),"40%",IF(AND(T27="Detectivo",U27="Automático"),"40%",IF(AND(T27="Detectivo",U27="Manual"),"30%",IF(AND(T27="Correctivo",U27="Automático"),"35%",IF(AND(T27="Correctivo",U27="Manual"),"25%",""))))))</f>
        <v/>
      </c>
      <c r="W27" s="277"/>
      <c r="X27" s="277"/>
      <c r="Y27" s="277"/>
      <c r="Z27" s="279" t="str">
        <f>IFERROR(IF(S27="Probabilidad",(K27-(+K27*V27)),IF(S27="Impacto",K27,"")),"")</f>
        <v/>
      </c>
      <c r="AA27" s="280" t="str">
        <f>IFERROR(IF(Z27="","",IF(Z27&lt;=0.2,"Muy Baja",IF(Z27&lt;=0.4,"Baja",IF(Z27&lt;=0.6,"Media",IF(Z27&lt;=0.8,"Alta","Muy Alta"))))),"")</f>
        <v/>
      </c>
      <c r="AB27" s="278" t="str">
        <f>+Z27</f>
        <v/>
      </c>
      <c r="AC27" s="280" t="str">
        <f>IFERROR(IF(AD27="","",IF(AD27&lt;=0.2,"Leve",IF(AD27&lt;=0.4,"Menor",IF(AD27&lt;=0.6,"Moderado",IF(AD27&lt;=0.8,"Mayor","Catastrófico"))))),"")</f>
        <v/>
      </c>
      <c r="AD27" s="278" t="str">
        <f>IFERROR(IF(S27="Impacto",(O27-(+O27*V27)),IF(S27="Probabilidad",O27,"")),"")</f>
        <v/>
      </c>
      <c r="AE27" s="281" t="str">
        <f>IFERROR(IF(OR(AND(AA27="Muy Baja",AC27="Leve"),AND(AA27="Muy Baja",AC27="Menor"),AND(AA27="Baja",AC27="Leve")),"Bajo",IF(OR(AND(AA27="Muy baja",AC27="Moderado"),AND(AA27="Baja",AC27="Menor"),AND(AA27="Baja",AC27="Moderado"),AND(AA27="Media",AC27="Leve"),AND(AA27="Media",AC27="Menor"),AND(AA27="Media",AC27="Moderado"),AND(AA27="Alta",AC27="Leve"),AND(AA27="Alta",AC27="Menor")),"Moderado",IF(OR(AND(AA27="Muy Baja",AC27="Mayor"),AND(AA27="Baja",AC27="Mayor"),AND(AA27="Media",AC27="Mayor"),AND(AA27="Alta",AC27="Moderado"),AND(AA27="Alta",AC27="Mayor"),AND(AA27="Muy Alta",AC27="Leve"),AND(AA27="Muy Alta",AC27="Menor"),AND(AA27="Muy Alta",AC27="Moderado"),AND(AA27="Muy Alta",AC27="Mayor")),"Alto",IF(OR(AND(AA27="Muy Baja",AC27="Catastrófico"),AND(AA27="Baja",AC27="Catastrófico"),AND(AA27="Media",AC27="Catastrófico"),AND(AA27="Alta",AC27="Catastrófico"),AND(AA27="Muy Alta",AC27="Catastrófico")),"Extremo","")))),"")</f>
        <v/>
      </c>
      <c r="AF27" s="277"/>
      <c r="AG27" s="282"/>
      <c r="AH27" s="282"/>
      <c r="AI27" s="283"/>
      <c r="AJ27" s="284"/>
      <c r="AK27" s="284"/>
      <c r="AL27" s="284"/>
      <c r="AM27" s="282"/>
      <c r="AN27" s="285"/>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302"/>
    </row>
    <row r="28" spans="1:74" s="289" customFormat="1" ht="69" customHeight="1" x14ac:dyDescent="0.2">
      <c r="A28" s="554"/>
      <c r="B28" s="555"/>
      <c r="C28" s="555"/>
      <c r="D28" s="555"/>
      <c r="E28" s="688"/>
      <c r="F28" s="688"/>
      <c r="G28" s="556"/>
      <c r="H28" s="555"/>
      <c r="I28" s="557"/>
      <c r="J28" s="558"/>
      <c r="K28" s="553"/>
      <c r="L28" s="555"/>
      <c r="M28" s="553">
        <f ca="1">IF(NOT(ISERROR(MATCH(L28,_xlfn.ANCHORARRAY(G31),0))),#REF!&amp;"Por favor no seleccionar los criterios de impacto",L28)</f>
        <v>0</v>
      </c>
      <c r="N28" s="558"/>
      <c r="O28" s="553"/>
      <c r="P28" s="552"/>
      <c r="Q28" s="274">
        <v>2</v>
      </c>
      <c r="R28" s="275"/>
      <c r="S28" s="276" t="str">
        <f t="shared" si="1"/>
        <v/>
      </c>
      <c r="T28" s="277"/>
      <c r="U28" s="277"/>
      <c r="V28" s="278" t="str">
        <f t="shared" ref="V28" si="68">IF(AND(T28="Preventivo",U28="Automático"),"50%",IF(AND(T28="Preventivo",U28="Manual"),"40%",IF(AND(T28="Detectivo",U28="Automático"),"40%",IF(AND(T28="Detectivo",U28="Manual"),"30%",IF(AND(T28="Correctivo",U28="Automático"),"35%",IF(AND(T28="Correctivo",U28="Manual"),"25%",""))))))</f>
        <v/>
      </c>
      <c r="W28" s="277"/>
      <c r="X28" s="277"/>
      <c r="Y28" s="277"/>
      <c r="Z28" s="279" t="str">
        <f>IFERROR(IF(AND(S27="Probabilidad",S28="Probabilidad"),(AB27-(+AB27*V28)),IF(S28="Probabilidad",(K27-(+K27*V28)),IF(S28="Impacto",AB27,""))),"")</f>
        <v/>
      </c>
      <c r="AA28" s="280" t="str">
        <f t="shared" si="3"/>
        <v/>
      </c>
      <c r="AB28" s="278" t="str">
        <f t="shared" ref="AB28" si="69">+Z28</f>
        <v/>
      </c>
      <c r="AC28" s="280" t="str">
        <f t="shared" si="5"/>
        <v/>
      </c>
      <c r="AD28" s="278" t="str">
        <f>IFERROR(IF(AND(S27="Impacto",S28="Impacto"),(AD25-(+AD25*V28)),IF(S28="Impacto",($O$27-(+$O$27*V28)),IF(S28="Probabilidad",AD25,""))),"")</f>
        <v/>
      </c>
      <c r="AE28" s="281" t="str">
        <f t="shared" ref="AE28" si="70">IFERROR(IF(OR(AND(AA28="Muy Baja",AC28="Leve"),AND(AA28="Muy Baja",AC28="Menor"),AND(AA28="Baja",AC28="Leve")),"Bajo",IF(OR(AND(AA28="Muy baja",AC28="Moderado"),AND(AA28="Baja",AC28="Menor"),AND(AA28="Baja",AC28="Moderado"),AND(AA28="Media",AC28="Leve"),AND(AA28="Media",AC28="Menor"),AND(AA28="Media",AC28="Moderado"),AND(AA28="Alta",AC28="Leve"),AND(AA28="Alta",AC28="Menor")),"Moderado",IF(OR(AND(AA28="Muy Baja",AC28="Mayor"),AND(AA28="Baja",AC28="Mayor"),AND(AA28="Media",AC28="Mayor"),AND(AA28="Alta",AC28="Moderado"),AND(AA28="Alta",AC28="Mayor"),AND(AA28="Muy Alta",AC28="Leve"),AND(AA28="Muy Alta",AC28="Menor"),AND(AA28="Muy Alta",AC28="Moderado"),AND(AA28="Muy Alta",AC28="Mayor")),"Alto",IF(OR(AND(AA28="Muy Baja",AC28="Catastrófico"),AND(AA28="Baja",AC28="Catastrófico"),AND(AA28="Media",AC28="Catastrófico"),AND(AA28="Alta",AC28="Catastrófico"),AND(AA28="Muy Alta",AC28="Catastrófico")),"Extremo","")))),"")</f>
        <v/>
      </c>
      <c r="AF28" s="277"/>
      <c r="AG28" s="282"/>
      <c r="AH28" s="282"/>
      <c r="AI28" s="283"/>
      <c r="AJ28" s="284"/>
      <c r="AK28" s="284"/>
      <c r="AL28" s="284"/>
      <c r="AM28" s="282"/>
      <c r="AN28" s="285"/>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302"/>
    </row>
    <row r="29" spans="1:74" s="289" customFormat="1" ht="69" customHeight="1" x14ac:dyDescent="0.2">
      <c r="A29" s="554">
        <v>10</v>
      </c>
      <c r="B29" s="555"/>
      <c r="C29" s="555"/>
      <c r="D29" s="555"/>
      <c r="E29" s="683"/>
      <c r="F29" s="683"/>
      <c r="G29" s="556"/>
      <c r="H29" s="555"/>
      <c r="I29" s="557"/>
      <c r="J29" s="558" t="str">
        <f t="shared" ref="J29" si="71">IF(I29&lt;=0,"",IF(I29&lt;=2,"Muy Baja",IF(I29&lt;=24,"Baja",IF(I29&lt;=500,"Media",IF(I29&lt;=5000,"Alta","Muy Alta")))))</f>
        <v/>
      </c>
      <c r="K29" s="553" t="str">
        <f t="shared" ref="K29" si="72">IF(J29="","",IF(J29="Muy Baja",0.2,IF(J29="Baja",0.4,IF(J29="Media",0.6,IF(J29="Alta",0.8,IF(J29="Muy Alta",1,))))))</f>
        <v/>
      </c>
      <c r="L29" s="555"/>
      <c r="M29" s="553">
        <f>IF(NOT(ISERROR(MATCH(L29,'[2]Tabla Impacto'!$B$221:$B$223,0))),'[2]Tabla Impacto'!$F$223&amp;"Por favor no seleccionar los criterios de impacto(Afectación Económica o presupuestal y Pérdida Reputacional)",L29)</f>
        <v>0</v>
      </c>
      <c r="N29" s="558" t="str">
        <f t="shared" ref="N29" si="73">IF(L29&lt;=0,"",IF(L29&lt;=10,"Leve",IF(L29&lt;=50,"Menor",IF(L29&lt;=100,"Moderado",IF(L29&lt;=500,"Mayor","Catastrófico")))))</f>
        <v/>
      </c>
      <c r="O29" s="553" t="str">
        <f t="shared" ref="O29" si="74">IF(N29="","",IF(N29="Leve",0.2,IF(N29="Menor",0.4,IF(N29="Moderado",0.6,IF(N29="Mayor",0.8,IF(N29="Catastrófico",1,))))))</f>
        <v/>
      </c>
      <c r="P29" s="552" t="str">
        <f t="shared" ref="P29" si="75">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274">
        <v>1</v>
      </c>
      <c r="R29" s="275"/>
      <c r="S29" s="276" t="str">
        <f t="shared" si="1"/>
        <v/>
      </c>
      <c r="T29" s="277"/>
      <c r="U29" s="277"/>
      <c r="V29" s="278" t="str">
        <f>IF(AND(T29="Preventivo",U29="Automático"),"50%",IF(AND(T29="Preventivo",U29="Manual"),"40%",IF(AND(T29="Detectivo",U29="Automático"),"40%",IF(AND(T29="Detectivo",U29="Manual"),"30%",IF(AND(T29="Correctivo",U29="Automático"),"35%",IF(AND(T29="Correctivo",U29="Manual"),"25%",""))))))</f>
        <v/>
      </c>
      <c r="W29" s="277"/>
      <c r="X29" s="277"/>
      <c r="Y29" s="277"/>
      <c r="Z29" s="279" t="str">
        <f>IFERROR(IF(S29="Probabilidad",(K29-(+K29*V29)),IF(S29="Impacto",K29,"")),"")</f>
        <v/>
      </c>
      <c r="AA29" s="280" t="str">
        <f>IFERROR(IF(Z29="","",IF(Z29&lt;=0.2,"Muy Baja",IF(Z29&lt;=0.4,"Baja",IF(Z29&lt;=0.6,"Media",IF(Z29&lt;=0.8,"Alta","Muy Alta"))))),"")</f>
        <v/>
      </c>
      <c r="AB29" s="278" t="str">
        <f>+Z29</f>
        <v/>
      </c>
      <c r="AC29" s="280" t="str">
        <f>IFERROR(IF(AD29="","",IF(AD29&lt;=0.2,"Leve",IF(AD29&lt;=0.4,"Menor",IF(AD29&lt;=0.6,"Moderado",IF(AD29&lt;=0.8,"Mayor","Catastrófico"))))),"")</f>
        <v/>
      </c>
      <c r="AD29" s="278" t="str">
        <f>IFERROR(IF(S29="Impacto",(O29-(+O29*V29)),IF(S29="Probabilidad",O29,"")),"")</f>
        <v/>
      </c>
      <c r="AE29" s="281" t="str">
        <f>IFERROR(IF(OR(AND(AA29="Muy Baja",AC29="Leve"),AND(AA29="Muy Baja",AC29="Menor"),AND(AA29="Baja",AC29="Leve")),"Bajo",IF(OR(AND(AA29="Muy baja",AC29="Moderado"),AND(AA29="Baja",AC29="Menor"),AND(AA29="Baja",AC29="Moderado"),AND(AA29="Media",AC29="Leve"),AND(AA29="Media",AC29="Menor"),AND(AA29="Media",AC29="Moderado"),AND(AA29="Alta",AC29="Leve"),AND(AA29="Alta",AC29="Menor")),"Moderado",IF(OR(AND(AA29="Muy Baja",AC29="Mayor"),AND(AA29="Baja",AC29="Mayor"),AND(AA29="Media",AC29="Mayor"),AND(AA29="Alta",AC29="Moderado"),AND(AA29="Alta",AC29="Mayor"),AND(AA29="Muy Alta",AC29="Leve"),AND(AA29="Muy Alta",AC29="Menor"),AND(AA29="Muy Alta",AC29="Moderado"),AND(AA29="Muy Alta",AC29="Mayor")),"Alto",IF(OR(AND(AA29="Muy Baja",AC29="Catastrófico"),AND(AA29="Baja",AC29="Catastrófico"),AND(AA29="Media",AC29="Catastrófico"),AND(AA29="Alta",AC29="Catastrófico"),AND(AA29="Muy Alta",AC29="Catastrófico")),"Extremo","")))),"")</f>
        <v/>
      </c>
      <c r="AF29" s="277"/>
      <c r="AG29" s="282"/>
      <c r="AH29" s="282"/>
      <c r="AI29" s="283"/>
      <c r="AJ29" s="284"/>
      <c r="AK29" s="284"/>
      <c r="AL29" s="284"/>
      <c r="AM29" s="282"/>
      <c r="AN29" s="285"/>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302"/>
    </row>
    <row r="30" spans="1:74" s="289" customFormat="1" ht="69" customHeight="1" x14ac:dyDescent="0.2">
      <c r="A30" s="554"/>
      <c r="B30" s="555"/>
      <c r="C30" s="555"/>
      <c r="D30" s="555"/>
      <c r="E30" s="688"/>
      <c r="F30" s="688"/>
      <c r="G30" s="556"/>
      <c r="H30" s="555"/>
      <c r="I30" s="557"/>
      <c r="J30" s="558"/>
      <c r="K30" s="553"/>
      <c r="L30" s="555"/>
      <c r="M30" s="553">
        <f ca="1">IF(NOT(ISERROR(MATCH(L30,_xlfn.ANCHORARRAY(G33),0))),#REF!&amp;"Por favor no seleccionar los criterios de impacto",L30)</f>
        <v>0</v>
      </c>
      <c r="N30" s="558"/>
      <c r="O30" s="553"/>
      <c r="P30" s="552"/>
      <c r="Q30" s="274">
        <v>2</v>
      </c>
      <c r="R30" s="275"/>
      <c r="S30" s="276" t="str">
        <f t="shared" si="1"/>
        <v/>
      </c>
      <c r="T30" s="277"/>
      <c r="U30" s="277"/>
      <c r="V30" s="278" t="str">
        <f t="shared" ref="V30" si="76">IF(AND(T30="Preventivo",U30="Automático"),"50%",IF(AND(T30="Preventivo",U30="Manual"),"40%",IF(AND(T30="Detectivo",U30="Automático"),"40%",IF(AND(T30="Detectivo",U30="Manual"),"30%",IF(AND(T30="Correctivo",U30="Automático"),"35%",IF(AND(T30="Correctivo",U30="Manual"),"25%",""))))))</f>
        <v/>
      </c>
      <c r="W30" s="277"/>
      <c r="X30" s="277"/>
      <c r="Y30" s="277"/>
      <c r="Z30" s="279" t="str">
        <f>IFERROR(IF(AND(S29="Probabilidad",S30="Probabilidad"),(AB29-(+AB29*V30)),IF(S30="Probabilidad",(K29-(+K29*V30)),IF(S30="Impacto",AB29,""))),"")</f>
        <v/>
      </c>
      <c r="AA30" s="280" t="str">
        <f t="shared" si="3"/>
        <v/>
      </c>
      <c r="AB30" s="278" t="str">
        <f t="shared" ref="AB30" si="77">+Z30</f>
        <v/>
      </c>
      <c r="AC30" s="280" t="str">
        <f t="shared" si="5"/>
        <v/>
      </c>
      <c r="AD30" s="278" t="str">
        <f>IFERROR(IF(AND(S29="Impacto",S30="Impacto"),(AD27-(+AD27*V30)),IF(S30="Impacto",($O$29-(+$O$29*V30)),IF(S30="Probabilidad",AD27,""))),"")</f>
        <v/>
      </c>
      <c r="AE30" s="281" t="str">
        <f t="shared" ref="AE30" si="78">IFERROR(IF(OR(AND(AA30="Muy Baja",AC30="Leve"),AND(AA30="Muy Baja",AC30="Menor"),AND(AA30="Baja",AC30="Leve")),"Bajo",IF(OR(AND(AA30="Muy baja",AC30="Moderado"),AND(AA30="Baja",AC30="Menor"),AND(AA30="Baja",AC30="Moderado"),AND(AA30="Media",AC30="Leve"),AND(AA30="Media",AC30="Menor"),AND(AA30="Media",AC30="Moderado"),AND(AA30="Alta",AC30="Leve"),AND(AA30="Alta",AC30="Menor")),"Moderado",IF(OR(AND(AA30="Muy Baja",AC30="Mayor"),AND(AA30="Baja",AC30="Mayor"),AND(AA30="Media",AC30="Mayor"),AND(AA30="Alta",AC30="Moderado"),AND(AA30="Alta",AC30="Mayor"),AND(AA30="Muy Alta",AC30="Leve"),AND(AA30="Muy Alta",AC30="Menor"),AND(AA30="Muy Alta",AC30="Moderado"),AND(AA30="Muy Alta",AC30="Mayor")),"Alto",IF(OR(AND(AA30="Muy Baja",AC30="Catastrófico"),AND(AA30="Baja",AC30="Catastrófico"),AND(AA30="Media",AC30="Catastrófico"),AND(AA30="Alta",AC30="Catastrófico"),AND(AA30="Muy Alta",AC30="Catastrófico")),"Extremo","")))),"")</f>
        <v/>
      </c>
      <c r="AF30" s="277"/>
      <c r="AG30" s="282"/>
      <c r="AH30" s="282"/>
      <c r="AI30" s="283"/>
      <c r="AJ30" s="284"/>
      <c r="AK30" s="284"/>
      <c r="AL30" s="284"/>
      <c r="AM30" s="282"/>
      <c r="AN30" s="285"/>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302"/>
    </row>
    <row r="32" spans="1:74" x14ac:dyDescent="0.3">
      <c r="A32" s="1"/>
      <c r="B32" s="24"/>
      <c r="C32" s="1"/>
      <c r="D32" s="1"/>
      <c r="E32" s="1"/>
      <c r="F32" s="1"/>
      <c r="H32" s="1"/>
    </row>
    <row r="100" spans="7:11" x14ac:dyDescent="0.3">
      <c r="G100" s="565" t="s">
        <v>469</v>
      </c>
      <c r="H100" s="565"/>
      <c r="I100" s="565"/>
      <c r="J100" s="565"/>
      <c r="K100" s="565"/>
    </row>
    <row r="101" spans="7:11" x14ac:dyDescent="0.3">
      <c r="I101" s="291" t="s">
        <v>13</v>
      </c>
      <c r="J101" s="291" t="s">
        <v>498</v>
      </c>
    </row>
    <row r="102" spans="7:11" x14ac:dyDescent="0.3">
      <c r="G102" s="1" t="s">
        <v>470</v>
      </c>
      <c r="I102" s="1" t="s">
        <v>14</v>
      </c>
      <c r="J102" s="1" t="s">
        <v>491</v>
      </c>
    </row>
    <row r="103" spans="7:11" x14ac:dyDescent="0.3">
      <c r="G103" t="s">
        <v>471</v>
      </c>
      <c r="I103" s="1" t="s">
        <v>15</v>
      </c>
      <c r="J103" s="1" t="s">
        <v>9</v>
      </c>
    </row>
    <row r="104" spans="7:11" x14ac:dyDescent="0.3">
      <c r="G104" s="1" t="s">
        <v>472</v>
      </c>
      <c r="I104" s="1" t="s">
        <v>16</v>
      </c>
    </row>
    <row r="105" spans="7:11" x14ac:dyDescent="0.3">
      <c r="G105" s="1" t="s">
        <v>473</v>
      </c>
    </row>
    <row r="106" spans="7:11" x14ac:dyDescent="0.3">
      <c r="G106" s="1" t="s">
        <v>474</v>
      </c>
      <c r="I106" s="291" t="s">
        <v>18</v>
      </c>
      <c r="J106" s="291" t="s">
        <v>495</v>
      </c>
    </row>
    <row r="107" spans="7:11" x14ac:dyDescent="0.3">
      <c r="G107" s="1" t="s">
        <v>475</v>
      </c>
      <c r="I107" s="1" t="s">
        <v>493</v>
      </c>
      <c r="J107" s="1" t="s">
        <v>22</v>
      </c>
    </row>
    <row r="108" spans="7:11" x14ac:dyDescent="0.3">
      <c r="G108" s="1" t="s">
        <v>476</v>
      </c>
      <c r="I108" s="1" t="s">
        <v>494</v>
      </c>
      <c r="J108" s="1" t="s">
        <v>23</v>
      </c>
    </row>
    <row r="111" spans="7:11" x14ac:dyDescent="0.3">
      <c r="G111" s="140" t="s">
        <v>532</v>
      </c>
      <c r="I111" s="291" t="s">
        <v>496</v>
      </c>
      <c r="J111" s="291" t="s">
        <v>29</v>
      </c>
    </row>
    <row r="112" spans="7:11" x14ac:dyDescent="0.3">
      <c r="G112" s="140"/>
      <c r="I112" s="1" t="s">
        <v>497</v>
      </c>
      <c r="J112" s="1" t="s">
        <v>30</v>
      </c>
    </row>
    <row r="113" spans="7:10" x14ac:dyDescent="0.3">
      <c r="G113" s="154" t="s">
        <v>528</v>
      </c>
      <c r="I113" s="1" t="s">
        <v>27</v>
      </c>
      <c r="J113" s="1" t="s">
        <v>504</v>
      </c>
    </row>
    <row r="114" spans="7:10" x14ac:dyDescent="0.3">
      <c r="G114" s="140" t="s">
        <v>525</v>
      </c>
      <c r="J114" s="1" t="s">
        <v>31</v>
      </c>
    </row>
    <row r="115" spans="7:10" x14ac:dyDescent="0.3">
      <c r="G115" s="140" t="s">
        <v>527</v>
      </c>
      <c r="J115" s="1" t="s">
        <v>505</v>
      </c>
    </row>
    <row r="116" spans="7:10" x14ac:dyDescent="0.3">
      <c r="G116" s="140" t="s">
        <v>526</v>
      </c>
      <c r="J116" s="1" t="s">
        <v>32</v>
      </c>
    </row>
    <row r="118" spans="7:10" x14ac:dyDescent="0.3">
      <c r="G118" s="291" t="s">
        <v>39</v>
      </c>
    </row>
    <row r="119" spans="7:10" x14ac:dyDescent="0.3">
      <c r="G119" s="1" t="s">
        <v>40</v>
      </c>
    </row>
    <row r="120" spans="7:10" x14ac:dyDescent="0.3">
      <c r="G120" s="140" t="s">
        <v>41</v>
      </c>
    </row>
  </sheetData>
  <dataConsolidate/>
  <mergeCells count="201">
    <mergeCell ref="A4:AN5"/>
    <mergeCell ref="A6:B6"/>
    <mergeCell ref="C6:P6"/>
    <mergeCell ref="Q6:S6"/>
    <mergeCell ref="A7:B7"/>
    <mergeCell ref="C7:P7"/>
    <mergeCell ref="A8:I8"/>
    <mergeCell ref="J8:P8"/>
    <mergeCell ref="Q8:Y8"/>
    <mergeCell ref="Z8:AF8"/>
    <mergeCell ref="AG8:AN8"/>
    <mergeCell ref="A9:A10"/>
    <mergeCell ref="B9:B10"/>
    <mergeCell ref="C9:C10"/>
    <mergeCell ref="D9:D10"/>
    <mergeCell ref="G9:G10"/>
    <mergeCell ref="P9:P10"/>
    <mergeCell ref="Q9:Q10"/>
    <mergeCell ref="R9:R10"/>
    <mergeCell ref="S9:S10"/>
    <mergeCell ref="H9:H10"/>
    <mergeCell ref="I9:I10"/>
    <mergeCell ref="J9:J10"/>
    <mergeCell ref="K9:K10"/>
    <mergeCell ref="L9:L10"/>
    <mergeCell ref="M9:M10"/>
    <mergeCell ref="E9:E10"/>
    <mergeCell ref="F9:F10"/>
    <mergeCell ref="AK9:AK10"/>
    <mergeCell ref="AL9:AL10"/>
    <mergeCell ref="AM9:AM10"/>
    <mergeCell ref="AN9:AN10"/>
    <mergeCell ref="A11:A12"/>
    <mergeCell ref="B11:B12"/>
    <mergeCell ref="C11:C12"/>
    <mergeCell ref="D11:D12"/>
    <mergeCell ref="G11:G12"/>
    <mergeCell ref="H11:H12"/>
    <mergeCell ref="AE9:AE10"/>
    <mergeCell ref="AF9:AF10"/>
    <mergeCell ref="AG9:AG10"/>
    <mergeCell ref="AH9:AH10"/>
    <mergeCell ref="AI9:AI10"/>
    <mergeCell ref="AJ9:AJ10"/>
    <mergeCell ref="T9:Y9"/>
    <mergeCell ref="Z9:Z10"/>
    <mergeCell ref="AA9:AA10"/>
    <mergeCell ref="AB9:AB10"/>
    <mergeCell ref="AC9:AC10"/>
    <mergeCell ref="AD9:AD10"/>
    <mergeCell ref="N9:N10"/>
    <mergeCell ref="O9:O10"/>
    <mergeCell ref="L13:L14"/>
    <mergeCell ref="M13:M14"/>
    <mergeCell ref="N13:N14"/>
    <mergeCell ref="O13:O14"/>
    <mergeCell ref="P13:P14"/>
    <mergeCell ref="O11:O12"/>
    <mergeCell ref="P11:P12"/>
    <mergeCell ref="A13:A14"/>
    <mergeCell ref="B13:B14"/>
    <mergeCell ref="C13:C14"/>
    <mergeCell ref="D13:D14"/>
    <mergeCell ref="G13:G14"/>
    <mergeCell ref="H13:H14"/>
    <mergeCell ref="I13:I14"/>
    <mergeCell ref="J13:J14"/>
    <mergeCell ref="I11:I12"/>
    <mergeCell ref="J11:J12"/>
    <mergeCell ref="K11:K12"/>
    <mergeCell ref="L11:L12"/>
    <mergeCell ref="M11:M12"/>
    <mergeCell ref="N11:N12"/>
    <mergeCell ref="E11:E12"/>
    <mergeCell ref="F11:F12"/>
    <mergeCell ref="N17:N18"/>
    <mergeCell ref="O17:O18"/>
    <mergeCell ref="P17:P18"/>
    <mergeCell ref="O15:O16"/>
    <mergeCell ref="P15:P16"/>
    <mergeCell ref="A17:A18"/>
    <mergeCell ref="B17:B18"/>
    <mergeCell ref="C17:C18"/>
    <mergeCell ref="D17:D18"/>
    <mergeCell ref="G17:G18"/>
    <mergeCell ref="H17:H18"/>
    <mergeCell ref="I17:I18"/>
    <mergeCell ref="J17:J18"/>
    <mergeCell ref="I15:I16"/>
    <mergeCell ref="J15:J16"/>
    <mergeCell ref="K15:K16"/>
    <mergeCell ref="L15:L16"/>
    <mergeCell ref="M15:M16"/>
    <mergeCell ref="N15:N16"/>
    <mergeCell ref="A15:A16"/>
    <mergeCell ref="B15:B16"/>
    <mergeCell ref="C15:C16"/>
    <mergeCell ref="D15:D16"/>
    <mergeCell ref="L17:L18"/>
    <mergeCell ref="N21:N22"/>
    <mergeCell ref="O21:O22"/>
    <mergeCell ref="P21:P22"/>
    <mergeCell ref="O19:O20"/>
    <mergeCell ref="P19:P20"/>
    <mergeCell ref="A21:A22"/>
    <mergeCell ref="B21:B22"/>
    <mergeCell ref="C21:C22"/>
    <mergeCell ref="D21:D22"/>
    <mergeCell ref="G21:G22"/>
    <mergeCell ref="H21:H22"/>
    <mergeCell ref="I21:I22"/>
    <mergeCell ref="J21:J22"/>
    <mergeCell ref="I19:I20"/>
    <mergeCell ref="J19:J20"/>
    <mergeCell ref="K19:K20"/>
    <mergeCell ref="L19:L20"/>
    <mergeCell ref="M19:M20"/>
    <mergeCell ref="N19:N20"/>
    <mergeCell ref="A19:A20"/>
    <mergeCell ref="B19:B20"/>
    <mergeCell ref="C19:C20"/>
    <mergeCell ref="D19:D20"/>
    <mergeCell ref="M21:M22"/>
    <mergeCell ref="N25:N26"/>
    <mergeCell ref="O25:O26"/>
    <mergeCell ref="P25:P26"/>
    <mergeCell ref="O23:O24"/>
    <mergeCell ref="P23:P24"/>
    <mergeCell ref="A25:A26"/>
    <mergeCell ref="B25:B26"/>
    <mergeCell ref="C25:C26"/>
    <mergeCell ref="D25:D26"/>
    <mergeCell ref="G25:G26"/>
    <mergeCell ref="H25:H26"/>
    <mergeCell ref="I25:I26"/>
    <mergeCell ref="J25:J26"/>
    <mergeCell ref="I23:I24"/>
    <mergeCell ref="J23:J24"/>
    <mergeCell ref="K23:K24"/>
    <mergeCell ref="L23:L24"/>
    <mergeCell ref="M23:M24"/>
    <mergeCell ref="N23:N24"/>
    <mergeCell ref="A23:A24"/>
    <mergeCell ref="B23:B24"/>
    <mergeCell ref="C23:C24"/>
    <mergeCell ref="D23:D24"/>
    <mergeCell ref="M25:M26"/>
    <mergeCell ref="N29:N30"/>
    <mergeCell ref="O29:O30"/>
    <mergeCell ref="P29:P30"/>
    <mergeCell ref="O27:O28"/>
    <mergeCell ref="P27:P28"/>
    <mergeCell ref="A29:A30"/>
    <mergeCell ref="B29:B30"/>
    <mergeCell ref="C29:C30"/>
    <mergeCell ref="D29:D30"/>
    <mergeCell ref="G29:G30"/>
    <mergeCell ref="H29:H30"/>
    <mergeCell ref="I29:I30"/>
    <mergeCell ref="J29:J30"/>
    <mergeCell ref="I27:I28"/>
    <mergeCell ref="J27:J28"/>
    <mergeCell ref="K27:K28"/>
    <mergeCell ref="L27:L28"/>
    <mergeCell ref="M27:M28"/>
    <mergeCell ref="N27:N28"/>
    <mergeCell ref="A27:A28"/>
    <mergeCell ref="B27:B28"/>
    <mergeCell ref="C27:C28"/>
    <mergeCell ref="D27:D28"/>
    <mergeCell ref="M29:M30"/>
    <mergeCell ref="M17:M18"/>
    <mergeCell ref="L29:L30"/>
    <mergeCell ref="G27:G28"/>
    <mergeCell ref="H27:H28"/>
    <mergeCell ref="K25:K26"/>
    <mergeCell ref="L25:L26"/>
    <mergeCell ref="G23:G24"/>
    <mergeCell ref="H23:H24"/>
    <mergeCell ref="K21:K22"/>
    <mergeCell ref="L21:L22"/>
    <mergeCell ref="G100:K100"/>
    <mergeCell ref="E13:E14"/>
    <mergeCell ref="F13:F14"/>
    <mergeCell ref="E15:E16"/>
    <mergeCell ref="K29:K30"/>
    <mergeCell ref="G19:G20"/>
    <mergeCell ref="H19:H20"/>
    <mergeCell ref="K17:K18"/>
    <mergeCell ref="K13:K14"/>
    <mergeCell ref="G15:G16"/>
    <mergeCell ref="H15:H16"/>
    <mergeCell ref="F15:F16"/>
    <mergeCell ref="F29:F30"/>
    <mergeCell ref="E29:E30"/>
    <mergeCell ref="E17:E18"/>
    <mergeCell ref="F17:F18"/>
    <mergeCell ref="E19:E20"/>
    <mergeCell ref="F19:F20"/>
    <mergeCell ref="E27:E28"/>
    <mergeCell ref="F27:F28"/>
  </mergeCells>
  <conditionalFormatting sqref="J11 J13 J15 J17 J19 J21 J23 J25 J27 J29">
    <cfRule type="cellIs" dxfId="53" priority="141" operator="equal">
      <formula>"Muy Baja"</formula>
    </cfRule>
    <cfRule type="cellIs" dxfId="52" priority="137" operator="equal">
      <formula>"Muy Alta"</formula>
    </cfRule>
    <cfRule type="cellIs" dxfId="51" priority="138" operator="equal">
      <formula>"Alta"</formula>
    </cfRule>
    <cfRule type="cellIs" dxfId="50" priority="139" operator="equal">
      <formula>"Media"</formula>
    </cfRule>
    <cfRule type="cellIs" dxfId="49" priority="140" operator="equal">
      <formula>"Baja"</formula>
    </cfRule>
  </conditionalFormatting>
  <conditionalFormatting sqref="M11:M30">
    <cfRule type="containsText" dxfId="48" priority="1" operator="containsText" text="❌">
      <formula>NOT(ISERROR(SEARCH("❌",M11)))</formula>
    </cfRule>
  </conditionalFormatting>
  <conditionalFormatting sqref="N11 N13 N15 N17 N19 N21 N23 N25 N27 N29">
    <cfRule type="cellIs" dxfId="47" priority="132" operator="equal">
      <formula>"Catastrófico"</formula>
    </cfRule>
    <cfRule type="cellIs" dxfId="46" priority="133" operator="equal">
      <formula>"Mayor"</formula>
    </cfRule>
    <cfRule type="cellIs" dxfId="45" priority="134" operator="equal">
      <formula>"Moderado"</formula>
    </cfRule>
    <cfRule type="cellIs" dxfId="44" priority="135" operator="equal">
      <formula>"Menor"</formula>
    </cfRule>
    <cfRule type="cellIs" dxfId="43" priority="136" operator="equal">
      <formula>"Leve"</formula>
    </cfRule>
  </conditionalFormatting>
  <conditionalFormatting sqref="P11 P13 P15 P17 P19 P21 P23 P25 P27 P29">
    <cfRule type="cellIs" dxfId="42" priority="128" operator="equal">
      <formula>"Extremo"</formula>
    </cfRule>
    <cfRule type="cellIs" dxfId="41" priority="129" operator="equal">
      <formula>"Alto"</formula>
    </cfRule>
    <cfRule type="cellIs" dxfId="40" priority="130" operator="equal">
      <formula>"Moderado"</formula>
    </cfRule>
    <cfRule type="cellIs" dxfId="39" priority="131" operator="equal">
      <formula>"Bajo"</formula>
    </cfRule>
  </conditionalFormatting>
  <conditionalFormatting sqref="AA11:AA30">
    <cfRule type="cellIs" dxfId="38" priority="11" operator="equal">
      <formula>"Muy Alta"</formula>
    </cfRule>
    <cfRule type="cellIs" dxfId="37" priority="12" operator="equal">
      <formula>"Alta"</formula>
    </cfRule>
    <cfRule type="cellIs" dxfId="36" priority="13" operator="equal">
      <formula>"Media"</formula>
    </cfRule>
    <cfRule type="cellIs" dxfId="35" priority="14" operator="equal">
      <formula>"Baja"</formula>
    </cfRule>
    <cfRule type="cellIs" dxfId="34" priority="15" operator="equal">
      <formula>"Muy Baja"</formula>
    </cfRule>
  </conditionalFormatting>
  <conditionalFormatting sqref="AC11:AC30">
    <cfRule type="cellIs" dxfId="33" priority="6" operator="equal">
      <formula>"Catastrófico"</formula>
    </cfRule>
    <cfRule type="cellIs" dxfId="32" priority="7" operator="equal">
      <formula>"Mayor"</formula>
    </cfRule>
    <cfRule type="cellIs" dxfId="31" priority="8" operator="equal">
      <formula>"Moderado"</formula>
    </cfRule>
    <cfRule type="cellIs" dxfId="30" priority="9" operator="equal">
      <formula>"Menor"</formula>
    </cfRule>
    <cfRule type="cellIs" dxfId="29" priority="10" operator="equal">
      <formula>"Leve"</formula>
    </cfRule>
  </conditionalFormatting>
  <conditionalFormatting sqref="AE11:AE30">
    <cfRule type="cellIs" dxfId="28" priority="2" operator="equal">
      <formula>"Extremo"</formula>
    </cfRule>
    <cfRule type="cellIs" dxfId="27" priority="3" operator="equal">
      <formula>"Alto"</formula>
    </cfRule>
    <cfRule type="cellIs" dxfId="26" priority="4" operator="equal">
      <formula>"Moderado"</formula>
    </cfRule>
    <cfRule type="cellIs" dxfId="25" priority="5" operator="equal">
      <formula>"Bajo"</formula>
    </cfRule>
  </conditionalFormatting>
  <dataValidations count="9">
    <dataValidation type="list" allowBlank="1" showInputMessage="1" showErrorMessage="1" sqref="AF11:AF30" xr:uid="{61425178-967D-47D2-8827-3511F022FABB}">
      <formula1>$J$112:$J$116</formula1>
    </dataValidation>
    <dataValidation type="list" allowBlank="1" showInputMessage="1" showErrorMessage="1" sqref="Y11:Y30" xr:uid="{338453F9-2563-444A-9822-2B3AB57CF934}">
      <formula1>$I$112:$I$113</formula1>
    </dataValidation>
    <dataValidation type="list" allowBlank="1" showInputMessage="1" showErrorMessage="1" sqref="X11:X30" xr:uid="{2DD6B413-E8C7-43F1-969E-2695862CA618}">
      <formula1>$J$107:$J$108</formula1>
    </dataValidation>
    <dataValidation type="list" allowBlank="1" showInputMessage="1" showErrorMessage="1" sqref="W11:W30" xr:uid="{5F9ADCF0-F691-415E-9BEF-A7EB3ED2C64C}">
      <formula1>$I$107:$I$108</formula1>
    </dataValidation>
    <dataValidation type="list" allowBlank="1" showInputMessage="1" showErrorMessage="1" sqref="U11:U30" xr:uid="{88DEBBED-E868-4120-A566-624B5E8AB9EF}">
      <formula1>$J$102:$J$103</formula1>
    </dataValidation>
    <dataValidation type="list" allowBlank="1" showInputMessage="1" showErrorMessage="1" sqref="T11:T30" xr:uid="{006399A3-D615-4542-B8EC-DA0D7C682956}">
      <formula1>$I$102:$I$104</formula1>
    </dataValidation>
    <dataValidation type="list" allowBlank="1" showInputMessage="1" showErrorMessage="1" sqref="H13:H30" xr:uid="{456300D1-635D-4858-BCC2-B0EC9C5CCE16}">
      <formula1>$G$102:$G$108</formula1>
    </dataValidation>
    <dataValidation type="list" allowBlank="1" showInputMessage="1" showErrorMessage="1" sqref="C13:C30 B11:B12" xr:uid="{81F41C71-04E1-4954-B356-CE6A8D581E7D}">
      <formula1>$G$114:$G$116</formula1>
    </dataValidation>
    <dataValidation type="list" allowBlank="1" showInputMessage="1" showErrorMessage="1" sqref="AN11" xr:uid="{C01B0C5C-8606-492B-9231-8F8106C8C8F8}">
      <formula1>$G$119:$G$120</formula1>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Portada</vt:lpstr>
      <vt:lpstr>Datos del proceso</vt:lpstr>
      <vt:lpstr>Intructivo</vt:lpstr>
      <vt:lpstr>Riesg de corrupción</vt:lpstr>
      <vt:lpstr>Riesgos de gestión</vt:lpstr>
      <vt:lpstr>Hoja2</vt:lpstr>
      <vt:lpstr>Riesgo de gestión</vt:lpstr>
      <vt:lpstr>R.corrupción financiera</vt:lpstr>
      <vt:lpstr>Riesgos de segInf</vt:lpstr>
      <vt:lpstr>Riesgos Seguridad D información</vt:lpstr>
      <vt:lpstr>SARLAF</vt:lpstr>
      <vt:lpstr>Tabla probabilidad</vt:lpstr>
      <vt:lpstr>Tabla Impacto</vt:lpstr>
      <vt:lpstr>Tabla Valoración controles</vt:lpstr>
      <vt:lpstr>Matrices</vt:lpstr>
      <vt:lpstr>Matriz Calor Inherente</vt:lpstr>
      <vt:lpstr>Matriz Calor Residual</vt:lpstr>
      <vt:lpstr>Opciones Tratamiento</vt:lpstr>
      <vt:lpstr>Hoja1</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cp:lastPrinted>2020-05-13T01:12:22Z</cp:lastPrinted>
  <dcterms:created xsi:type="dcterms:W3CDTF">2020-03-24T23:12:47Z</dcterms:created>
  <dcterms:modified xsi:type="dcterms:W3CDTF">2023-01-26T20:44:41Z</dcterms:modified>
</cp:coreProperties>
</file>