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richData/rdRichValueTypes.xml" ContentType="application/vnd.ms-excel.rdrichvaluetypes+xml"/>
  <Override PartName="/xl/richData/rdrichvalue.xml" ContentType="application/vnd.ms-excel.rdrichvalue+xml"/>
  <Override PartName="/xl/richData/rdrichvaluestructure.xml" ContentType="application/vnd.ms-excel.rdrichvaluestructur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hidePivotFieldList="1" defaultThemeVersion="124226"/>
  <mc:AlternateContent xmlns:mc="http://schemas.openxmlformats.org/markup-compatibility/2006">
    <mc:Choice Requires="x15">
      <x15ac:absPath xmlns:x15ac="http://schemas.microsoft.com/office/spreadsheetml/2010/11/ac" url="C:\Users\Usuario\Desktop\FUGA 2023\Enero 2-2023\Evidencia 1\Riesgos corrupción\"/>
    </mc:Choice>
  </mc:AlternateContent>
  <xr:revisionPtr revIDLastSave="0" documentId="13_ncr:1_{D827C086-C938-46A6-980F-18D271FADB09}" xr6:coauthVersionLast="47" xr6:coauthVersionMax="47" xr10:uidLastSave="{00000000-0000-0000-0000-000000000000}"/>
  <bookViews>
    <workbookView xWindow="-120" yWindow="-120" windowWidth="20730" windowHeight="11160" tabRatio="747" firstSheet="7" activeTab="10" xr2:uid="{00000000-000D-0000-FFFF-FFFF00000000}"/>
  </bookViews>
  <sheets>
    <sheet name="Portada" sheetId="24" r:id="rId1"/>
    <sheet name="Datos del proceso" sheetId="21" r:id="rId2"/>
    <sheet name="Intructivo" sheetId="20" r:id="rId3"/>
    <sheet name="Riesg de corrupción" sheetId="30" state="hidden" r:id="rId4"/>
    <sheet name="Riesgos de gestión" sheetId="1" state="hidden" r:id="rId5"/>
    <sheet name="Riesgo de gestión" sheetId="26" r:id="rId6"/>
    <sheet name="R.corrupción estimulos" sheetId="36" r:id="rId7"/>
    <sheet name="R.corrupción alquiler" sheetId="32" r:id="rId8"/>
    <sheet name="R. corrupción formación" sheetId="34" r:id="rId9"/>
    <sheet name="R.corrupción expo" sheetId="35" r:id="rId10"/>
    <sheet name="R.corrupción nuevo" sheetId="37" r:id="rId11"/>
    <sheet name="Riesgos de segInf" sheetId="31" r:id="rId12"/>
    <sheet name="Riesgos Seguridad D información" sheetId="23" state="hidden" r:id="rId13"/>
    <sheet name="SARLAF" sheetId="25" r:id="rId14"/>
    <sheet name="Tabla probabilidad" sheetId="12" r:id="rId15"/>
    <sheet name="Tabla Impacto" sheetId="13" r:id="rId16"/>
    <sheet name="Tabla Valoración controles" sheetId="15" r:id="rId17"/>
    <sheet name="Matrices" sheetId="28" r:id="rId18"/>
    <sheet name="Matriz Calor Inherente" sheetId="18" r:id="rId19"/>
    <sheet name="Matriz Calor Residual" sheetId="19" r:id="rId20"/>
    <sheet name="Opciones Tratamiento" sheetId="16" state="hidden" r:id="rId21"/>
    <sheet name="Hoja1" sheetId="11" state="hidden" r:id="rId22"/>
  </sheets>
  <externalReferences>
    <externalReference r:id="rId23"/>
    <externalReference r:id="rId24"/>
    <externalReference r:id="rId25"/>
  </externalReferences>
  <definedNames>
    <definedName name="_xlnm._FilterDatabase" localSheetId="1" hidden="1">'Datos del proceso'!$A$9:$I$9</definedName>
    <definedName name="Clase">[1]CONTROL!$R$8:$R$9</definedName>
    <definedName name="Documentación">[1]CONTROL!$L$2:$L$3</definedName>
    <definedName name="EVIDENCIA">[1]CONTROL!$N$3:$N$5</definedName>
    <definedName name="FRECUENCIA">[1]CONTROL!$L$9:$L$10</definedName>
    <definedName name="HALLAZGO_AUDITORIA_ANTERIOR">[1]CONTROL!$X$19:$X$20</definedName>
    <definedName name="Impacto_1">[1]RIESGOS!$C$5:$C$7</definedName>
    <definedName name="INCORECCIONES">[1]CONTROL!$T$20:$T$22</definedName>
    <definedName name="OBJETIVO">[1]CONTROL!$I$2:$I$5</definedName>
    <definedName name="Riesgo">[1]CONTROL!$K$28:$K$29</definedName>
    <definedName name="Segregación2">[1]CONTROL!$R$12:$R$13</definedName>
    <definedName name="TIPO_CONTROL">[1]CONTROL!$N$23:$N$24</definedName>
  </definedNames>
  <calcPr calcId="191029"/>
  <pivotCaches>
    <pivotCache cacheId="0" r:id="rId26"/>
  </pivotCaches>
</workbook>
</file>

<file path=xl/calcChain.xml><?xml version="1.0" encoding="utf-8"?>
<calcChain xmlns="http://schemas.openxmlformats.org/spreadsheetml/2006/main">
  <c r="S23" i="34" l="1"/>
  <c r="H60" i="37"/>
  <c r="F22" i="37" s="1"/>
  <c r="O23" i="37"/>
  <c r="L23" i="37"/>
  <c r="W25" i="37" s="1"/>
  <c r="V25" i="37" s="1"/>
  <c r="O22" i="37"/>
  <c r="L22" i="37"/>
  <c r="C22" i="37"/>
  <c r="D22" i="37" s="1"/>
  <c r="G9" i="37"/>
  <c r="G8" i="37"/>
  <c r="V11" i="31"/>
  <c r="S11" i="31"/>
  <c r="Z11" i="31" s="1"/>
  <c r="T15" i="26"/>
  <c r="Q15" i="26"/>
  <c r="L15" i="26"/>
  <c r="M15" i="26" s="1"/>
  <c r="H15" i="26"/>
  <c r="I15" i="26" s="1"/>
  <c r="T12" i="26"/>
  <c r="Q12" i="26"/>
  <c r="L12" i="26"/>
  <c r="M12" i="26" s="1"/>
  <c r="G12" i="26"/>
  <c r="H12" i="26" s="1"/>
  <c r="N12" i="26" s="1"/>
  <c r="T11" i="26"/>
  <c r="Q11" i="26"/>
  <c r="L11" i="26"/>
  <c r="M11" i="26" s="1"/>
  <c r="G11" i="26"/>
  <c r="H11" i="26" s="1"/>
  <c r="L23" i="34"/>
  <c r="H61" i="34"/>
  <c r="F23" i="34" s="1"/>
  <c r="H62" i="36"/>
  <c r="F24" i="36" s="1"/>
  <c r="L24" i="36"/>
  <c r="D24" i="36"/>
  <c r="E24" i="36" s="1"/>
  <c r="O24" i="36"/>
  <c r="O25" i="36"/>
  <c r="L25" i="36"/>
  <c r="D27" i="36"/>
  <c r="G9" i="36"/>
  <c r="G8" i="36"/>
  <c r="L22" i="35"/>
  <c r="O22" i="35"/>
  <c r="C22" i="35"/>
  <c r="D22" i="35"/>
  <c r="E22" i="35"/>
  <c r="S22" i="35" s="1"/>
  <c r="T22" i="35" s="1"/>
  <c r="O23" i="35"/>
  <c r="S24" i="35"/>
  <c r="S25" i="35" s="1"/>
  <c r="L23" i="35"/>
  <c r="W25" i="35"/>
  <c r="V25" i="35"/>
  <c r="S23" i="35"/>
  <c r="T23" i="35" s="1"/>
  <c r="X23" i="35" s="1"/>
  <c r="W23" i="35"/>
  <c r="V23" i="35"/>
  <c r="U23" i="35"/>
  <c r="H60" i="35"/>
  <c r="F22" i="35"/>
  <c r="U22" i="35"/>
  <c r="O23" i="34"/>
  <c r="D23" i="34"/>
  <c r="E23" i="34" s="1"/>
  <c r="O24" i="34"/>
  <c r="L24" i="34"/>
  <c r="W24" i="34" s="1"/>
  <c r="V24" i="34" s="1"/>
  <c r="L24" i="32"/>
  <c r="W26" i="32" s="1"/>
  <c r="V26" i="32" s="1"/>
  <c r="O24" i="32"/>
  <c r="L23" i="32"/>
  <c r="C23" i="32"/>
  <c r="D23" i="32"/>
  <c r="E23" i="32"/>
  <c r="O23" i="32"/>
  <c r="S23" i="32"/>
  <c r="T23" i="32"/>
  <c r="D25" i="35"/>
  <c r="G9" i="35"/>
  <c r="G8" i="35"/>
  <c r="D26" i="34"/>
  <c r="G9" i="34"/>
  <c r="G8" i="34"/>
  <c r="H61" i="32"/>
  <c r="F23" i="32"/>
  <c r="T10" i="26"/>
  <c r="Q10" i="26"/>
  <c r="H10" i="26"/>
  <c r="I10" i="26" s="1"/>
  <c r="L10" i="26"/>
  <c r="M10" i="26" s="1"/>
  <c r="X16" i="26"/>
  <c r="Y16" i="26" s="1"/>
  <c r="AB16" i="26"/>
  <c r="AA16" i="26" s="1"/>
  <c r="X18" i="26"/>
  <c r="Y18" i="26" s="1"/>
  <c r="AB18" i="26"/>
  <c r="AA18" i="26" s="1"/>
  <c r="X19" i="26"/>
  <c r="Y19" i="26" s="1"/>
  <c r="AB19" i="26"/>
  <c r="AA19" i="26" s="1"/>
  <c r="X20" i="26"/>
  <c r="Y20" i="26" s="1"/>
  <c r="AB20" i="26"/>
  <c r="AA20" i="26" s="1"/>
  <c r="D26" i="32"/>
  <c r="G9" i="32"/>
  <c r="G8" i="32"/>
  <c r="L20" i="26"/>
  <c r="L18" i="26"/>
  <c r="M18" i="26" s="1"/>
  <c r="L16" i="26"/>
  <c r="M16" i="26" s="1"/>
  <c r="C6" i="26"/>
  <c r="V30" i="31"/>
  <c r="S30" i="31"/>
  <c r="M30" i="31"/>
  <c r="V29" i="31"/>
  <c r="S29" i="31"/>
  <c r="N29" i="31"/>
  <c r="O29" i="31"/>
  <c r="M29" i="31"/>
  <c r="J29" i="31"/>
  <c r="V28" i="31"/>
  <c r="S28" i="31"/>
  <c r="M28" i="31"/>
  <c r="V27" i="31"/>
  <c r="S27" i="31"/>
  <c r="AD27" i="31"/>
  <c r="AC27" i="31"/>
  <c r="N27" i="31"/>
  <c r="M27" i="31"/>
  <c r="J27" i="31"/>
  <c r="K27" i="31"/>
  <c r="V26" i="31"/>
  <c r="S26" i="31"/>
  <c r="M26" i="31"/>
  <c r="V25" i="31"/>
  <c r="S25" i="31"/>
  <c r="AD25" i="31"/>
  <c r="AC25" i="31"/>
  <c r="N25" i="31"/>
  <c r="O25" i="31"/>
  <c r="M25" i="31"/>
  <c r="J25" i="31"/>
  <c r="K25" i="31"/>
  <c r="V24" i="31"/>
  <c r="S24" i="31"/>
  <c r="M24" i="31"/>
  <c r="V23" i="31"/>
  <c r="S23" i="31"/>
  <c r="Z23" i="31"/>
  <c r="N23" i="31"/>
  <c r="O23" i="31"/>
  <c r="M23" i="31"/>
  <c r="J23" i="31"/>
  <c r="K23" i="31"/>
  <c r="V22" i="31"/>
  <c r="S22" i="31"/>
  <c r="M22" i="31"/>
  <c r="V21" i="31"/>
  <c r="S21" i="31"/>
  <c r="N21" i="31"/>
  <c r="O21" i="31"/>
  <c r="M21" i="31"/>
  <c r="J21" i="31"/>
  <c r="K21" i="31"/>
  <c r="V20" i="31"/>
  <c r="S20" i="31"/>
  <c r="M20" i="31"/>
  <c r="V19" i="31"/>
  <c r="S19" i="31"/>
  <c r="Z19" i="31"/>
  <c r="AA19" i="31" s="1"/>
  <c r="AE19" i="31" s="1"/>
  <c r="AB19" i="31"/>
  <c r="N19" i="31"/>
  <c r="O19" i="31"/>
  <c r="M19" i="31"/>
  <c r="J19" i="31"/>
  <c r="V18" i="31"/>
  <c r="S18" i="31"/>
  <c r="M18" i="31"/>
  <c r="V17" i="31"/>
  <c r="S17" i="31"/>
  <c r="Z17" i="31"/>
  <c r="N17" i="31"/>
  <c r="O17" i="31"/>
  <c r="M17" i="31"/>
  <c r="J17" i="31"/>
  <c r="V16" i="31"/>
  <c r="S16" i="31"/>
  <c r="M16" i="31"/>
  <c r="V15" i="31"/>
  <c r="S15" i="31"/>
  <c r="AD15" i="31"/>
  <c r="AC15" i="31" s="1"/>
  <c r="N15" i="31"/>
  <c r="O15" i="31"/>
  <c r="M15" i="31"/>
  <c r="J15" i="31"/>
  <c r="K15" i="31"/>
  <c r="V14" i="31"/>
  <c r="S14" i="31"/>
  <c r="M14" i="31"/>
  <c r="V13" i="31"/>
  <c r="S13" i="31"/>
  <c r="AD13" i="31"/>
  <c r="AC13" i="31" s="1"/>
  <c r="AE13" i="31" s="1"/>
  <c r="N13" i="31"/>
  <c r="O13" i="31"/>
  <c r="M13" i="31"/>
  <c r="J13" i="31"/>
  <c r="V12" i="31"/>
  <c r="S12" i="31"/>
  <c r="M12" i="31"/>
  <c r="N11" i="31"/>
  <c r="O11" i="31" s="1"/>
  <c r="AD11" i="31" s="1"/>
  <c r="M11" i="31"/>
  <c r="J11" i="31"/>
  <c r="K11" i="31" s="1"/>
  <c r="C7" i="31"/>
  <c r="C6" i="31"/>
  <c r="F10" i="23"/>
  <c r="F9" i="23"/>
  <c r="F17" i="30"/>
  <c r="I17" i="30"/>
  <c r="K17" i="30"/>
  <c r="L17" i="30"/>
  <c r="M17" i="30"/>
  <c r="K18" i="30"/>
  <c r="T30" i="30"/>
  <c r="Q30" i="30"/>
  <c r="K30" i="30"/>
  <c r="T29" i="30"/>
  <c r="Q29" i="30"/>
  <c r="L29" i="30"/>
  <c r="M29" i="30"/>
  <c r="K29" i="30"/>
  <c r="H29" i="30"/>
  <c r="I29" i="30"/>
  <c r="T28" i="30"/>
  <c r="Q28" i="30"/>
  <c r="K28" i="30"/>
  <c r="T27" i="30"/>
  <c r="Q27" i="30"/>
  <c r="X27" i="30"/>
  <c r="L27" i="30"/>
  <c r="M27" i="30"/>
  <c r="K27" i="30"/>
  <c r="I27" i="30"/>
  <c r="T26" i="30"/>
  <c r="Q26" i="30"/>
  <c r="K26" i="30"/>
  <c r="T25" i="30"/>
  <c r="Q25" i="30"/>
  <c r="L25" i="30"/>
  <c r="M25" i="30"/>
  <c r="K25" i="30"/>
  <c r="H25" i="30"/>
  <c r="N25" i="30" s="1"/>
  <c r="T24" i="30"/>
  <c r="Q24" i="30"/>
  <c r="K24" i="30"/>
  <c r="T23" i="30"/>
  <c r="Q23" i="30"/>
  <c r="X23" i="30"/>
  <c r="L23" i="30"/>
  <c r="M23" i="30"/>
  <c r="K23" i="30"/>
  <c r="H23" i="30"/>
  <c r="T22" i="30"/>
  <c r="Q22" i="30"/>
  <c r="K22" i="30"/>
  <c r="T21" i="30"/>
  <c r="Q21" i="30"/>
  <c r="AB22" i="30" s="1"/>
  <c r="L21" i="30"/>
  <c r="K21" i="30"/>
  <c r="H21" i="30"/>
  <c r="I21" i="30"/>
  <c r="T20" i="30"/>
  <c r="Q20" i="30"/>
  <c r="K20" i="30"/>
  <c r="T19" i="30"/>
  <c r="Q19" i="30"/>
  <c r="AB19" i="30"/>
  <c r="AA19" i="30" s="1"/>
  <c r="L19" i="30"/>
  <c r="M19" i="30"/>
  <c r="K19" i="30"/>
  <c r="H19" i="30"/>
  <c r="I19" i="30"/>
  <c r="T18" i="30"/>
  <c r="Q18" i="30"/>
  <c r="T17" i="30"/>
  <c r="Q17" i="30"/>
  <c r="C6" i="30"/>
  <c r="C5" i="30"/>
  <c r="H16" i="26"/>
  <c r="K16" i="26"/>
  <c r="K17" i="26"/>
  <c r="H18" i="26"/>
  <c r="K18" i="26"/>
  <c r="K19" i="26"/>
  <c r="H20" i="26"/>
  <c r="I20" i="26" s="1"/>
  <c r="K20" i="26"/>
  <c r="M20" i="26"/>
  <c r="H21" i="26"/>
  <c r="K21" i="26"/>
  <c r="L21" i="26"/>
  <c r="M21" i="26" s="1"/>
  <c r="K22" i="26"/>
  <c r="H23" i="26"/>
  <c r="K23" i="26"/>
  <c r="L23" i="26"/>
  <c r="M23" i="26" s="1"/>
  <c r="H24" i="26"/>
  <c r="I24" i="26" s="1"/>
  <c r="K24" i="26"/>
  <c r="L24" i="26"/>
  <c r="K25" i="26"/>
  <c r="H26" i="26"/>
  <c r="I26" i="26" s="1"/>
  <c r="K26" i="26"/>
  <c r="L26" i="26"/>
  <c r="M26" i="26" s="1"/>
  <c r="K27" i="26"/>
  <c r="C5" i="26"/>
  <c r="F72" i="25"/>
  <c r="G72" i="25"/>
  <c r="E72" i="25"/>
  <c r="E73" i="25"/>
  <c r="E74" i="25" s="1"/>
  <c r="E22" i="25"/>
  <c r="E23" i="25"/>
  <c r="F22" i="25"/>
  <c r="G22" i="25"/>
  <c r="T27" i="26"/>
  <c r="Q27" i="26"/>
  <c r="T26" i="26"/>
  <c r="Q26" i="26"/>
  <c r="AB26" i="26" s="1"/>
  <c r="AA26" i="26" s="1"/>
  <c r="T25" i="26"/>
  <c r="Q25" i="26"/>
  <c r="T24" i="26"/>
  <c r="Q24" i="26"/>
  <c r="X24" i="26" s="1"/>
  <c r="T23" i="26"/>
  <c r="Q23" i="26"/>
  <c r="X23" i="26" s="1"/>
  <c r="T22" i="26"/>
  <c r="Q22" i="26"/>
  <c r="T21" i="26"/>
  <c r="Q21" i="26"/>
  <c r="AB21" i="26" s="1"/>
  <c r="AA21" i="26" s="1"/>
  <c r="T20" i="26"/>
  <c r="T19" i="26"/>
  <c r="T18" i="26"/>
  <c r="T16" i="26"/>
  <c r="K10" i="26"/>
  <c r="K59" i="23"/>
  <c r="I59" i="23"/>
  <c r="G59" i="23"/>
  <c r="K56" i="23"/>
  <c r="I56" i="23"/>
  <c r="G56" i="23"/>
  <c r="K54" i="23"/>
  <c r="I54" i="23"/>
  <c r="G54" i="23"/>
  <c r="K51" i="23"/>
  <c r="I51" i="23"/>
  <c r="G51" i="23"/>
  <c r="K49" i="23"/>
  <c r="I49" i="23"/>
  <c r="I61" i="23" s="1"/>
  <c r="I62" i="23" s="1"/>
  <c r="I29" i="23" s="1"/>
  <c r="N29" i="23" s="1"/>
  <c r="O29" i="23" s="1"/>
  <c r="G49" i="23"/>
  <c r="K47" i="23"/>
  <c r="I47" i="23"/>
  <c r="G47" i="23"/>
  <c r="K45" i="23"/>
  <c r="I45" i="23"/>
  <c r="G45" i="23"/>
  <c r="M33" i="23"/>
  <c r="I33" i="23"/>
  <c r="M29" i="23"/>
  <c r="AC23" i="23"/>
  <c r="V25" i="23"/>
  <c r="M25" i="23"/>
  <c r="F25" i="23"/>
  <c r="N33" i="23"/>
  <c r="O33" i="23"/>
  <c r="AD22" i="31"/>
  <c r="AC22" i="31"/>
  <c r="P29" i="31"/>
  <c r="AD16" i="31"/>
  <c r="AC16" i="31"/>
  <c r="AE16" i="31" s="1"/>
  <c r="P17" i="31"/>
  <c r="AD19" i="31"/>
  <c r="AC19" i="31"/>
  <c r="K29" i="31"/>
  <c r="Z14" i="31"/>
  <c r="AB14" i="31" s="1"/>
  <c r="P19" i="31"/>
  <c r="Z25" i="31"/>
  <c r="AA25" i="31"/>
  <c r="AE25" i="31" s="1"/>
  <c r="Z24" i="31"/>
  <c r="AB24" i="31" s="1"/>
  <c r="AD26" i="31"/>
  <c r="AC26" i="31"/>
  <c r="P13" i="31"/>
  <c r="Z21" i="31"/>
  <c r="AB21" i="31"/>
  <c r="AD20" i="31"/>
  <c r="AC20" i="31"/>
  <c r="K13" i="31"/>
  <c r="P15" i="31"/>
  <c r="P27" i="31"/>
  <c r="AD30" i="31"/>
  <c r="AC30" i="31" s="1"/>
  <c r="Z26" i="31"/>
  <c r="AB26" i="31"/>
  <c r="Z28" i="31"/>
  <c r="AB28" i="31"/>
  <c r="AD28" i="31"/>
  <c r="AC28" i="31"/>
  <c r="AE28" i="31" s="1"/>
  <c r="AD14" i="31"/>
  <c r="AC14" i="31" s="1"/>
  <c r="Z22" i="31"/>
  <c r="AA22" i="31"/>
  <c r="AD23" i="31"/>
  <c r="AC23" i="31"/>
  <c r="AD29" i="31"/>
  <c r="AC29" i="31"/>
  <c r="P23" i="31"/>
  <c r="AA23" i="31"/>
  <c r="AB23" i="31"/>
  <c r="AB17" i="31"/>
  <c r="AA17" i="31"/>
  <c r="AE17" i="31" s="1"/>
  <c r="Z20" i="31"/>
  <c r="Z15" i="31"/>
  <c r="K17" i="31"/>
  <c r="Z18" i="31"/>
  <c r="P25" i="31"/>
  <c r="Z13" i="31"/>
  <c r="Z16" i="31"/>
  <c r="AD21" i="31"/>
  <c r="AC21" i="31"/>
  <c r="AD24" i="31"/>
  <c r="AC24" i="31" s="1"/>
  <c r="Z29" i="31"/>
  <c r="K19" i="31"/>
  <c r="P21" i="31"/>
  <c r="Z27" i="31"/>
  <c r="AB27" i="31" s="1"/>
  <c r="Z30" i="31"/>
  <c r="AA30" i="31" s="1"/>
  <c r="AE30" i="31" s="1"/>
  <c r="O27" i="31"/>
  <c r="AD17" i="31"/>
  <c r="AC17" i="31"/>
  <c r="AD18" i="31"/>
  <c r="AC18" i="31" s="1"/>
  <c r="N17" i="30"/>
  <c r="AB30" i="30"/>
  <c r="AA30" i="30" s="1"/>
  <c r="AB23" i="30"/>
  <c r="AA23" i="30"/>
  <c r="X22" i="30"/>
  <c r="Y22" i="30" s="1"/>
  <c r="AC22" i="30" s="1"/>
  <c r="N21" i="30"/>
  <c r="X19" i="30"/>
  <c r="Z19" i="30" s="1"/>
  <c r="AB24" i="30"/>
  <c r="AA24" i="30"/>
  <c r="X17" i="30"/>
  <c r="Z17" i="30"/>
  <c r="X18" i="30" s="1"/>
  <c r="Y18" i="30" s="1"/>
  <c r="X26" i="30"/>
  <c r="Y26" i="30" s="1"/>
  <c r="AC26" i="30" s="1"/>
  <c r="N27" i="30"/>
  <c r="AB17" i="30"/>
  <c r="AA17" i="30"/>
  <c r="AC17" i="30" s="1"/>
  <c r="AB20" i="30"/>
  <c r="AA20" i="30"/>
  <c r="X25" i="30"/>
  <c r="Z25" i="30"/>
  <c r="N29" i="30"/>
  <c r="N23" i="30"/>
  <c r="AB28" i="30"/>
  <c r="AA28" i="30"/>
  <c r="AA22" i="30"/>
  <c r="AB26" i="30"/>
  <c r="AA26" i="30"/>
  <c r="AB25" i="30"/>
  <c r="AA25" i="30" s="1"/>
  <c r="AC25" i="30" s="1"/>
  <c r="AB27" i="30"/>
  <c r="AA27" i="30"/>
  <c r="AC27" i="30" s="1"/>
  <c r="X20" i="30"/>
  <c r="Z20" i="30"/>
  <c r="X30" i="30"/>
  <c r="Y30" i="30" s="1"/>
  <c r="AC30" i="30" s="1"/>
  <c r="X28" i="30"/>
  <c r="Z28" i="30"/>
  <c r="Z27" i="30"/>
  <c r="Y27" i="30"/>
  <c r="N19" i="30"/>
  <c r="I25" i="30"/>
  <c r="X21" i="30"/>
  <c r="Z21" i="30" s="1"/>
  <c r="I23" i="30"/>
  <c r="X24" i="30"/>
  <c r="AB29" i="30"/>
  <c r="AA29" i="30" s="1"/>
  <c r="M21" i="30"/>
  <c r="X29" i="30"/>
  <c r="I16" i="26"/>
  <c r="AA28" i="31"/>
  <c r="AE22" i="31"/>
  <c r="AA14" i="31"/>
  <c r="AA26" i="31"/>
  <c r="AE26" i="31" s="1"/>
  <c r="AA21" i="31"/>
  <c r="AE21" i="31" s="1"/>
  <c r="AE23" i="31"/>
  <c r="AB25" i="31"/>
  <c r="AB22" i="31"/>
  <c r="AA27" i="31"/>
  <c r="AE27" i="31" s="1"/>
  <c r="AB18" i="31"/>
  <c r="AA18" i="31"/>
  <c r="AE18" i="31" s="1"/>
  <c r="AB20" i="31"/>
  <c r="AA20" i="31"/>
  <c r="AB30" i="31"/>
  <c r="AB13" i="31"/>
  <c r="AA13" i="31"/>
  <c r="AB29" i="31"/>
  <c r="AA29" i="31"/>
  <c r="AE29" i="31"/>
  <c r="AB15" i="31"/>
  <c r="AA15" i="31"/>
  <c r="AE15" i="31" s="1"/>
  <c r="AB16" i="31"/>
  <c r="AA16" i="31"/>
  <c r="Z26" i="30"/>
  <c r="Z22" i="30"/>
  <c r="Y28" i="30"/>
  <c r="AC28" i="30" s="1"/>
  <c r="AB18" i="30"/>
  <c r="AA18" i="30" s="1"/>
  <c r="Y20" i="30"/>
  <c r="Y19" i="30"/>
  <c r="AC19" i="30" s="1"/>
  <c r="Y17" i="30"/>
  <c r="Z30" i="30"/>
  <c r="Y25" i="30"/>
  <c r="Z18" i="30"/>
  <c r="Z24" i="30"/>
  <c r="Y24" i="30"/>
  <c r="AC24" i="30"/>
  <c r="Y21" i="30"/>
  <c r="Y29" i="30"/>
  <c r="AC29" i="30" s="1"/>
  <c r="Z29" i="30"/>
  <c r="T10" i="1"/>
  <c r="Q10" i="1"/>
  <c r="H10" i="1"/>
  <c r="I10" i="1"/>
  <c r="X10" i="1" s="1"/>
  <c r="K62" i="1"/>
  <c r="K59" i="1"/>
  <c r="K57" i="1"/>
  <c r="K31" i="1"/>
  <c r="K69" i="1"/>
  <c r="K17" i="1"/>
  <c r="K29" i="1"/>
  <c r="K49" i="1"/>
  <c r="K60" i="1"/>
  <c r="K54" i="1"/>
  <c r="K30" i="1"/>
  <c r="K38" i="1"/>
  <c r="K48" i="1"/>
  <c r="K27" i="1"/>
  <c r="K35" i="1"/>
  <c r="K63" i="1"/>
  <c r="K47" i="1"/>
  <c r="K56" i="1"/>
  <c r="K39" i="1"/>
  <c r="K24" i="1"/>
  <c r="K65" i="1"/>
  <c r="K50" i="1"/>
  <c r="K66" i="1"/>
  <c r="K37" i="1"/>
  <c r="K41" i="1"/>
  <c r="K21" i="1"/>
  <c r="K19" i="1"/>
  <c r="K55" i="1"/>
  <c r="K18" i="1"/>
  <c r="K32" i="1"/>
  <c r="K26" i="1"/>
  <c r="K33" i="1"/>
  <c r="K42" i="1"/>
  <c r="K20" i="1"/>
  <c r="K36" i="1"/>
  <c r="K67" i="1"/>
  <c r="K23" i="1"/>
  <c r="K68" i="1"/>
  <c r="K53" i="1"/>
  <c r="K43" i="1"/>
  <c r="K25" i="1"/>
  <c r="K51" i="1"/>
  <c r="K61" i="1"/>
  <c r="K44" i="1"/>
  <c r="K45" i="1"/>
  <c r="F221" i="13"/>
  <c r="F211" i="13"/>
  <c r="F212" i="13"/>
  <c r="F213" i="13"/>
  <c r="F214" i="13"/>
  <c r="F215" i="13"/>
  <c r="F216" i="13"/>
  <c r="F217" i="13"/>
  <c r="F218" i="13"/>
  <c r="F219" i="13"/>
  <c r="F220" i="13"/>
  <c r="F210" i="13"/>
  <c r="K15" i="1"/>
  <c r="K14" i="1"/>
  <c r="K11" i="1"/>
  <c r="K12" i="1"/>
  <c r="B221" i="13" a="1"/>
  <c r="B222" i="13" s="1"/>
  <c r="K13" i="1"/>
  <c r="Q52" i="1"/>
  <c r="Q47" i="1"/>
  <c r="Q41" i="1"/>
  <c r="X42" i="1" s="1"/>
  <c r="Z42" i="1" s="1"/>
  <c r="AL44" i="18"/>
  <c r="AJ44" i="18"/>
  <c r="AF44" i="18"/>
  <c r="AD44" i="18"/>
  <c r="Z44" i="18"/>
  <c r="X44" i="18"/>
  <c r="T44" i="18"/>
  <c r="R44" i="18"/>
  <c r="N44" i="18"/>
  <c r="L44" i="18"/>
  <c r="AL36" i="18"/>
  <c r="AJ36" i="18"/>
  <c r="AF36" i="18"/>
  <c r="AD36" i="18"/>
  <c r="Z36" i="18"/>
  <c r="X36" i="18"/>
  <c r="T36" i="18"/>
  <c r="R36" i="18"/>
  <c r="N36" i="18"/>
  <c r="L36" i="18"/>
  <c r="AL28" i="18"/>
  <c r="AJ28" i="18"/>
  <c r="AF28" i="18"/>
  <c r="AD28" i="18"/>
  <c r="Z28" i="18"/>
  <c r="X28" i="18"/>
  <c r="T28" i="18"/>
  <c r="R28" i="18"/>
  <c r="N28" i="18"/>
  <c r="L28" i="18"/>
  <c r="AL20" i="18"/>
  <c r="AJ20" i="18"/>
  <c r="AF20" i="18"/>
  <c r="AD20" i="18"/>
  <c r="Z20" i="18"/>
  <c r="X20" i="18"/>
  <c r="T20" i="18"/>
  <c r="R20" i="18"/>
  <c r="N20" i="18"/>
  <c r="L20" i="18"/>
  <c r="AL12" i="18"/>
  <c r="AJ12" i="18"/>
  <c r="AF12" i="18"/>
  <c r="AD12" i="18"/>
  <c r="Z12" i="18"/>
  <c r="X12" i="18"/>
  <c r="T12" i="18"/>
  <c r="R12" i="18"/>
  <c r="N12" i="18"/>
  <c r="L12" i="18"/>
  <c r="H210" i="13"/>
  <c r="T69" i="1"/>
  <c r="Q69" i="1"/>
  <c r="T68" i="1"/>
  <c r="Q68" i="1"/>
  <c r="T67" i="1"/>
  <c r="Q67" i="1"/>
  <c r="T66" i="1"/>
  <c r="Q66" i="1"/>
  <c r="X67" i="1" s="1"/>
  <c r="T65" i="1"/>
  <c r="Q65" i="1"/>
  <c r="T64" i="1"/>
  <c r="Q64" i="1"/>
  <c r="H64" i="1"/>
  <c r="I64" i="1" s="1"/>
  <c r="T63" i="1"/>
  <c r="Q63" i="1"/>
  <c r="T62" i="1"/>
  <c r="Q62" i="1"/>
  <c r="X62" i="1" s="1"/>
  <c r="T61" i="1"/>
  <c r="Q61" i="1"/>
  <c r="T60" i="1"/>
  <c r="Q60" i="1"/>
  <c r="T59" i="1"/>
  <c r="Q59" i="1"/>
  <c r="T58" i="1"/>
  <c r="Q58" i="1"/>
  <c r="H58" i="1"/>
  <c r="I58" i="1"/>
  <c r="T57" i="1"/>
  <c r="Q57" i="1"/>
  <c r="T56" i="1"/>
  <c r="Q56" i="1"/>
  <c r="X57" i="1" s="1"/>
  <c r="T55" i="1"/>
  <c r="Q55" i="1"/>
  <c r="T54" i="1"/>
  <c r="Q54" i="1"/>
  <c r="T53" i="1"/>
  <c r="Q53" i="1"/>
  <c r="T52" i="1"/>
  <c r="H52" i="1"/>
  <c r="I52" i="1"/>
  <c r="T51" i="1"/>
  <c r="Q51" i="1"/>
  <c r="T50" i="1"/>
  <c r="Q50" i="1"/>
  <c r="T49" i="1"/>
  <c r="Q49" i="1"/>
  <c r="T48" i="1"/>
  <c r="Q48" i="1"/>
  <c r="T47" i="1"/>
  <c r="T46" i="1"/>
  <c r="Q46" i="1"/>
  <c r="H46" i="1"/>
  <c r="I46" i="1" s="1"/>
  <c r="T45" i="1"/>
  <c r="Q45" i="1"/>
  <c r="AB45" i="1" s="1"/>
  <c r="T44" i="1"/>
  <c r="Q44" i="1"/>
  <c r="T43" i="1"/>
  <c r="Q43" i="1"/>
  <c r="T42" i="1"/>
  <c r="Q42" i="1"/>
  <c r="T41" i="1"/>
  <c r="T40" i="1"/>
  <c r="Q40" i="1"/>
  <c r="H40" i="1"/>
  <c r="I40" i="1" s="1"/>
  <c r="T39" i="1"/>
  <c r="Q39" i="1"/>
  <c r="AB39" i="1" s="1"/>
  <c r="AA39" i="1" s="1"/>
  <c r="T38" i="1"/>
  <c r="Q38" i="1"/>
  <c r="T37" i="1"/>
  <c r="Q37" i="1"/>
  <c r="T36" i="1"/>
  <c r="Q36" i="1"/>
  <c r="T35" i="1"/>
  <c r="Q35" i="1"/>
  <c r="X36" i="1" s="1"/>
  <c r="T34" i="1"/>
  <c r="Q34" i="1"/>
  <c r="H34" i="1"/>
  <c r="I34" i="1" s="1"/>
  <c r="T33" i="1"/>
  <c r="Q33" i="1"/>
  <c r="T32" i="1"/>
  <c r="Q32" i="1"/>
  <c r="T31" i="1"/>
  <c r="Q31" i="1"/>
  <c r="AB32" i="1" s="1"/>
  <c r="AA32" i="1" s="1"/>
  <c r="T30" i="1"/>
  <c r="Q30" i="1"/>
  <c r="T29" i="1"/>
  <c r="Q29" i="1"/>
  <c r="T28" i="1"/>
  <c r="Q28" i="1"/>
  <c r="H28" i="1"/>
  <c r="I28" i="1"/>
  <c r="T27" i="1"/>
  <c r="Q27" i="1"/>
  <c r="X27" i="1" s="1"/>
  <c r="Y27" i="1" s="1"/>
  <c r="T26" i="1"/>
  <c r="Q26" i="1"/>
  <c r="T25" i="1"/>
  <c r="Q25" i="1"/>
  <c r="T24" i="1"/>
  <c r="Q24" i="1"/>
  <c r="T23" i="1"/>
  <c r="Q23" i="1"/>
  <c r="T22" i="1"/>
  <c r="Q22" i="1"/>
  <c r="H22" i="1"/>
  <c r="I22" i="1"/>
  <c r="H16" i="1"/>
  <c r="Q15" i="1"/>
  <c r="AB15" i="1" s="1"/>
  <c r="AA15" i="1" s="1"/>
  <c r="Q14" i="1"/>
  <c r="Q13" i="1"/>
  <c r="T21" i="1"/>
  <c r="Q21" i="1"/>
  <c r="T20" i="1"/>
  <c r="Q20" i="1"/>
  <c r="X21" i="1" s="1"/>
  <c r="T19" i="1"/>
  <c r="Q19" i="1"/>
  <c r="T18" i="1"/>
  <c r="Q18" i="1"/>
  <c r="T17" i="1"/>
  <c r="Q17" i="1"/>
  <c r="T16" i="1"/>
  <c r="Q16" i="1"/>
  <c r="AB51" i="1"/>
  <c r="AA51" i="1"/>
  <c r="I16" i="1"/>
  <c r="X64" i="1"/>
  <c r="X52" i="1"/>
  <c r="X46" i="1"/>
  <c r="X51" i="1"/>
  <c r="Y51" i="1" s="1"/>
  <c r="X40" i="1"/>
  <c r="X34" i="1"/>
  <c r="X28" i="1"/>
  <c r="X22" i="1"/>
  <c r="X65" i="1"/>
  <c r="Y65" i="1" s="1"/>
  <c r="Y52" i="1"/>
  <c r="Z52" i="1"/>
  <c r="X53" i="1"/>
  <c r="Z53" i="1"/>
  <c r="X54" i="1"/>
  <c r="Y54" i="1" s="1"/>
  <c r="Z51" i="1"/>
  <c r="Y46" i="1"/>
  <c r="Z46" i="1"/>
  <c r="X30" i="1"/>
  <c r="Y22" i="1"/>
  <c r="Z22" i="1"/>
  <c r="Y53" i="1"/>
  <c r="Y42" i="1"/>
  <c r="X61" i="1"/>
  <c r="Y61" i="1" s="1"/>
  <c r="Z54" i="1"/>
  <c r="X47" i="1"/>
  <c r="Z47" i="1" s="1"/>
  <c r="X48" i="1"/>
  <c r="Y48" i="1" s="1"/>
  <c r="T11" i="1"/>
  <c r="T12" i="1"/>
  <c r="T13" i="1"/>
  <c r="T14" i="1"/>
  <c r="T15" i="1"/>
  <c r="Z61" i="1"/>
  <c r="X56" i="1"/>
  <c r="Z48" i="1"/>
  <c r="X43" i="1"/>
  <c r="X31" i="1"/>
  <c r="X37" i="1"/>
  <c r="Z37" i="1" s="1"/>
  <c r="X63" i="1"/>
  <c r="Y63" i="1" s="1"/>
  <c r="Y43" i="1"/>
  <c r="Z43" i="1"/>
  <c r="Z67" i="1"/>
  <c r="Y67" i="1"/>
  <c r="Q12" i="1"/>
  <c r="Y57" i="1"/>
  <c r="Z57" i="1"/>
  <c r="X68" i="1"/>
  <c r="X69" i="1"/>
  <c r="Y69" i="1" s="1"/>
  <c r="Z69" i="1"/>
  <c r="Y68" i="1"/>
  <c r="Z68" i="1"/>
  <c r="Z27" i="1"/>
  <c r="Q11" i="1"/>
  <c r="X11" i="1"/>
  <c r="X13" i="1"/>
  <c r="Z13" i="1"/>
  <c r="X14" i="1"/>
  <c r="Y13" i="1"/>
  <c r="AK16" i="19" s="1"/>
  <c r="AB58" i="1"/>
  <c r="AA58" i="1" s="1"/>
  <c r="AB40" i="1"/>
  <c r="AA40" i="1" s="1"/>
  <c r="AB53" i="1"/>
  <c r="AA53" i="1" s="1"/>
  <c r="AB52" i="1"/>
  <c r="AA52" i="1"/>
  <c r="AB23" i="1"/>
  <c r="AB22" i="1"/>
  <c r="AA22" i="1" s="1"/>
  <c r="AB47" i="1"/>
  <c r="AA47" i="1" s="1"/>
  <c r="AB46" i="1"/>
  <c r="AA46" i="1"/>
  <c r="J42" i="19" s="1"/>
  <c r="AB34" i="1"/>
  <c r="AA34" i="1" s="1"/>
  <c r="AA23" i="1"/>
  <c r="AC52" i="1"/>
  <c r="J23" i="19"/>
  <c r="J43" i="19"/>
  <c r="AH43" i="19"/>
  <c r="AH13" i="19"/>
  <c r="V53" i="19"/>
  <c r="AH53" i="19"/>
  <c r="P23" i="19"/>
  <c r="AC22" i="1"/>
  <c r="AH8" i="19"/>
  <c r="AB28" i="19"/>
  <c r="AB48" i="19"/>
  <c r="J28" i="19"/>
  <c r="V38" i="19"/>
  <c r="AH38" i="19"/>
  <c r="V8" i="19"/>
  <c r="AH28" i="19"/>
  <c r="AH48" i="19"/>
  <c r="V28" i="19"/>
  <c r="AB38" i="19"/>
  <c r="AB18" i="19"/>
  <c r="AH18" i="19"/>
  <c r="V48" i="19"/>
  <c r="V18" i="19"/>
  <c r="P28" i="19"/>
  <c r="P8" i="19"/>
  <c r="J18" i="19"/>
  <c r="J38" i="19"/>
  <c r="AB67" i="1"/>
  <c r="AA67" i="1" s="1"/>
  <c r="M25" i="19" s="1"/>
  <c r="AB42" i="1"/>
  <c r="AA42" i="1" s="1"/>
  <c r="X31" i="19" s="1"/>
  <c r="AB43" i="1"/>
  <c r="J52" i="19"/>
  <c r="AB32" i="19"/>
  <c r="AB48" i="1"/>
  <c r="AA48" i="1" s="1"/>
  <c r="AB18" i="1"/>
  <c r="AB54" i="1"/>
  <c r="AB68" i="1"/>
  <c r="AD31" i="19"/>
  <c r="AJ11" i="19"/>
  <c r="AC42" i="1"/>
  <c r="X11" i="19"/>
  <c r="AA18" i="1"/>
  <c r="AA54" i="1"/>
  <c r="AJ43" i="19" s="1"/>
  <c r="AB61" i="1"/>
  <c r="AI43" i="19"/>
  <c r="AC43" i="19"/>
  <c r="AC53" i="19"/>
  <c r="Q53" i="19"/>
  <c r="AC53" i="1"/>
  <c r="AI23" i="19"/>
  <c r="AC13" i="19"/>
  <c r="W33" i="19"/>
  <c r="AA43" i="1"/>
  <c r="M51" i="19" s="1"/>
  <c r="AA45" i="1"/>
  <c r="AB44" i="1"/>
  <c r="AA44" i="1" s="1"/>
  <c r="AB37" i="1"/>
  <c r="AB13" i="1"/>
  <c r="AA13" i="1" s="1"/>
  <c r="AB14" i="1"/>
  <c r="AA14" i="1" s="1"/>
  <c r="AB56" i="1"/>
  <c r="AA68" i="1"/>
  <c r="AB69" i="1"/>
  <c r="AA69" i="1"/>
  <c r="AM35" i="19" s="1"/>
  <c r="AB27" i="1"/>
  <c r="AA27" i="1"/>
  <c r="O8" i="19" s="1"/>
  <c r="AD33" i="19"/>
  <c r="X33" i="19"/>
  <c r="AD43" i="19"/>
  <c r="X23" i="19"/>
  <c r="R33" i="19"/>
  <c r="R43" i="19"/>
  <c r="R23" i="19"/>
  <c r="R13" i="19"/>
  <c r="L33" i="19"/>
  <c r="X43" i="19"/>
  <c r="X53" i="19"/>
  <c r="AD13" i="19"/>
  <c r="L53" i="19"/>
  <c r="L13" i="19"/>
  <c r="AJ33" i="19"/>
  <c r="AJ23" i="19"/>
  <c r="M55" i="19"/>
  <c r="AK15" i="19"/>
  <c r="AE25" i="19"/>
  <c r="AC67" i="1"/>
  <c r="Y35" i="19"/>
  <c r="S55" i="19"/>
  <c r="S45" i="19"/>
  <c r="S35" i="19"/>
  <c r="M15" i="19"/>
  <c r="AE45" i="19"/>
  <c r="Y15" i="19"/>
  <c r="AK45" i="19"/>
  <c r="M35" i="19"/>
  <c r="M45" i="19"/>
  <c r="S25" i="19"/>
  <c r="AK35" i="19"/>
  <c r="Y25" i="19"/>
  <c r="AE15" i="19"/>
  <c r="Y45" i="19"/>
  <c r="AK25" i="19"/>
  <c r="Y55" i="19"/>
  <c r="S15" i="19"/>
  <c r="AK55" i="19"/>
  <c r="AE46" i="19"/>
  <c r="M36" i="19"/>
  <c r="Y16" i="19"/>
  <c r="S36" i="19"/>
  <c r="AE16" i="19"/>
  <c r="M6" i="19"/>
  <c r="M26" i="19"/>
  <c r="S46" i="19"/>
  <c r="AE26" i="19"/>
  <c r="Y46" i="19"/>
  <c r="AK26" i="19"/>
  <c r="S16" i="19"/>
  <c r="AK36" i="19"/>
  <c r="S26" i="19"/>
  <c r="AE6" i="19"/>
  <c r="Y26" i="19"/>
  <c r="AK6" i="19"/>
  <c r="Y36" i="19"/>
  <c r="AE36" i="19"/>
  <c r="AC13" i="1"/>
  <c r="AA61" i="1"/>
  <c r="AB62" i="1"/>
  <c r="AA62" i="1" s="1"/>
  <c r="AA37" i="1"/>
  <c r="AB38" i="1"/>
  <c r="AA38" i="1" s="1"/>
  <c r="Y41" i="19"/>
  <c r="M41" i="19"/>
  <c r="M31" i="19"/>
  <c r="AK21" i="19"/>
  <c r="AK31" i="19"/>
  <c r="Y11" i="19"/>
  <c r="AE21" i="19"/>
  <c r="M21" i="19"/>
  <c r="AC43" i="1"/>
  <c r="AK11" i="19"/>
  <c r="S11" i="19"/>
  <c r="Y31" i="19"/>
  <c r="AE54" i="19"/>
  <c r="S24" i="19"/>
  <c r="AE34" i="19"/>
  <c r="Y54" i="19"/>
  <c r="AE14" i="19"/>
  <c r="M44" i="19"/>
  <c r="AK54" i="19"/>
  <c r="M24" i="19"/>
  <c r="AK34" i="19"/>
  <c r="Y14" i="19"/>
  <c r="AK14" i="19"/>
  <c r="Y24" i="19"/>
  <c r="M34" i="19"/>
  <c r="AK44" i="19"/>
  <c r="M54" i="19"/>
  <c r="Y44" i="19"/>
  <c r="S54" i="19"/>
  <c r="AK24" i="19"/>
  <c r="M14" i="19"/>
  <c r="S34" i="19"/>
  <c r="AC61" i="1"/>
  <c r="AE24" i="19"/>
  <c r="S14" i="19"/>
  <c r="AA55" i="19"/>
  <c r="O45" i="19"/>
  <c r="AA15" i="19"/>
  <c r="AM55" i="19"/>
  <c r="O55" i="19"/>
  <c r="AG35" i="19"/>
  <c r="AM25" i="19"/>
  <c r="AA25" i="19"/>
  <c r="AM45" i="19"/>
  <c r="AG25" i="19"/>
  <c r="AA35" i="19"/>
  <c r="O25" i="19"/>
  <c r="U25" i="19"/>
  <c r="AG45" i="19"/>
  <c r="AA45" i="19"/>
  <c r="AM15" i="19"/>
  <c r="U45" i="19"/>
  <c r="O35" i="19"/>
  <c r="O15" i="19"/>
  <c r="AC69" i="1"/>
  <c r="AG15" i="19"/>
  <c r="AG55" i="19"/>
  <c r="U55" i="19"/>
  <c r="AL55" i="19"/>
  <c r="Z45" i="19"/>
  <c r="Z35" i="19"/>
  <c r="N25" i="19"/>
  <c r="Z55" i="19"/>
  <c r="N45" i="19"/>
  <c r="T35" i="19"/>
  <c r="T45" i="19"/>
  <c r="AL25" i="19"/>
  <c r="AL15" i="19"/>
  <c r="N35" i="19"/>
  <c r="AL35" i="19"/>
  <c r="Z25" i="19"/>
  <c r="AF25" i="19"/>
  <c r="T15" i="19"/>
  <c r="T55" i="19"/>
  <c r="AL45" i="19"/>
  <c r="T25" i="19"/>
  <c r="AF45" i="19"/>
  <c r="AF15" i="19"/>
  <c r="AC68" i="1"/>
  <c r="N15" i="19"/>
  <c r="AF55" i="19"/>
  <c r="N55" i="19"/>
  <c r="Z15" i="19"/>
  <c r="AF35" i="19"/>
  <c r="AA56" i="1"/>
  <c r="AB57" i="1"/>
  <c r="AA57" i="1"/>
  <c r="AG13" i="19" s="1"/>
  <c r="AB63" i="1"/>
  <c r="AA63" i="1"/>
  <c r="O34" i="19" s="1"/>
  <c r="AB21" i="1"/>
  <c r="AA21" i="1" s="1"/>
  <c r="AA48" i="19"/>
  <c r="AM38" i="19"/>
  <c r="U48" i="19"/>
  <c r="AA18" i="19"/>
  <c r="AG18" i="19"/>
  <c r="AG48" i="19"/>
  <c r="AM18" i="19"/>
  <c r="AG28" i="19"/>
  <c r="AA8" i="19"/>
  <c r="U18" i="19"/>
  <c r="AG38" i="19"/>
  <c r="U38" i="19"/>
  <c r="AM8" i="19"/>
  <c r="AA38" i="19"/>
  <c r="U28" i="19"/>
  <c r="O38" i="19"/>
  <c r="U8" i="19"/>
  <c r="AG8" i="19"/>
  <c r="AC27" i="1"/>
  <c r="O18" i="19"/>
  <c r="O28" i="19"/>
  <c r="AM28" i="19"/>
  <c r="AG24" i="19"/>
  <c r="U14" i="19"/>
  <c r="AA34" i="19"/>
  <c r="AM24" i="19"/>
  <c r="U34" i="19"/>
  <c r="U24" i="19"/>
  <c r="AA14" i="19"/>
  <c r="AA43" i="19"/>
  <c r="O23" i="19"/>
  <c r="O13" i="19"/>
  <c r="AG33" i="19"/>
  <c r="AM33" i="19"/>
  <c r="AA13" i="19"/>
  <c r="AB64" i="1"/>
  <c r="AA64" i="1"/>
  <c r="F26" i="34" l="1"/>
  <c r="H23" i="34"/>
  <c r="G23" i="34"/>
  <c r="W23" i="34" s="1"/>
  <c r="V23" i="34" s="1"/>
  <c r="G24" i="36"/>
  <c r="W27" i="36" s="1"/>
  <c r="V27" i="36" s="1"/>
  <c r="H24" i="36"/>
  <c r="F27" i="36"/>
  <c r="S24" i="36"/>
  <c r="U24" i="36" s="1"/>
  <c r="S25" i="36"/>
  <c r="S24" i="32"/>
  <c r="T24" i="32" s="1"/>
  <c r="X24" i="32" s="1"/>
  <c r="W24" i="32"/>
  <c r="V24" i="32" s="1"/>
  <c r="G22" i="37"/>
  <c r="F25" i="37"/>
  <c r="H22" i="37"/>
  <c r="E22" i="37"/>
  <c r="S22" i="37" s="1"/>
  <c r="D25" i="37"/>
  <c r="W22" i="37"/>
  <c r="V22" i="37" s="1"/>
  <c r="S23" i="37"/>
  <c r="W23" i="37"/>
  <c r="V23" i="37" s="1"/>
  <c r="G61" i="23"/>
  <c r="G62" i="23" s="1"/>
  <c r="I25" i="23" s="1"/>
  <c r="N25" i="23" s="1"/>
  <c r="O25" i="23" s="1"/>
  <c r="AE14" i="31"/>
  <c r="AA11" i="31"/>
  <c r="AB11" i="31"/>
  <c r="Z12" i="31" s="1"/>
  <c r="P11" i="31"/>
  <c r="N24" i="26"/>
  <c r="AB24" i="26"/>
  <c r="AA24" i="26" s="1"/>
  <c r="N20" i="26"/>
  <c r="Z18" i="26"/>
  <c r="N18" i="26"/>
  <c r="AB15" i="26"/>
  <c r="AA15" i="26" s="1"/>
  <c r="AB12" i="26"/>
  <c r="AA12" i="26" s="1"/>
  <c r="N23" i="26"/>
  <c r="N21" i="26"/>
  <c r="AC19" i="26"/>
  <c r="N16" i="26"/>
  <c r="X10" i="26"/>
  <c r="Y10" i="26" s="1"/>
  <c r="X15" i="26"/>
  <c r="Z24" i="26"/>
  <c r="Y24" i="26"/>
  <c r="AB25" i="26"/>
  <c r="AA25" i="26" s="1"/>
  <c r="X27" i="26"/>
  <c r="Z27" i="26" s="1"/>
  <c r="M24" i="26"/>
  <c r="I23" i="26"/>
  <c r="X25" i="26"/>
  <c r="Z25" i="26" s="1"/>
  <c r="X26" i="26"/>
  <c r="Z26" i="26" s="1"/>
  <c r="AB11" i="26"/>
  <c r="AA11" i="26" s="1"/>
  <c r="N15" i="26"/>
  <c r="I12" i="26"/>
  <c r="X12" i="26" s="1"/>
  <c r="N11" i="26"/>
  <c r="I11" i="26"/>
  <c r="X11" i="26" s="1"/>
  <c r="AC18" i="26"/>
  <c r="Y23" i="26"/>
  <c r="Z23" i="26"/>
  <c r="AC20" i="26"/>
  <c r="AC16" i="26"/>
  <c r="Z20" i="26"/>
  <c r="Z16" i="26"/>
  <c r="I21" i="26"/>
  <c r="I18" i="26"/>
  <c r="AB10" i="26"/>
  <c r="AA10" i="26" s="1"/>
  <c r="AB22" i="26"/>
  <c r="AA22" i="26" s="1"/>
  <c r="N26" i="26"/>
  <c r="AB23" i="26"/>
  <c r="AA23" i="26" s="1"/>
  <c r="X22" i="26"/>
  <c r="X21" i="26"/>
  <c r="Y21" i="26" s="1"/>
  <c r="AC21" i="26" s="1"/>
  <c r="Z19" i="26"/>
  <c r="N10" i="26"/>
  <c r="AD32" i="19"/>
  <c r="L32" i="19"/>
  <c r="AJ42" i="19"/>
  <c r="AD22" i="19"/>
  <c r="L52" i="19"/>
  <c r="X52" i="19"/>
  <c r="AJ12" i="19"/>
  <c r="L42" i="19"/>
  <c r="X32" i="19"/>
  <c r="R52" i="19"/>
  <c r="R32" i="19"/>
  <c r="Z10" i="1"/>
  <c r="Y10" i="1"/>
  <c r="Y36" i="1"/>
  <c r="Z36" i="1"/>
  <c r="Z40" i="1"/>
  <c r="Y40" i="1"/>
  <c r="AG54" i="19"/>
  <c r="AG53" i="19"/>
  <c r="AM23" i="19"/>
  <c r="AM53" i="19"/>
  <c r="AG44" i="19"/>
  <c r="O14" i="19"/>
  <c r="Y28" i="1"/>
  <c r="Z28" i="1"/>
  <c r="Z31" i="1"/>
  <c r="Y31" i="1"/>
  <c r="AG42" i="19"/>
  <c r="O22" i="19"/>
  <c r="U42" i="19"/>
  <c r="AG52" i="19"/>
  <c r="AM12" i="19"/>
  <c r="AM52" i="19"/>
  <c r="AG32" i="19"/>
  <c r="AA42" i="19"/>
  <c r="O52" i="19"/>
  <c r="U12" i="19"/>
  <c r="AA12" i="19"/>
  <c r="U52" i="19"/>
  <c r="U32" i="19"/>
  <c r="O12" i="19"/>
  <c r="U22" i="19"/>
  <c r="O42" i="19"/>
  <c r="AA22" i="19"/>
  <c r="AG22" i="19"/>
  <c r="AB19" i="1"/>
  <c r="AA19" i="1" s="1"/>
  <c r="AB20" i="1"/>
  <c r="AA20" i="1" s="1"/>
  <c r="X20" i="1"/>
  <c r="X32" i="1"/>
  <c r="U43" i="19"/>
  <c r="AG43" i="19"/>
  <c r="AA33" i="19"/>
  <c r="AM43" i="19"/>
  <c r="O53" i="19"/>
  <c r="AA23" i="19"/>
  <c r="O43" i="19"/>
  <c r="AB36" i="1"/>
  <c r="AA36" i="1" s="1"/>
  <c r="Y21" i="1"/>
  <c r="Z21" i="1"/>
  <c r="X26" i="1"/>
  <c r="AB26" i="1"/>
  <c r="AA26" i="1" s="1"/>
  <c r="Y62" i="1"/>
  <c r="Z62" i="1"/>
  <c r="AA53" i="19"/>
  <c r="AM13" i="19"/>
  <c r="U54" i="19"/>
  <c r="AG23" i="19"/>
  <c r="U23" i="19"/>
  <c r="U44" i="19"/>
  <c r="AM34" i="19"/>
  <c r="X25" i="1"/>
  <c r="AB25" i="1"/>
  <c r="AA25" i="1" s="1"/>
  <c r="Y34" i="1"/>
  <c r="Z34" i="1"/>
  <c r="S24" i="34"/>
  <c r="AM14" i="19"/>
  <c r="AG34" i="19"/>
  <c r="AM54" i="19"/>
  <c r="AC63" i="1"/>
  <c r="X16" i="1"/>
  <c r="X17" i="1"/>
  <c r="AB16" i="1"/>
  <c r="AA16" i="1" s="1"/>
  <c r="AB17" i="1"/>
  <c r="AA17" i="1" s="1"/>
  <c r="AB28" i="1"/>
  <c r="AA28" i="1" s="1"/>
  <c r="AB29" i="1"/>
  <c r="AA29" i="1" s="1"/>
  <c r="X29" i="1"/>
  <c r="X33" i="1"/>
  <c r="AB33" i="1"/>
  <c r="AA33" i="1" s="1"/>
  <c r="O33" i="19"/>
  <c r="AA54" i="19"/>
  <c r="U53" i="19"/>
  <c r="U13" i="19"/>
  <c r="AA44" i="19"/>
  <c r="AC57" i="1"/>
  <c r="U33" i="19"/>
  <c r="O54" i="19"/>
  <c r="AG14" i="19"/>
  <c r="O44" i="19"/>
  <c r="AE31" i="19"/>
  <c r="Y34" i="19"/>
  <c r="S44" i="19"/>
  <c r="AE44" i="19"/>
  <c r="Y30" i="1"/>
  <c r="Z30" i="1"/>
  <c r="AK41" i="19"/>
  <c r="AE41" i="19"/>
  <c r="S41" i="19"/>
  <c r="Y11" i="1"/>
  <c r="Z11" i="1"/>
  <c r="AE51" i="19"/>
  <c r="S31" i="19"/>
  <c r="AD51" i="19"/>
  <c r="K13" i="19"/>
  <c r="Q33" i="19"/>
  <c r="W13" i="19"/>
  <c r="AI53" i="19"/>
  <c r="K53" i="19"/>
  <c r="Q43" i="19"/>
  <c r="K23" i="19"/>
  <c r="K33" i="19"/>
  <c r="AC23" i="19"/>
  <c r="Q23" i="19"/>
  <c r="W43" i="19"/>
  <c r="W23" i="19"/>
  <c r="K43" i="19"/>
  <c r="Q13" i="19"/>
  <c r="AI33" i="19"/>
  <c r="AI13" i="19"/>
  <c r="AC33" i="19"/>
  <c r="W53" i="19"/>
  <c r="AE11" i="19"/>
  <c r="M11" i="19"/>
  <c r="S51" i="19"/>
  <c r="Y21" i="19"/>
  <c r="V32" i="19"/>
  <c r="V42" i="19"/>
  <c r="J32" i="19"/>
  <c r="V12" i="19"/>
  <c r="AC46" i="1"/>
  <c r="AH52" i="19"/>
  <c r="V22" i="19"/>
  <c r="P52" i="19"/>
  <c r="O24" i="19"/>
  <c r="AK46" i="19"/>
  <c r="M16" i="19"/>
  <c r="M46" i="19"/>
  <c r="AJ51" i="19"/>
  <c r="R11" i="19"/>
  <c r="AJ31" i="19"/>
  <c r="L41" i="19"/>
  <c r="AJ41" i="19"/>
  <c r="R41" i="19"/>
  <c r="AJ21" i="19"/>
  <c r="L11" i="19"/>
  <c r="X41" i="19"/>
  <c r="R21" i="19"/>
  <c r="X21" i="19"/>
  <c r="AD21" i="19"/>
  <c r="AD41" i="19"/>
  <c r="R31" i="19"/>
  <c r="L51" i="19"/>
  <c r="AD11" i="19"/>
  <c r="L21" i="19"/>
  <c r="X51" i="19"/>
  <c r="L31" i="19"/>
  <c r="R51" i="19"/>
  <c r="AD53" i="19"/>
  <c r="Z63" i="1"/>
  <c r="AB33" i="19"/>
  <c r="P13" i="19"/>
  <c r="J13" i="19"/>
  <c r="AB13" i="19"/>
  <c r="AH23" i="19"/>
  <c r="V23" i="19"/>
  <c r="J33" i="19"/>
  <c r="AB43" i="19"/>
  <c r="P53" i="19"/>
  <c r="AB53" i="19"/>
  <c r="P33" i="19"/>
  <c r="V13" i="19"/>
  <c r="V43" i="19"/>
  <c r="P43" i="19"/>
  <c r="AH33" i="19"/>
  <c r="V33" i="19"/>
  <c r="AB23" i="19"/>
  <c r="X13" i="19"/>
  <c r="AJ13" i="19"/>
  <c r="AC54" i="1"/>
  <c r="AJ53" i="19"/>
  <c r="AD23" i="19"/>
  <c r="Y47" i="1"/>
  <c r="AB52" i="19"/>
  <c r="P32" i="19"/>
  <c r="AB22" i="19"/>
  <c r="J22" i="19"/>
  <c r="AH32" i="19"/>
  <c r="AH22" i="19"/>
  <c r="AH12" i="19"/>
  <c r="V52" i="19"/>
  <c r="P42" i="19"/>
  <c r="AH42" i="19"/>
  <c r="P22" i="19"/>
  <c r="J12" i="19"/>
  <c r="AB12" i="19"/>
  <c r="P12" i="19"/>
  <c r="Y14" i="1"/>
  <c r="Z14" i="1"/>
  <c r="R12" i="19"/>
  <c r="AJ22" i="19"/>
  <c r="AD52" i="19"/>
  <c r="AJ32" i="19"/>
  <c r="X42" i="19"/>
  <c r="R22" i="19"/>
  <c r="R42" i="19"/>
  <c r="L12" i="19"/>
  <c r="X22" i="19"/>
  <c r="X12" i="19"/>
  <c r="AC48" i="1"/>
  <c r="AD42" i="19"/>
  <c r="AD12" i="19"/>
  <c r="AB50" i="1"/>
  <c r="AA50" i="1" s="1"/>
  <c r="X50" i="1"/>
  <c r="T25" i="35"/>
  <c r="X25" i="35" s="1"/>
  <c r="U25" i="35"/>
  <c r="AA24" i="19"/>
  <c r="AM44" i="19"/>
  <c r="O48" i="19"/>
  <c r="AM48" i="19"/>
  <c r="AA28" i="19"/>
  <c r="U15" i="19"/>
  <c r="U35" i="19"/>
  <c r="S21" i="19"/>
  <c r="AK51" i="19"/>
  <c r="Y51" i="19"/>
  <c r="S6" i="19"/>
  <c r="Y6" i="19"/>
  <c r="AE35" i="19"/>
  <c r="AE55" i="19"/>
  <c r="R53" i="19"/>
  <c r="L23" i="19"/>
  <c r="L43" i="19"/>
  <c r="L22" i="19"/>
  <c r="AJ52" i="19"/>
  <c r="AB42" i="19"/>
  <c r="J53" i="19"/>
  <c r="X15" i="1"/>
  <c r="X35" i="1"/>
  <c r="AB35" i="1"/>
  <c r="AA35" i="1" s="1"/>
  <c r="X39" i="1"/>
  <c r="X38" i="1"/>
  <c r="AE20" i="31"/>
  <c r="AA24" i="31"/>
  <c r="AE24" i="31" s="1"/>
  <c r="G64" i="23"/>
  <c r="G65" i="23" s="1"/>
  <c r="P25" i="23" s="1"/>
  <c r="AB66" i="1"/>
  <c r="AA66" i="1" s="1"/>
  <c r="Z65" i="1"/>
  <c r="F25" i="35"/>
  <c r="H22" i="35"/>
  <c r="G22" i="35"/>
  <c r="W22" i="35" s="1"/>
  <c r="V22" i="35" s="1"/>
  <c r="X22" i="35" s="1"/>
  <c r="AC25" i="19"/>
  <c r="W25" i="19"/>
  <c r="AI15" i="19"/>
  <c r="Q55" i="19"/>
  <c r="Q25" i="19"/>
  <c r="X55" i="1"/>
  <c r="AB55" i="1"/>
  <c r="AA55" i="1" s="1"/>
  <c r="X58" i="1"/>
  <c r="X59" i="1"/>
  <c r="AB59" i="1"/>
  <c r="AA59" i="1" s="1"/>
  <c r="Y56" i="1"/>
  <c r="Z56" i="1"/>
  <c r="X44" i="1"/>
  <c r="X45" i="1"/>
  <c r="X49" i="1"/>
  <c r="AB49" i="1"/>
  <c r="AA49" i="1" s="1"/>
  <c r="X23" i="32"/>
  <c r="X12" i="1"/>
  <c r="AB11" i="1"/>
  <c r="AA11" i="1" s="1"/>
  <c r="AB12" i="1"/>
  <c r="AA12" i="1" s="1"/>
  <c r="Y37" i="1"/>
  <c r="Y64" i="1"/>
  <c r="Z64" i="1"/>
  <c r="X18" i="1"/>
  <c r="X19" i="1"/>
  <c r="X24" i="1"/>
  <c r="AB24" i="1"/>
  <c r="AA24" i="1" s="1"/>
  <c r="X23" i="1"/>
  <c r="AB31" i="1"/>
  <c r="AA31" i="1" s="1"/>
  <c r="AB30" i="1"/>
  <c r="AA30" i="1" s="1"/>
  <c r="X41" i="1"/>
  <c r="AB41" i="1"/>
  <c r="AA41" i="1" s="1"/>
  <c r="X60" i="1"/>
  <c r="AB60" i="1"/>
  <c r="AA60" i="1" s="1"/>
  <c r="Y23" i="30"/>
  <c r="AC23" i="30" s="1"/>
  <c r="Z23" i="30"/>
  <c r="AD12" i="31"/>
  <c r="AC12" i="31" s="1"/>
  <c r="AC11" i="31"/>
  <c r="AE11" i="31" s="1"/>
  <c r="AC18" i="30"/>
  <c r="G23" i="32"/>
  <c r="W23" i="32" s="1"/>
  <c r="V23" i="32" s="1"/>
  <c r="F26" i="32"/>
  <c r="W26" i="34"/>
  <c r="V26" i="34" s="1"/>
  <c r="AM42" i="19"/>
  <c r="AM22" i="19"/>
  <c r="AA52" i="19"/>
  <c r="O32" i="19"/>
  <c r="AG12" i="19"/>
  <c r="AA32" i="19"/>
  <c r="AM32" i="19"/>
  <c r="AC51" i="1"/>
  <c r="AC20" i="30"/>
  <c r="U23" i="32"/>
  <c r="S25" i="32"/>
  <c r="S26" i="32" s="1"/>
  <c r="P18" i="19"/>
  <c r="J48" i="19"/>
  <c r="AB8" i="19"/>
  <c r="P38" i="19"/>
  <c r="P48" i="19"/>
  <c r="J8" i="19"/>
  <c r="X66" i="1"/>
  <c r="AB65" i="1"/>
  <c r="AA65" i="1" s="1"/>
  <c r="AI45" i="19" s="1"/>
  <c r="H23" i="32"/>
  <c r="AB27" i="26"/>
  <c r="AA27" i="26" s="1"/>
  <c r="AB21" i="30"/>
  <c r="AA21" i="30" s="1"/>
  <c r="AC21" i="30" s="1"/>
  <c r="B221" i="13"/>
  <c r="B223" i="13"/>
  <c r="S26" i="36" l="1"/>
  <c r="S27" i="36" s="1"/>
  <c r="U25" i="36"/>
  <c r="T25" i="36"/>
  <c r="T24" i="36"/>
  <c r="X24" i="36" s="1"/>
  <c r="W24" i="36"/>
  <c r="V24" i="36" s="1"/>
  <c r="W25" i="36"/>
  <c r="V25" i="36" s="1"/>
  <c r="X25" i="36" s="1"/>
  <c r="U24" i="32"/>
  <c r="S24" i="37"/>
  <c r="S25" i="37" s="1"/>
  <c r="U22" i="37"/>
  <c r="T22" i="37"/>
  <c r="X22" i="37" s="1"/>
  <c r="U23" i="37"/>
  <c r="T23" i="37"/>
  <c r="X23" i="37" s="1"/>
  <c r="AA12" i="31"/>
  <c r="AE12" i="31" s="1"/>
  <c r="AB12" i="31"/>
  <c r="AC10" i="26"/>
  <c r="Y27" i="26"/>
  <c r="AC24" i="26"/>
  <c r="AC23" i="26"/>
  <c r="Z21" i="26"/>
  <c r="Y25" i="26"/>
  <c r="AC25" i="26" s="1"/>
  <c r="Z10" i="26"/>
  <c r="Z15" i="26"/>
  <c r="Y15" i="26"/>
  <c r="AC15" i="26" s="1"/>
  <c r="Y26" i="26"/>
  <c r="AC26" i="26" s="1"/>
  <c r="Z12" i="26"/>
  <c r="Y12" i="26"/>
  <c r="AC12" i="26" s="1"/>
  <c r="Z11" i="26"/>
  <c r="Y11" i="26"/>
  <c r="AC11" i="26" s="1"/>
  <c r="Z22" i="26"/>
  <c r="Y22" i="26"/>
  <c r="AC22" i="26" s="1"/>
  <c r="V25" i="19"/>
  <c r="P45" i="19"/>
  <c r="J55" i="19"/>
  <c r="V55" i="19"/>
  <c r="V45" i="19"/>
  <c r="J35" i="19"/>
  <c r="AB25" i="19"/>
  <c r="AB45" i="19"/>
  <c r="P25" i="19"/>
  <c r="AH15" i="19"/>
  <c r="AB15" i="19"/>
  <c r="P55" i="19"/>
  <c r="J15" i="19"/>
  <c r="AH45" i="19"/>
  <c r="J45" i="19"/>
  <c r="J25" i="19"/>
  <c r="AH55" i="19"/>
  <c r="V35" i="19"/>
  <c r="P15" i="19"/>
  <c r="AB55" i="19"/>
  <c r="V15" i="19"/>
  <c r="AH35" i="19"/>
  <c r="AH25" i="19"/>
  <c r="AB35" i="19"/>
  <c r="P35" i="19"/>
  <c r="AC64" i="1"/>
  <c r="N14" i="19"/>
  <c r="T14" i="19"/>
  <c r="T54" i="19"/>
  <c r="N44" i="19"/>
  <c r="T34" i="19"/>
  <c r="AC62" i="1"/>
  <c r="AL14" i="19"/>
  <c r="Z24" i="19"/>
  <c r="Z34" i="19"/>
  <c r="Z14" i="19"/>
  <c r="AF54" i="19"/>
  <c r="AL44" i="19"/>
  <c r="Z54" i="19"/>
  <c r="Z44" i="19"/>
  <c r="AF44" i="19"/>
  <c r="N54" i="19"/>
  <c r="T44" i="19"/>
  <c r="AF14" i="19"/>
  <c r="AL34" i="19"/>
  <c r="N34" i="19"/>
  <c r="AL54" i="19"/>
  <c r="AL24" i="19"/>
  <c r="T24" i="19"/>
  <c r="AF24" i="19"/>
  <c r="AF34" i="19"/>
  <c r="N24" i="19"/>
  <c r="AD10" i="19"/>
  <c r="L50" i="19"/>
  <c r="X30" i="19"/>
  <c r="L20" i="19"/>
  <c r="R50" i="19"/>
  <c r="AD30" i="19"/>
  <c r="X50" i="19"/>
  <c r="R30" i="19"/>
  <c r="AJ50" i="19"/>
  <c r="L10" i="19"/>
  <c r="L40" i="19"/>
  <c r="AJ20" i="19"/>
  <c r="X20" i="19"/>
  <c r="R40" i="19"/>
  <c r="AJ40" i="19"/>
  <c r="AD40" i="19"/>
  <c r="AC36" i="1"/>
  <c r="R20" i="19"/>
  <c r="AD50" i="19"/>
  <c r="AJ30" i="19"/>
  <c r="AD20" i="19"/>
  <c r="R10" i="19"/>
  <c r="X40" i="19"/>
  <c r="AJ10" i="19"/>
  <c r="X10" i="19"/>
  <c r="L30" i="19"/>
  <c r="Z45" i="1"/>
  <c r="Y45" i="1"/>
  <c r="X49" i="19"/>
  <c r="L9" i="19"/>
  <c r="AJ19" i="19"/>
  <c r="AD29" i="19"/>
  <c r="L49" i="19"/>
  <c r="L39" i="19"/>
  <c r="R9" i="19"/>
  <c r="AD9" i="19"/>
  <c r="L29" i="19"/>
  <c r="X9" i="19"/>
  <c r="AJ49" i="19"/>
  <c r="R49" i="19"/>
  <c r="AD39" i="19"/>
  <c r="R19" i="19"/>
  <c r="R29" i="19"/>
  <c r="AJ39" i="19"/>
  <c r="X19" i="19"/>
  <c r="AJ29" i="19"/>
  <c r="L19" i="19"/>
  <c r="X39" i="19"/>
  <c r="AD19" i="19"/>
  <c r="R39" i="19"/>
  <c r="AJ9" i="19"/>
  <c r="X29" i="19"/>
  <c r="AC30" i="1"/>
  <c r="AD49" i="19"/>
  <c r="Y33" i="1"/>
  <c r="Z33" i="1"/>
  <c r="Y20" i="1"/>
  <c r="Z20" i="1"/>
  <c r="P39" i="19"/>
  <c r="V29" i="19"/>
  <c r="AH39" i="19"/>
  <c r="AB9" i="19"/>
  <c r="AB49" i="19"/>
  <c r="AH19" i="19"/>
  <c r="V9" i="19"/>
  <c r="P19" i="19"/>
  <c r="AC28" i="1"/>
  <c r="J29" i="19"/>
  <c r="V19" i="19"/>
  <c r="AB39" i="19"/>
  <c r="P49" i="19"/>
  <c r="P9" i="19"/>
  <c r="V49" i="19"/>
  <c r="V39" i="19"/>
  <c r="AH29" i="19"/>
  <c r="AH49" i="19"/>
  <c r="AH9" i="19"/>
  <c r="J19" i="19"/>
  <c r="P29" i="19"/>
  <c r="AB29" i="19"/>
  <c r="AB19" i="19"/>
  <c r="J9" i="19"/>
  <c r="J39" i="19"/>
  <c r="J49" i="19"/>
  <c r="Y23" i="1"/>
  <c r="Z23" i="1"/>
  <c r="Y50" i="1"/>
  <c r="Z50" i="1"/>
  <c r="U26" i="32"/>
  <c r="T26" i="32"/>
  <c r="X26" i="32" s="1"/>
  <c r="T23" i="19"/>
  <c r="AF13" i="19"/>
  <c r="N33" i="19"/>
  <c r="AF23" i="19"/>
  <c r="N23" i="19"/>
  <c r="AL13" i="19"/>
  <c r="AF33" i="19"/>
  <c r="AL43" i="19"/>
  <c r="N43" i="19"/>
  <c r="Z33" i="19"/>
  <c r="AL53" i="19"/>
  <c r="AF53" i="19"/>
  <c r="Z23" i="19"/>
  <c r="AC56" i="1"/>
  <c r="T43" i="19"/>
  <c r="T53" i="19"/>
  <c r="T13" i="19"/>
  <c r="AF43" i="19"/>
  <c r="Z13" i="19"/>
  <c r="N53" i="19"/>
  <c r="Z53" i="19"/>
  <c r="AL23" i="19"/>
  <c r="AL33" i="19"/>
  <c r="N13" i="19"/>
  <c r="T33" i="19"/>
  <c r="Z43" i="19"/>
  <c r="Z38" i="1"/>
  <c r="Y38" i="1"/>
  <c r="Z24" i="1"/>
  <c r="Y24" i="1"/>
  <c r="Y12" i="1"/>
  <c r="Z12" i="1"/>
  <c r="Y39" i="1"/>
  <c r="Z39" i="1"/>
  <c r="AI6" i="19"/>
  <c r="AI16" i="19"/>
  <c r="Q36" i="19"/>
  <c r="AI36" i="19"/>
  <c r="AI26" i="19"/>
  <c r="AC11" i="1"/>
  <c r="AC36" i="19"/>
  <c r="AC46" i="19"/>
  <c r="W36" i="19"/>
  <c r="AC26" i="19"/>
  <c r="Q26" i="19"/>
  <c r="K46" i="19"/>
  <c r="K36" i="19"/>
  <c r="Q16" i="19"/>
  <c r="Q6" i="19"/>
  <c r="W6" i="19"/>
  <c r="AI46" i="19"/>
  <c r="K6" i="19"/>
  <c r="W46" i="19"/>
  <c r="W26" i="19"/>
  <c r="Q46" i="19"/>
  <c r="W16" i="19"/>
  <c r="K26" i="19"/>
  <c r="K16" i="19"/>
  <c r="AC16" i="19"/>
  <c r="AC6" i="19"/>
  <c r="Y55" i="1"/>
  <c r="Z55" i="1"/>
  <c r="AL36" i="19"/>
  <c r="AF36" i="19"/>
  <c r="AF16" i="19"/>
  <c r="N46" i="19"/>
  <c r="T46" i="19"/>
  <c r="T36" i="19"/>
  <c r="Z26" i="19"/>
  <c r="T6" i="19"/>
  <c r="N6" i="19"/>
  <c r="AF26" i="19"/>
  <c r="Z36" i="19"/>
  <c r="T26" i="19"/>
  <c r="AF46" i="19"/>
  <c r="Z16" i="19"/>
  <c r="AL6" i="19"/>
  <c r="Z6" i="19"/>
  <c r="N36" i="19"/>
  <c r="AL46" i="19"/>
  <c r="AC14" i="1"/>
  <c r="N26" i="19"/>
  <c r="AF6" i="19"/>
  <c r="T16" i="19"/>
  <c r="AL26" i="19"/>
  <c r="AL16" i="19"/>
  <c r="Z46" i="19"/>
  <c r="N16" i="19"/>
  <c r="Z29" i="1"/>
  <c r="Y29" i="1"/>
  <c r="Y60" i="1"/>
  <c r="Z60" i="1"/>
  <c r="Z19" i="1"/>
  <c r="Y19" i="1"/>
  <c r="T24" i="34"/>
  <c r="X24" i="34" s="1"/>
  <c r="U24" i="34"/>
  <c r="Y26" i="1"/>
  <c r="Z26" i="1"/>
  <c r="S25" i="34"/>
  <c r="S26" i="34" s="1"/>
  <c r="T23" i="34"/>
  <c r="X23" i="34" s="1"/>
  <c r="U23" i="34"/>
  <c r="Y9" i="19"/>
  <c r="M19" i="19"/>
  <c r="AE29" i="19"/>
  <c r="AK19" i="19"/>
  <c r="AE9" i="19"/>
  <c r="AC31" i="1"/>
  <c r="M29" i="19"/>
  <c r="AE39" i="19"/>
  <c r="M9" i="19"/>
  <c r="S39" i="19"/>
  <c r="AK49" i="19"/>
  <c r="Y19" i="19"/>
  <c r="AE49" i="19"/>
  <c r="S9" i="19"/>
  <c r="M49" i="19"/>
  <c r="S29" i="19"/>
  <c r="Y39" i="19"/>
  <c r="Y49" i="19"/>
  <c r="AK29" i="19"/>
  <c r="Y29" i="19"/>
  <c r="S19" i="19"/>
  <c r="AK39" i="19"/>
  <c r="M39" i="19"/>
  <c r="AE19" i="19"/>
  <c r="AK9" i="19"/>
  <c r="S49" i="19"/>
  <c r="Y66" i="1"/>
  <c r="Z66" i="1"/>
  <c r="M40" i="19"/>
  <c r="Y10" i="19"/>
  <c r="AK50" i="19"/>
  <c r="M20" i="19"/>
  <c r="S40" i="19"/>
  <c r="S30" i="19"/>
  <c r="AC37" i="1"/>
  <c r="AE30" i="19"/>
  <c r="AE10" i="19"/>
  <c r="Y20" i="19"/>
  <c r="M30" i="19"/>
  <c r="S20" i="19"/>
  <c r="AK20" i="19"/>
  <c r="AE20" i="19"/>
  <c r="AK40" i="19"/>
  <c r="S50" i="19"/>
  <c r="AK10" i="19"/>
  <c r="AE40" i="19"/>
  <c r="S10" i="19"/>
  <c r="Y30" i="19"/>
  <c r="Y50" i="19"/>
  <c r="Y40" i="19"/>
  <c r="AE50" i="19"/>
  <c r="M10" i="19"/>
  <c r="M50" i="19"/>
  <c r="AK30" i="19"/>
  <c r="Z44" i="1"/>
  <c r="Y44" i="1"/>
  <c r="Q32" i="19"/>
  <c r="AI42" i="19"/>
  <c r="AC47" i="1"/>
  <c r="AC52" i="19"/>
  <c r="AI22" i="19"/>
  <c r="W22" i="19"/>
  <c r="K42" i="19"/>
  <c r="K12" i="19"/>
  <c r="Q52" i="19"/>
  <c r="W42" i="19"/>
  <c r="W52" i="19"/>
  <c r="K52" i="19"/>
  <c r="AI52" i="19"/>
  <c r="W32" i="19"/>
  <c r="AC22" i="19"/>
  <c r="AC42" i="19"/>
  <c r="W12" i="19"/>
  <c r="AI32" i="19"/>
  <c r="AC32" i="19"/>
  <c r="AC12" i="19"/>
  <c r="Q22" i="19"/>
  <c r="Q12" i="19"/>
  <c r="K32" i="19"/>
  <c r="K22" i="19"/>
  <c r="AI12" i="19"/>
  <c r="Q42" i="19"/>
  <c r="Z25" i="1"/>
  <c r="Y25" i="1"/>
  <c r="Y18" i="1"/>
  <c r="Z18" i="1"/>
  <c r="Y59" i="1"/>
  <c r="Z59" i="1"/>
  <c r="Z35" i="1"/>
  <c r="Y35" i="1"/>
  <c r="K55" i="19"/>
  <c r="K15" i="19"/>
  <c r="Q15" i="19"/>
  <c r="W55" i="19"/>
  <c r="AI35" i="19"/>
  <c r="K25" i="19"/>
  <c r="AI25" i="19"/>
  <c r="AC65" i="1"/>
  <c r="AC55" i="19"/>
  <c r="K35" i="19"/>
  <c r="W15" i="19"/>
  <c r="K45" i="19"/>
  <c r="AC45" i="19"/>
  <c r="W45" i="19"/>
  <c r="Q35" i="19"/>
  <c r="AC15" i="19"/>
  <c r="Q45" i="19"/>
  <c r="W35" i="19"/>
  <c r="AI55" i="19"/>
  <c r="Y41" i="1"/>
  <c r="Z41" i="1"/>
  <c r="Y49" i="1"/>
  <c r="Z49" i="1"/>
  <c r="Y58" i="1"/>
  <c r="Z58" i="1"/>
  <c r="AC35" i="19"/>
  <c r="Y15" i="1"/>
  <c r="Z15" i="1"/>
  <c r="Y17" i="1"/>
  <c r="Z17" i="1"/>
  <c r="O17" i="19"/>
  <c r="AM7" i="19"/>
  <c r="U17" i="19"/>
  <c r="AM47" i="19"/>
  <c r="AM37" i="19"/>
  <c r="AM27" i="19"/>
  <c r="U27" i="19"/>
  <c r="AG7" i="19"/>
  <c r="O47" i="19"/>
  <c r="AA7" i="19"/>
  <c r="O27" i="19"/>
  <c r="AG37" i="19"/>
  <c r="AG47" i="19"/>
  <c r="AG27" i="19"/>
  <c r="O37" i="19"/>
  <c r="AC21" i="1"/>
  <c r="AA17" i="19"/>
  <c r="U37" i="19"/>
  <c r="AM17" i="19"/>
  <c r="U7" i="19"/>
  <c r="AG17" i="19"/>
  <c r="AA47" i="19"/>
  <c r="O7" i="19"/>
  <c r="AA37" i="19"/>
  <c r="AA27" i="19"/>
  <c r="U47" i="19"/>
  <c r="AC27" i="26"/>
  <c r="Z16" i="1"/>
  <c r="Y16" i="1"/>
  <c r="V30" i="19"/>
  <c r="AB40" i="19"/>
  <c r="AB20" i="19"/>
  <c r="AB30" i="19"/>
  <c r="J30" i="19"/>
  <c r="V50" i="19"/>
  <c r="AC34" i="1"/>
  <c r="P30" i="19"/>
  <c r="P20" i="19"/>
  <c r="AH20" i="19"/>
  <c r="AB10" i="19"/>
  <c r="P40" i="19"/>
  <c r="P50" i="19"/>
  <c r="J40" i="19"/>
  <c r="AH40" i="19"/>
  <c r="V20" i="19"/>
  <c r="J10" i="19"/>
  <c r="J20" i="19"/>
  <c r="V40" i="19"/>
  <c r="AH10" i="19"/>
  <c r="P10" i="19"/>
  <c r="AB50" i="19"/>
  <c r="J50" i="19"/>
  <c r="AH30" i="19"/>
  <c r="AH50" i="19"/>
  <c r="V10" i="19"/>
  <c r="Y32" i="1"/>
  <c r="Z32" i="1"/>
  <c r="AH41" i="19"/>
  <c r="AH21" i="19"/>
  <c r="AH11" i="19"/>
  <c r="V11" i="19"/>
  <c r="J21" i="19"/>
  <c r="P51" i="19"/>
  <c r="P11" i="19"/>
  <c r="AB41" i="19"/>
  <c r="AB11" i="19"/>
  <c r="P41" i="19"/>
  <c r="AH31" i="19"/>
  <c r="J11" i="19"/>
  <c r="V41" i="19"/>
  <c r="P31" i="19"/>
  <c r="V21" i="19"/>
  <c r="J31" i="19"/>
  <c r="V51" i="19"/>
  <c r="J51" i="19"/>
  <c r="AH51" i="19"/>
  <c r="AB21" i="19"/>
  <c r="J41" i="19"/>
  <c r="AC40" i="1"/>
  <c r="AB31" i="19"/>
  <c r="V31" i="19"/>
  <c r="AB51" i="19"/>
  <c r="P21" i="19"/>
  <c r="K52" i="1"/>
  <c r="L52" i="1" s="1"/>
  <c r="K64" i="1"/>
  <c r="L64" i="1" s="1"/>
  <c r="K40" i="1"/>
  <c r="L40" i="1" s="1"/>
  <c r="K46" i="1"/>
  <c r="L46" i="1" s="1"/>
  <c r="K28" i="1"/>
  <c r="L28" i="1" s="1"/>
  <c r="K58" i="1"/>
  <c r="L58" i="1" s="1"/>
  <c r="K16" i="1"/>
  <c r="L16" i="1" s="1"/>
  <c r="K34" i="1"/>
  <c r="L34" i="1" s="1"/>
  <c r="K10" i="1"/>
  <c r="L10" i="1" s="1"/>
  <c r="K22" i="1"/>
  <c r="L22" i="1" s="1"/>
  <c r="U27" i="36" l="1"/>
  <c r="T27" i="36"/>
  <c r="X27" i="36" s="1"/>
  <c r="U25" i="37"/>
  <c r="T25" i="37"/>
  <c r="X25" i="37" s="1"/>
  <c r="U26" i="34"/>
  <c r="T26" i="34"/>
  <c r="X26" i="34" s="1"/>
  <c r="N48" i="19"/>
  <c r="AL8" i="19"/>
  <c r="AL18" i="19"/>
  <c r="N18" i="19"/>
  <c r="Z28" i="19"/>
  <c r="AL38" i="19"/>
  <c r="AF48" i="19"/>
  <c r="Z18" i="19"/>
  <c r="AF28" i="19"/>
  <c r="N28" i="19"/>
  <c r="AF8" i="19"/>
  <c r="AF18" i="19"/>
  <c r="T18" i="19"/>
  <c r="Z48" i="19"/>
  <c r="T48" i="19"/>
  <c r="N8" i="19"/>
  <c r="T8" i="19"/>
  <c r="AL28" i="19"/>
  <c r="T28" i="19"/>
  <c r="T38" i="19"/>
  <c r="AF38" i="19"/>
  <c r="Z38" i="19"/>
  <c r="AL48" i="19"/>
  <c r="N38" i="19"/>
  <c r="Z8" i="19"/>
  <c r="AC26" i="1"/>
  <c r="AH14" i="19"/>
  <c r="AH44" i="19"/>
  <c r="V24" i="19"/>
  <c r="P44" i="19"/>
  <c r="AH34" i="19"/>
  <c r="J14" i="19"/>
  <c r="V44" i="19"/>
  <c r="J54" i="19"/>
  <c r="P34" i="19"/>
  <c r="P54" i="19"/>
  <c r="AH24" i="19"/>
  <c r="P24" i="19"/>
  <c r="AB14" i="19"/>
  <c r="V34" i="19"/>
  <c r="J44" i="19"/>
  <c r="V14" i="19"/>
  <c r="V54" i="19"/>
  <c r="AB44" i="19"/>
  <c r="AB34" i="19"/>
  <c r="P14" i="19"/>
  <c r="J34" i="19"/>
  <c r="J24" i="19"/>
  <c r="AB54" i="19"/>
  <c r="AH54" i="19"/>
  <c r="AC58" i="1"/>
  <c r="AB24" i="19"/>
  <c r="Q10" i="19"/>
  <c r="Q40" i="19"/>
  <c r="AC10" i="19"/>
  <c r="W50" i="19"/>
  <c r="AI50" i="19"/>
  <c r="AC20" i="19"/>
  <c r="K40" i="19"/>
  <c r="AI40" i="19"/>
  <c r="W20" i="19"/>
  <c r="K20" i="19"/>
  <c r="AC35" i="1"/>
  <c r="AI10" i="19"/>
  <c r="W10" i="19"/>
  <c r="W40" i="19"/>
  <c r="Q30" i="19"/>
  <c r="AC30" i="19"/>
  <c r="Q50" i="19"/>
  <c r="W30" i="19"/>
  <c r="K10" i="19"/>
  <c r="Q20" i="19"/>
  <c r="AI30" i="19"/>
  <c r="AC40" i="19"/>
  <c r="AC50" i="19"/>
  <c r="K50" i="19"/>
  <c r="AI20" i="19"/>
  <c r="K30" i="19"/>
  <c r="O20" i="19"/>
  <c r="O50" i="19"/>
  <c r="AG50" i="19"/>
  <c r="AG30" i="19"/>
  <c r="O30" i="19"/>
  <c r="U40" i="19"/>
  <c r="AA40" i="19"/>
  <c r="U30" i="19"/>
  <c r="AG10" i="19"/>
  <c r="O40" i="19"/>
  <c r="AC39" i="1"/>
  <c r="AG40" i="19"/>
  <c r="AM10" i="19"/>
  <c r="AA30" i="19"/>
  <c r="AA10" i="19"/>
  <c r="AG20" i="19"/>
  <c r="AA20" i="19"/>
  <c r="AA50" i="19"/>
  <c r="O10" i="19"/>
  <c r="AM30" i="19"/>
  <c r="U50" i="19"/>
  <c r="AM40" i="19"/>
  <c r="AM50" i="19"/>
  <c r="U20" i="19"/>
  <c r="U10" i="19"/>
  <c r="AM20" i="19"/>
  <c r="AJ26" i="19"/>
  <c r="R46" i="19"/>
  <c r="R26" i="19"/>
  <c r="AJ46" i="19"/>
  <c r="X36" i="19"/>
  <c r="AC12" i="1"/>
  <c r="R16" i="19"/>
  <c r="R6" i="19"/>
  <c r="AJ36" i="19"/>
  <c r="AJ6" i="19"/>
  <c r="AD6" i="19"/>
  <c r="AD46" i="19"/>
  <c r="AD36" i="19"/>
  <c r="L6" i="19"/>
  <c r="L36" i="19"/>
  <c r="AD26" i="19"/>
  <c r="L26" i="19"/>
  <c r="X16" i="19"/>
  <c r="L16" i="19"/>
  <c r="AJ16" i="19"/>
  <c r="R36" i="19"/>
  <c r="AD16" i="19"/>
  <c r="X46" i="19"/>
  <c r="L46" i="19"/>
  <c r="X26" i="19"/>
  <c r="X6" i="19"/>
  <c r="AL37" i="19"/>
  <c r="AF47" i="19"/>
  <c r="AL7" i="19"/>
  <c r="Z47" i="19"/>
  <c r="AC20" i="1"/>
  <c r="AL17" i="19"/>
  <c r="Z17" i="19"/>
  <c r="T37" i="19"/>
  <c r="Z7" i="19"/>
  <c r="AF37" i="19"/>
  <c r="AF27" i="19"/>
  <c r="AL27" i="19"/>
  <c r="T27" i="19"/>
  <c r="T17" i="19"/>
  <c r="Z37" i="19"/>
  <c r="AF7" i="19"/>
  <c r="N37" i="19"/>
  <c r="T47" i="19"/>
  <c r="N47" i="19"/>
  <c r="AL47" i="19"/>
  <c r="T7" i="19"/>
  <c r="N27" i="19"/>
  <c r="N7" i="19"/>
  <c r="AF17" i="19"/>
  <c r="N17" i="19"/>
  <c r="Z27" i="19"/>
  <c r="S48" i="19"/>
  <c r="S28" i="19"/>
  <c r="S38" i="19"/>
  <c r="AE28" i="19"/>
  <c r="AK28" i="19"/>
  <c r="AE48" i="19"/>
  <c r="M48" i="19"/>
  <c r="Y48" i="19"/>
  <c r="Y18" i="19"/>
  <c r="AE8" i="19"/>
  <c r="M8" i="19"/>
  <c r="AK8" i="19"/>
  <c r="AE38" i="19"/>
  <c r="Y8" i="19"/>
  <c r="Y38" i="19"/>
  <c r="M38" i="19"/>
  <c r="M28" i="19"/>
  <c r="S8" i="19"/>
  <c r="S18" i="19"/>
  <c r="AK18" i="19"/>
  <c r="Y28" i="19"/>
  <c r="AC25" i="1"/>
  <c r="AE18" i="19"/>
  <c r="AK48" i="19"/>
  <c r="AK38" i="19"/>
  <c r="M18" i="19"/>
  <c r="AG51" i="19"/>
  <c r="U11" i="19"/>
  <c r="U51" i="19"/>
  <c r="O21" i="19"/>
  <c r="AG41" i="19"/>
  <c r="AG11" i="19"/>
  <c r="O31" i="19"/>
  <c r="AM21" i="19"/>
  <c r="AA51" i="19"/>
  <c r="O11" i="19"/>
  <c r="AM51" i="19"/>
  <c r="U31" i="19"/>
  <c r="O51" i="19"/>
  <c r="O41" i="19"/>
  <c r="AA11" i="19"/>
  <c r="AA31" i="19"/>
  <c r="AG31" i="19"/>
  <c r="AG21" i="19"/>
  <c r="AM31" i="19"/>
  <c r="U41" i="19"/>
  <c r="AM41" i="19"/>
  <c r="U21" i="19"/>
  <c r="AA21" i="19"/>
  <c r="AC45" i="1"/>
  <c r="AA41" i="19"/>
  <c r="AM11" i="19"/>
  <c r="Z19" i="19"/>
  <c r="N49" i="19"/>
  <c r="N9" i="19"/>
  <c r="AF19" i="19"/>
  <c r="Z49" i="19"/>
  <c r="T19" i="19"/>
  <c r="N29" i="19"/>
  <c r="N19" i="19"/>
  <c r="AL49" i="19"/>
  <c r="AL29" i="19"/>
  <c r="Z39" i="19"/>
  <c r="T29" i="19"/>
  <c r="AF49" i="19"/>
  <c r="T39" i="19"/>
  <c r="AF9" i="19"/>
  <c r="AL19" i="19"/>
  <c r="AL39" i="19"/>
  <c r="AL9" i="19"/>
  <c r="Z9" i="19"/>
  <c r="AF39" i="19"/>
  <c r="T49" i="19"/>
  <c r="AC32" i="1"/>
  <c r="T9" i="19"/>
  <c r="Z29" i="19"/>
  <c r="N39" i="19"/>
  <c r="AF29" i="19"/>
  <c r="AC49" i="1"/>
  <c r="S22" i="19"/>
  <c r="AE42" i="19"/>
  <c r="S12" i="19"/>
  <c r="Y22" i="19"/>
  <c r="M42" i="19"/>
  <c r="M32" i="19"/>
  <c r="S32" i="19"/>
  <c r="Y12" i="19"/>
  <c r="M52" i="19"/>
  <c r="AK32" i="19"/>
  <c r="Y52" i="19"/>
  <c r="Y32" i="19"/>
  <c r="Y42" i="19"/>
  <c r="AE52" i="19"/>
  <c r="AK12" i="19"/>
  <c r="AK22" i="19"/>
  <c r="M22" i="19"/>
  <c r="AE22" i="19"/>
  <c r="M12" i="19"/>
  <c r="S42" i="19"/>
  <c r="AK42" i="19"/>
  <c r="AE32" i="19"/>
  <c r="AK52" i="19"/>
  <c r="S52" i="19"/>
  <c r="AE12" i="19"/>
  <c r="AF31" i="19"/>
  <c r="N21" i="19"/>
  <c r="AL51" i="19"/>
  <c r="AF41" i="19"/>
  <c r="N51" i="19"/>
  <c r="AF21" i="19"/>
  <c r="AF11" i="19"/>
  <c r="Z51" i="19"/>
  <c r="Z31" i="19"/>
  <c r="AF51" i="19"/>
  <c r="N31" i="19"/>
  <c r="N41" i="19"/>
  <c r="AL11" i="19"/>
  <c r="AC44" i="1"/>
  <c r="Z11" i="19"/>
  <c r="T11" i="19"/>
  <c r="AL21" i="19"/>
  <c r="T51" i="19"/>
  <c r="AL41" i="19"/>
  <c r="T41" i="19"/>
  <c r="Z41" i="19"/>
  <c r="Z21" i="19"/>
  <c r="AL31" i="19"/>
  <c r="T21" i="19"/>
  <c r="N11" i="19"/>
  <c r="T31" i="19"/>
  <c r="AE27" i="19"/>
  <c r="AE37" i="19"/>
  <c r="S47" i="19"/>
  <c r="AE17" i="19"/>
  <c r="Y17" i="19"/>
  <c r="AK37" i="19"/>
  <c r="AK27" i="19"/>
  <c r="AE7" i="19"/>
  <c r="AK17" i="19"/>
  <c r="Y7" i="19"/>
  <c r="M27" i="19"/>
  <c r="S27" i="19"/>
  <c r="Y37" i="19"/>
  <c r="M7" i="19"/>
  <c r="S37" i="19"/>
  <c r="Y27" i="19"/>
  <c r="M37" i="19"/>
  <c r="AK7" i="19"/>
  <c r="AC19" i="1"/>
  <c r="Y47" i="19"/>
  <c r="AK47" i="19"/>
  <c r="S7" i="19"/>
  <c r="M47" i="19"/>
  <c r="AE47" i="19"/>
  <c r="S17" i="19"/>
  <c r="M17" i="19"/>
  <c r="AD38" i="19"/>
  <c r="X48" i="19"/>
  <c r="AJ38" i="19"/>
  <c r="AD8" i="19"/>
  <c r="L18" i="19"/>
  <c r="AJ48" i="19"/>
  <c r="L38" i="19"/>
  <c r="R8" i="19"/>
  <c r="R38" i="19"/>
  <c r="AJ28" i="19"/>
  <c r="AJ18" i="19"/>
  <c r="X18" i="19"/>
  <c r="AD28" i="19"/>
  <c r="X8" i="19"/>
  <c r="R28" i="19"/>
  <c r="L28" i="19"/>
  <c r="R48" i="19"/>
  <c r="X28" i="19"/>
  <c r="L8" i="19"/>
  <c r="X38" i="19"/>
  <c r="AD18" i="19"/>
  <c r="AC24" i="1"/>
  <c r="L48" i="19"/>
  <c r="AD48" i="19"/>
  <c r="R18" i="19"/>
  <c r="AJ8" i="19"/>
  <c r="AC66" i="1"/>
  <c r="AD15" i="19"/>
  <c r="X25" i="19"/>
  <c r="AJ15" i="19"/>
  <c r="L15" i="19"/>
  <c r="AJ25" i="19"/>
  <c r="AJ35" i="19"/>
  <c r="L45" i="19"/>
  <c r="AJ45" i="19"/>
  <c r="AJ55" i="19"/>
  <c r="L25" i="19"/>
  <c r="R25" i="19"/>
  <c r="AD25" i="19"/>
  <c r="AD55" i="19"/>
  <c r="X35" i="19"/>
  <c r="R15" i="19"/>
  <c r="R35" i="19"/>
  <c r="X45" i="19"/>
  <c r="AD35" i="19"/>
  <c r="X15" i="19"/>
  <c r="R45" i="19"/>
  <c r="R55" i="19"/>
  <c r="L55" i="19"/>
  <c r="X55" i="19"/>
  <c r="L35" i="19"/>
  <c r="AD45" i="19"/>
  <c r="W7" i="19"/>
  <c r="AI37" i="19"/>
  <c r="Q7" i="19"/>
  <c r="K47" i="19"/>
  <c r="AC17" i="19"/>
  <c r="K17" i="19"/>
  <c r="W17" i="19"/>
  <c r="AC37" i="19"/>
  <c r="K7" i="19"/>
  <c r="Q47" i="19"/>
  <c r="K37" i="19"/>
  <c r="AI17" i="19"/>
  <c r="AC7" i="19"/>
  <c r="AI47" i="19"/>
  <c r="K27" i="19"/>
  <c r="Q17" i="19"/>
  <c r="Q27" i="19"/>
  <c r="AC27" i="19"/>
  <c r="AC47" i="19"/>
  <c r="AC17" i="1"/>
  <c r="AI27" i="19"/>
  <c r="W37" i="19"/>
  <c r="AI7" i="19"/>
  <c r="Q37" i="19"/>
  <c r="W27" i="19"/>
  <c r="W47" i="19"/>
  <c r="AC44" i="19"/>
  <c r="W44" i="19"/>
  <c r="W54" i="19"/>
  <c r="Q14" i="19"/>
  <c r="AI34" i="19"/>
  <c r="AC54" i="19"/>
  <c r="AC34" i="19"/>
  <c r="AI54" i="19"/>
  <c r="AC24" i="19"/>
  <c r="K14" i="19"/>
  <c r="Q24" i="19"/>
  <c r="AI24" i="19"/>
  <c r="AI14" i="19"/>
  <c r="Q44" i="19"/>
  <c r="AC14" i="19"/>
  <c r="K44" i="19"/>
  <c r="Q54" i="19"/>
  <c r="Q34" i="19"/>
  <c r="W24" i="19"/>
  <c r="W34" i="19"/>
  <c r="K54" i="19"/>
  <c r="K34" i="19"/>
  <c r="W14" i="19"/>
  <c r="K24" i="19"/>
  <c r="AI44" i="19"/>
  <c r="AC59" i="1"/>
  <c r="AK13" i="19"/>
  <c r="AK43" i="19"/>
  <c r="Y53" i="19"/>
  <c r="Y33" i="19"/>
  <c r="Y43" i="19"/>
  <c r="M53" i="19"/>
  <c r="AE13" i="19"/>
  <c r="M43" i="19"/>
  <c r="S13" i="19"/>
  <c r="AK33" i="19"/>
  <c r="AE33" i="19"/>
  <c r="M23" i="19"/>
  <c r="AK53" i="19"/>
  <c r="M33" i="19"/>
  <c r="S43" i="19"/>
  <c r="S33" i="19"/>
  <c r="AE53" i="19"/>
  <c r="AC55" i="1"/>
  <c r="S23" i="19"/>
  <c r="Y13" i="19"/>
  <c r="AK23" i="19"/>
  <c r="AE23" i="19"/>
  <c r="Y23" i="19"/>
  <c r="AE43" i="19"/>
  <c r="S53" i="19"/>
  <c r="M13" i="19"/>
  <c r="AF32" i="19"/>
  <c r="AF12" i="19"/>
  <c r="T22" i="19"/>
  <c r="AL32" i="19"/>
  <c r="T42" i="19"/>
  <c r="AF52" i="19"/>
  <c r="N52" i="19"/>
  <c r="Z42" i="19"/>
  <c r="AF22" i="19"/>
  <c r="AL52" i="19"/>
  <c r="T12" i="19"/>
  <c r="N22" i="19"/>
  <c r="Z32" i="19"/>
  <c r="AL12" i="19"/>
  <c r="N42" i="19"/>
  <c r="AL42" i="19"/>
  <c r="Z22" i="19"/>
  <c r="AC50" i="1"/>
  <c r="T32" i="19"/>
  <c r="AF42" i="19"/>
  <c r="AL22" i="19"/>
  <c r="Z12" i="19"/>
  <c r="T52" i="19"/>
  <c r="Z52" i="19"/>
  <c r="N32" i="19"/>
  <c r="N12" i="19"/>
  <c r="U29" i="19"/>
  <c r="O19" i="19"/>
  <c r="U19" i="19"/>
  <c r="AC33" i="1"/>
  <c r="AA39" i="19"/>
  <c r="U9" i="19"/>
  <c r="AG49" i="19"/>
  <c r="AM49" i="19"/>
  <c r="AA9" i="19"/>
  <c r="O29" i="19"/>
  <c r="AM39" i="19"/>
  <c r="AA29" i="19"/>
  <c r="O49" i="19"/>
  <c r="AM29" i="19"/>
  <c r="AG39" i="19"/>
  <c r="U49" i="19"/>
  <c r="O9" i="19"/>
  <c r="AA49" i="19"/>
  <c r="U39" i="19"/>
  <c r="AG29" i="19"/>
  <c r="AG19" i="19"/>
  <c r="AM19" i="19"/>
  <c r="AM9" i="19"/>
  <c r="O39" i="19"/>
  <c r="AA19" i="19"/>
  <c r="AG9" i="19"/>
  <c r="W49" i="19"/>
  <c r="W19" i="19"/>
  <c r="Q19" i="19"/>
  <c r="AC39" i="19"/>
  <c r="AI9" i="19"/>
  <c r="K29" i="19"/>
  <c r="AI29" i="19"/>
  <c r="W29" i="19"/>
  <c r="Q29" i="19"/>
  <c r="AC49" i="19"/>
  <c r="AC19" i="19"/>
  <c r="AI19" i="19"/>
  <c r="AC9" i="19"/>
  <c r="K19" i="19"/>
  <c r="W39" i="19"/>
  <c r="K49" i="19"/>
  <c r="Q39" i="19"/>
  <c r="Q9" i="19"/>
  <c r="AI39" i="19"/>
  <c r="AC29" i="19"/>
  <c r="K39" i="19"/>
  <c r="AI49" i="19"/>
  <c r="W9" i="19"/>
  <c r="AC29" i="1"/>
  <c r="Q49" i="19"/>
  <c r="K9" i="19"/>
  <c r="T20" i="19"/>
  <c r="AF30" i="19"/>
  <c r="AL50" i="19"/>
  <c r="N30" i="19"/>
  <c r="AL40" i="19"/>
  <c r="AL30" i="19"/>
  <c r="Z50" i="19"/>
  <c r="AC38" i="1"/>
  <c r="AL10" i="19"/>
  <c r="Z20" i="19"/>
  <c r="AF50" i="19"/>
  <c r="T50" i="19"/>
  <c r="Z40" i="19"/>
  <c r="T40" i="19"/>
  <c r="N40" i="19"/>
  <c r="AF40" i="19"/>
  <c r="T30" i="19"/>
  <c r="AL20" i="19"/>
  <c r="Z10" i="19"/>
  <c r="N20" i="19"/>
  <c r="AF20" i="19"/>
  <c r="N10" i="19"/>
  <c r="AF10" i="19"/>
  <c r="T10" i="19"/>
  <c r="N50" i="19"/>
  <c r="Z30" i="19"/>
  <c r="AI51" i="19"/>
  <c r="Q21" i="19"/>
  <c r="AC31" i="19"/>
  <c r="K41" i="19"/>
  <c r="AI21" i="19"/>
  <c r="W31" i="19"/>
  <c r="AI11" i="19"/>
  <c r="AI31" i="19"/>
  <c r="AI41" i="19"/>
  <c r="AC21" i="19"/>
  <c r="K11" i="19"/>
  <c r="W11" i="19"/>
  <c r="K31" i="19"/>
  <c r="AC51" i="19"/>
  <c r="AC41" i="19"/>
  <c r="W51" i="19"/>
  <c r="Q31" i="19"/>
  <c r="K51" i="19"/>
  <c r="Q51" i="19"/>
  <c r="K21" i="19"/>
  <c r="AC41" i="1"/>
  <c r="W21" i="19"/>
  <c r="AC11" i="19"/>
  <c r="Q41" i="19"/>
  <c r="W41" i="19"/>
  <c r="Q11" i="19"/>
  <c r="P47" i="19"/>
  <c r="V7" i="19"/>
  <c r="AB17" i="19"/>
  <c r="J17" i="19"/>
  <c r="P27" i="19"/>
  <c r="V37" i="19"/>
  <c r="AB37" i="19"/>
  <c r="J7" i="19"/>
  <c r="V27" i="19"/>
  <c r="AH37" i="19"/>
  <c r="P7" i="19"/>
  <c r="J47" i="19"/>
  <c r="P17" i="19"/>
  <c r="AB27" i="19"/>
  <c r="AH47" i="19"/>
  <c r="V47" i="19"/>
  <c r="P37" i="19"/>
  <c r="AB7" i="19"/>
  <c r="V17" i="19"/>
  <c r="AH17" i="19"/>
  <c r="AH27" i="19"/>
  <c r="AH7" i="19"/>
  <c r="AB47" i="19"/>
  <c r="J37" i="19"/>
  <c r="AC16" i="1"/>
  <c r="J27" i="19"/>
  <c r="AM46" i="19"/>
  <c r="AA16" i="19"/>
  <c r="U26" i="19"/>
  <c r="O26" i="19"/>
  <c r="O6" i="19"/>
  <c r="AA46" i="19"/>
  <c r="AG26" i="19"/>
  <c r="AA36" i="19"/>
  <c r="AM26" i="19"/>
  <c r="O16" i="19"/>
  <c r="AG46" i="19"/>
  <c r="O46" i="19"/>
  <c r="AM16" i="19"/>
  <c r="AM6" i="19"/>
  <c r="AC15" i="1"/>
  <c r="U16" i="19"/>
  <c r="O36" i="19"/>
  <c r="U6" i="19"/>
  <c r="U46" i="19"/>
  <c r="AG36" i="19"/>
  <c r="AG6" i="19"/>
  <c r="U36" i="19"/>
  <c r="AA26" i="19"/>
  <c r="AA6" i="19"/>
  <c r="AM36" i="19"/>
  <c r="AG16" i="19"/>
  <c r="AD27" i="19"/>
  <c r="X7" i="19"/>
  <c r="AJ47" i="19"/>
  <c r="L27" i="19"/>
  <c r="L17" i="19"/>
  <c r="AD7" i="19"/>
  <c r="AD17" i="19"/>
  <c r="R7" i="19"/>
  <c r="R17" i="19"/>
  <c r="L47" i="19"/>
  <c r="AJ17" i="19"/>
  <c r="R37" i="19"/>
  <c r="AD47" i="19"/>
  <c r="X47" i="19"/>
  <c r="X37" i="19"/>
  <c r="L7" i="19"/>
  <c r="R27" i="19"/>
  <c r="X27" i="19"/>
  <c r="X17" i="19"/>
  <c r="AJ27" i="19"/>
  <c r="AC18" i="1"/>
  <c r="R47" i="19"/>
  <c r="AJ37" i="19"/>
  <c r="AD37" i="19"/>
  <c r="L37" i="19"/>
  <c r="AJ7" i="19"/>
  <c r="AD34" i="19"/>
  <c r="AC60" i="1"/>
  <c r="AJ44" i="19"/>
  <c r="AD44" i="19"/>
  <c r="X24" i="19"/>
  <c r="L44" i="19"/>
  <c r="L34" i="19"/>
  <c r="R44" i="19"/>
  <c r="AJ34" i="19"/>
  <c r="AD54" i="19"/>
  <c r="L54" i="19"/>
  <c r="AJ24" i="19"/>
  <c r="X14" i="19"/>
  <c r="AJ14" i="19"/>
  <c r="X44" i="19"/>
  <c r="R34" i="19"/>
  <c r="X54" i="19"/>
  <c r="R24" i="19"/>
  <c r="AJ54" i="19"/>
  <c r="L24" i="19"/>
  <c r="AD14" i="19"/>
  <c r="R14" i="19"/>
  <c r="L14" i="19"/>
  <c r="AD24" i="19"/>
  <c r="R54" i="19"/>
  <c r="X34" i="19"/>
  <c r="AI28" i="19"/>
  <c r="W48" i="19"/>
  <c r="AI38" i="19"/>
  <c r="W28" i="19"/>
  <c r="W8" i="19"/>
  <c r="K48" i="19"/>
  <c r="AC23" i="1"/>
  <c r="K18" i="19"/>
  <c r="Q8" i="19"/>
  <c r="Q28" i="19"/>
  <c r="AI48" i="19"/>
  <c r="Q48" i="19"/>
  <c r="K8" i="19"/>
  <c r="Q38" i="19"/>
  <c r="W18" i="19"/>
  <c r="K28" i="19"/>
  <c r="AI18" i="19"/>
  <c r="AC38" i="19"/>
  <c r="AC18" i="19"/>
  <c r="AC48" i="19"/>
  <c r="W38" i="19"/>
  <c r="Q18" i="19"/>
  <c r="AC8" i="19"/>
  <c r="K38" i="19"/>
  <c r="AC28" i="19"/>
  <c r="AI8" i="19"/>
  <c r="R8" i="18"/>
  <c r="M34" i="1"/>
  <c r="AD40" i="18"/>
  <c r="X24" i="18"/>
  <c r="R40" i="18"/>
  <c r="AJ8" i="18"/>
  <c r="L16" i="18"/>
  <c r="AJ32" i="18"/>
  <c r="L40" i="18"/>
  <c r="AJ24" i="18"/>
  <c r="AD8" i="18"/>
  <c r="AD16" i="18"/>
  <c r="R24" i="18"/>
  <c r="X16" i="18"/>
  <c r="L8" i="18"/>
  <c r="X40" i="18"/>
  <c r="AJ40" i="18"/>
  <c r="AD24" i="18"/>
  <c r="N34" i="1"/>
  <c r="L24" i="18"/>
  <c r="R16" i="18"/>
  <c r="R32" i="18"/>
  <c r="L32" i="18"/>
  <c r="AD32" i="18"/>
  <c r="AJ16" i="18"/>
  <c r="X32" i="18"/>
  <c r="X8" i="18"/>
  <c r="R22" i="18"/>
  <c r="AD38" i="18"/>
  <c r="X30" i="18"/>
  <c r="AJ6" i="18"/>
  <c r="AD22" i="18"/>
  <c r="L38" i="18"/>
  <c r="L30" i="18"/>
  <c r="L14" i="18"/>
  <c r="R38" i="18"/>
  <c r="AD6" i="18"/>
  <c r="L22" i="18"/>
  <c r="N16" i="1"/>
  <c r="L6" i="18"/>
  <c r="AJ14" i="18"/>
  <c r="R6" i="18"/>
  <c r="AD30" i="18"/>
  <c r="R30" i="18"/>
  <c r="X14" i="18"/>
  <c r="X6" i="18"/>
  <c r="X22" i="18"/>
  <c r="AJ38" i="18"/>
  <c r="M16" i="1"/>
  <c r="AJ30" i="18"/>
  <c r="AJ22" i="18"/>
  <c r="AD14" i="18"/>
  <c r="X38" i="18"/>
  <c r="R14" i="18"/>
  <c r="J30" i="18"/>
  <c r="AB6" i="18"/>
  <c r="V6" i="18"/>
  <c r="P6" i="18"/>
  <c r="P30" i="18"/>
  <c r="M10" i="1"/>
  <c r="AB10" i="1" s="1"/>
  <c r="AA10" i="1" s="1"/>
  <c r="AH22" i="18"/>
  <c r="P22" i="18"/>
  <c r="AB30" i="18"/>
  <c r="AB38" i="18"/>
  <c r="AH14" i="18"/>
  <c r="J6" i="18"/>
  <c r="AH38" i="18"/>
  <c r="V30" i="18"/>
  <c r="AH30" i="18"/>
  <c r="J14" i="18"/>
  <c r="J22" i="18"/>
  <c r="P14" i="18"/>
  <c r="P38" i="18"/>
  <c r="V22" i="18"/>
  <c r="AB22" i="18"/>
  <c r="J38" i="18"/>
  <c r="V38" i="18"/>
  <c r="V14" i="18"/>
  <c r="AH6" i="18"/>
  <c r="AB14" i="18"/>
  <c r="N10" i="1"/>
  <c r="AL10" i="18"/>
  <c r="N10" i="18"/>
  <c r="T34" i="18"/>
  <c r="T42" i="18"/>
  <c r="T18" i="18"/>
  <c r="AF26" i="18"/>
  <c r="AF18" i="18"/>
  <c r="Z34" i="18"/>
  <c r="AF34" i="18"/>
  <c r="Z26" i="18"/>
  <c r="Z42" i="18"/>
  <c r="Z10" i="18"/>
  <c r="N34" i="18"/>
  <c r="AF42" i="18"/>
  <c r="N18" i="18"/>
  <c r="AL34" i="18"/>
  <c r="M58" i="1"/>
  <c r="T10" i="18"/>
  <c r="AL26" i="18"/>
  <c r="T26" i="18"/>
  <c r="AF10" i="18"/>
  <c r="N42" i="18"/>
  <c r="N26" i="18"/>
  <c r="N58" i="1"/>
  <c r="Z18" i="18"/>
  <c r="AL42" i="18"/>
  <c r="AL18" i="18"/>
  <c r="J16" i="18"/>
  <c r="J24" i="18"/>
  <c r="J32" i="18"/>
  <c r="V24" i="18"/>
  <c r="V8" i="18"/>
  <c r="M28" i="1"/>
  <c r="P24" i="18"/>
  <c r="AB16" i="18"/>
  <c r="N28" i="1"/>
  <c r="AH24" i="18"/>
  <c r="AH16" i="18"/>
  <c r="J40" i="18"/>
  <c r="P8" i="18"/>
  <c r="AH8" i="18"/>
  <c r="V40" i="18"/>
  <c r="P16" i="18"/>
  <c r="AH40" i="18"/>
  <c r="AB40" i="18"/>
  <c r="J8" i="18"/>
  <c r="AH32" i="18"/>
  <c r="P40" i="18"/>
  <c r="AB32" i="18"/>
  <c r="V16" i="18"/>
  <c r="V32" i="18"/>
  <c r="P32" i="18"/>
  <c r="AB24" i="18"/>
  <c r="AB8" i="18"/>
  <c r="AB18" i="18"/>
  <c r="P42" i="18"/>
  <c r="P18" i="18"/>
  <c r="AH42" i="18"/>
  <c r="AH26" i="18"/>
  <c r="V18" i="18"/>
  <c r="V26" i="18"/>
  <c r="AH18" i="18"/>
  <c r="V42" i="18"/>
  <c r="J26" i="18"/>
  <c r="J10" i="18"/>
  <c r="P26" i="18"/>
  <c r="AH10" i="18"/>
  <c r="AB42" i="18"/>
  <c r="V10" i="18"/>
  <c r="M46" i="1"/>
  <c r="AB10" i="18"/>
  <c r="AH34" i="18"/>
  <c r="AB26" i="18"/>
  <c r="J42" i="18"/>
  <c r="P10" i="18"/>
  <c r="J18" i="18"/>
  <c r="J34" i="18"/>
  <c r="V34" i="18"/>
  <c r="AB34" i="18"/>
  <c r="P34" i="18"/>
  <c r="N46" i="1"/>
  <c r="Z40" i="18"/>
  <c r="N40" i="18"/>
  <c r="M40" i="1"/>
  <c r="AF8" i="18"/>
  <c r="T32" i="18"/>
  <c r="T40" i="18"/>
  <c r="T24" i="18"/>
  <c r="Z16" i="18"/>
  <c r="T16" i="18"/>
  <c r="N24" i="18"/>
  <c r="AF24" i="18"/>
  <c r="Z32" i="18"/>
  <c r="AF40" i="18"/>
  <c r="N16" i="18"/>
  <c r="AF32" i="18"/>
  <c r="AL16" i="18"/>
  <c r="AL8" i="18"/>
  <c r="AL24" i="18"/>
  <c r="AL32" i="18"/>
  <c r="N40" i="1"/>
  <c r="Z8" i="18"/>
  <c r="Z24" i="18"/>
  <c r="T8" i="18"/>
  <c r="AF16" i="18"/>
  <c r="AL40" i="18"/>
  <c r="N32" i="18"/>
  <c r="N8" i="18"/>
  <c r="T22" i="18"/>
  <c r="N38" i="18"/>
  <c r="M22" i="1"/>
  <c r="N22" i="18"/>
  <c r="AL22" i="18"/>
  <c r="Z14" i="18"/>
  <c r="AF14" i="18"/>
  <c r="N22" i="1"/>
  <c r="T14" i="18"/>
  <c r="T6" i="18"/>
  <c r="AL30" i="18"/>
  <c r="AL38" i="18"/>
  <c r="AF22" i="18"/>
  <c r="AF30" i="18"/>
  <c r="Z30" i="18"/>
  <c r="N6" i="18"/>
  <c r="N30" i="18"/>
  <c r="N14" i="18"/>
  <c r="Z22" i="18"/>
  <c r="AL14" i="18"/>
  <c r="Z6" i="18"/>
  <c r="AF6" i="18"/>
  <c r="T30" i="18"/>
  <c r="AF38" i="18"/>
  <c r="AL6" i="18"/>
  <c r="T38" i="18"/>
  <c r="Z38" i="18"/>
  <c r="J20" i="18"/>
  <c r="P44" i="18"/>
  <c r="V12" i="18"/>
  <c r="J12" i="18"/>
  <c r="AB28" i="18"/>
  <c r="M64" i="1"/>
  <c r="AH44" i="18"/>
  <c r="J36" i="18"/>
  <c r="AH28" i="18"/>
  <c r="AH36" i="18"/>
  <c r="P28" i="18"/>
  <c r="P20" i="18"/>
  <c r="N64" i="1"/>
  <c r="AB20" i="18"/>
  <c r="P36" i="18"/>
  <c r="J44" i="18"/>
  <c r="P12" i="18"/>
  <c r="V36" i="18"/>
  <c r="AB12" i="18"/>
  <c r="J28" i="18"/>
  <c r="AB44" i="18"/>
  <c r="V20" i="18"/>
  <c r="AH12" i="18"/>
  <c r="AB36" i="18"/>
  <c r="V28" i="18"/>
  <c r="AH20" i="18"/>
  <c r="V44" i="18"/>
  <c r="X42" i="18"/>
  <c r="AJ10" i="18"/>
  <c r="AJ42" i="18"/>
  <c r="X10" i="18"/>
  <c r="AD34" i="18"/>
  <c r="AD42" i="18"/>
  <c r="AD10" i="18"/>
  <c r="AJ34" i="18"/>
  <c r="X34" i="18"/>
  <c r="L10" i="18"/>
  <c r="L42" i="18"/>
  <c r="R42" i="18"/>
  <c r="R10" i="18"/>
  <c r="R26" i="18"/>
  <c r="L26" i="18"/>
  <c r="M52" i="1"/>
  <c r="X26" i="18"/>
  <c r="X18" i="18"/>
  <c r="AJ18" i="18"/>
  <c r="AD18" i="18"/>
  <c r="L18" i="18"/>
  <c r="AJ26" i="18"/>
  <c r="R34" i="18"/>
  <c r="N52" i="1"/>
  <c r="R18" i="18"/>
  <c r="AD26" i="18"/>
  <c r="L34" i="18"/>
  <c r="P6" i="19" l="1"/>
  <c r="AB16" i="19"/>
  <c r="AC10" i="1"/>
  <c r="J46" i="19"/>
  <c r="AH6" i="19"/>
  <c r="V46" i="19"/>
  <c r="J16" i="19"/>
  <c r="AB6" i="19"/>
  <c r="V26" i="19"/>
  <c r="AH46" i="19"/>
  <c r="P36" i="19"/>
  <c r="AB36" i="19"/>
  <c r="AB46" i="19"/>
  <c r="AH36" i="19"/>
  <c r="J36" i="19"/>
  <c r="J6" i="19"/>
  <c r="AH16" i="19"/>
  <c r="P26" i="19"/>
  <c r="P46" i="19"/>
  <c r="V16" i="19"/>
  <c r="J26" i="19"/>
  <c r="P16" i="19"/>
  <c r="AB26" i="19"/>
  <c r="V36" i="19"/>
  <c r="V6" i="19"/>
  <c r="AH26"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L10" authorId="0" shapeId="0" xr:uid="{3BCFDA5A-13F5-46DB-B46C-E85B2B0E943A}">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E15" authorId="1" shapeId="0" xr:uid="{2AB6702A-E29E-40D8-B211-26F1695B93DF}">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F15" authorId="2" shapeId="0" xr:uid="{76997C76-55AE-4537-859B-5A89AE69CD10}">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15" authorId="1" shapeId="0" xr:uid="{6604BB23-9735-4CD1-BA73-ED47AC370AED}">
      <text>
        <r>
          <rPr>
            <b/>
            <sz val="9"/>
            <color indexed="81"/>
            <rFont val="Tahoma"/>
            <family val="2"/>
          </rPr>
          <t>Deisy Estupiñan:</t>
        </r>
        <r>
          <rPr>
            <sz val="9"/>
            <color indexed="81"/>
            <rFont val="Tahoma"/>
            <family val="2"/>
          </rPr>
          <t xml:space="preserve">
AUTOMATICO</t>
        </r>
      </text>
    </comment>
    <comment ref="J15" authorId="1" shapeId="0" xr:uid="{7D436C65-8ED9-4426-AF6A-93B11BCCECAA}">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O15" authorId="1" shapeId="0" xr:uid="{28DE6CB9-6C05-4014-BC39-FDAC7EA6A2A2}">
      <text>
        <r>
          <rPr>
            <b/>
            <sz val="9"/>
            <color indexed="81"/>
            <rFont val="Tahoma"/>
            <family val="2"/>
          </rPr>
          <t>Deisy Estupiñan:</t>
        </r>
        <r>
          <rPr>
            <sz val="9"/>
            <color indexed="81"/>
            <rFont val="Tahoma"/>
            <family val="2"/>
          </rPr>
          <t xml:space="preserve">
Debe contener Responsable de ejecutar el control, acción y complemento</t>
        </r>
      </text>
    </comment>
    <comment ref="AI15" authorId="1" shapeId="0" xr:uid="{D0C09EB4-2CC8-4F87-9068-ACBA6E53A012}">
      <text>
        <r>
          <rPr>
            <b/>
            <sz val="9"/>
            <color indexed="81"/>
            <rFont val="Tahoma"/>
            <family val="2"/>
          </rPr>
          <t>Deisy Estupiñan:</t>
        </r>
        <r>
          <rPr>
            <sz val="9"/>
            <color indexed="81"/>
            <rFont val="Tahoma"/>
            <family val="2"/>
          </rPr>
          <t xml:space="preserve">
Pasar a a matriz grande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Deisy Estupiñan</author>
  </authors>
  <commentList>
    <comment ref="D33" authorId="0" shapeId="0" xr:uid="{75DA12FC-380B-4595-935E-A96FF2D2C0DD}">
      <text>
        <r>
          <rPr>
            <b/>
            <sz val="9"/>
            <color indexed="81"/>
            <rFont val="Tahoma"/>
            <family val="2"/>
          </rPr>
          <t>Deisy Estupiñan:</t>
        </r>
        <r>
          <rPr>
            <sz val="9"/>
            <color indexed="81"/>
            <rFont val="Tahoma"/>
            <family val="2"/>
          </rPr>
          <t xml:space="preserve">
Lavado de Activos
y Financiación del Terrorismo</t>
        </r>
      </text>
    </comment>
    <comment ref="D45" authorId="0" shapeId="0" xr:uid="{444D14CC-A39E-4E85-AA2F-EFBD1DE25089}">
      <text>
        <r>
          <rPr>
            <b/>
            <sz val="9"/>
            <color indexed="81"/>
            <rFont val="Tahoma"/>
            <family val="2"/>
          </rPr>
          <t>Deisy Estupiñan:</t>
        </r>
        <r>
          <rPr>
            <sz val="9"/>
            <color indexed="81"/>
            <rFont val="Tahoma"/>
            <family val="2"/>
          </rPr>
          <t xml:space="preserve">
Unidad de Información y Análisis Financiero (UIAF)
</t>
        </r>
      </text>
    </comment>
    <comment ref="D81" authorId="0" shapeId="0" xr:uid="{2F076C6E-4637-4F6C-87B6-17C5A00154E3}">
      <text>
        <r>
          <rPr>
            <b/>
            <sz val="9"/>
            <color indexed="81"/>
            <rFont val="Tahoma"/>
            <family val="2"/>
          </rPr>
          <t>Deisy Estupiñan:</t>
        </r>
        <r>
          <rPr>
            <sz val="9"/>
            <color indexed="81"/>
            <rFont val="Tahoma"/>
            <family val="2"/>
          </rPr>
          <t xml:space="preserve">
Las fuentes que se refieren a los generadores de riesgo, clientes usuarios, proveedores, usuarios,
productos, jurisdicciones, entre otros;</t>
        </r>
      </text>
    </comment>
    <comment ref="E81" authorId="0" shapeId="0" xr:uid="{2A66E197-2D5A-4F11-B159-0A31ACF97A32}">
      <text>
        <r>
          <rPr>
            <b/>
            <sz val="9"/>
            <color indexed="81"/>
            <rFont val="Tahoma"/>
            <family val="2"/>
          </rPr>
          <t>Deisy Estupiñan:</t>
        </r>
        <r>
          <rPr>
            <sz val="9"/>
            <color indexed="81"/>
            <rFont val="Tahoma"/>
            <family val="2"/>
          </rPr>
          <t xml:space="preserve">
¿cómo?, ¿cuándo? y ¿dónde?;</t>
        </r>
      </text>
    </comment>
    <comment ref="G81" authorId="0" shapeId="0" xr:uid="{BF2D3A8F-B801-4127-8C96-C0F89359ED83}">
      <text>
        <r>
          <rPr>
            <b/>
            <sz val="9"/>
            <color indexed="81"/>
            <rFont val="Tahoma"/>
            <family val="2"/>
          </rPr>
          <t>Deisy Estupiñan:</t>
        </r>
        <r>
          <rPr>
            <sz val="9"/>
            <color indexed="81"/>
            <rFont val="Tahoma"/>
            <family val="2"/>
          </rPr>
          <t xml:space="preserve">
Afectación de los objetivos de la entidad</t>
        </r>
      </text>
    </comment>
    <comment ref="I81" authorId="0" shapeId="0" xr:uid="{DCEBA209-04B7-4DD0-ABC7-A1CFBD78BCB1}">
      <text>
        <r>
          <rPr>
            <b/>
            <sz val="9"/>
            <color indexed="81"/>
            <rFont val="Tahoma"/>
            <family val="2"/>
          </rPr>
          <t>Deisy Estupiñan:</t>
        </r>
        <r>
          <rPr>
            <sz val="9"/>
            <color indexed="81"/>
            <rFont val="Tahoma"/>
            <family val="2"/>
          </rPr>
          <t xml:space="preserve">
como por ejemplo carencia de políticas</t>
        </r>
      </text>
    </comment>
    <comment ref="K81" authorId="0" shapeId="0" xr:uid="{F5305ABB-070B-4BDA-BDF8-916DE0CC1257}">
      <text>
        <r>
          <rPr>
            <b/>
            <sz val="9"/>
            <color indexed="81"/>
            <rFont val="Tahoma"/>
            <family val="2"/>
          </rPr>
          <t>Deisy Estupiñan:</t>
        </r>
        <r>
          <rPr>
            <sz val="9"/>
            <color indexed="81"/>
            <rFont val="Tahoma"/>
            <family val="2"/>
          </rPr>
          <t xml:space="preserve">
como por ejemplo carencia de políticas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tc={B1C731C1-77D1-4866-AACF-6CA64E614985}</author>
  </authors>
  <commentList>
    <comment ref="H8" authorId="0" shapeId="0" xr:uid="{B1C731C1-77D1-4866-AACF-6CA64E61498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Ajuste y lista desplegable. Ver la aprobación en politica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USER1</author>
    <author>tc={E2890CBE-F92C-4526-8E6A-9C024DEF1EE2}</author>
  </authors>
  <commentList>
    <comment ref="B8" authorId="0" shapeId="0" xr:uid="{EA8DC812-147E-4926-BB41-5E39BED77E8D}">
      <text>
        <r>
          <rPr>
            <b/>
            <sz val="9"/>
            <color indexed="81"/>
            <rFont val="Tahoma"/>
            <family val="2"/>
          </rPr>
          <t>Deisy Estupiñan:</t>
        </r>
        <r>
          <rPr>
            <sz val="9"/>
            <color indexed="81"/>
            <rFont val="Tahoma"/>
            <family val="2"/>
          </rPr>
          <t xml:space="preserve">
Es el ¿Qué?</t>
        </r>
      </text>
    </comment>
    <comment ref="C8" authorId="0" shapeId="0" xr:uid="{FC1295D0-C5AB-4AEF-BB30-54754DCAE8C5}">
      <text>
        <r>
          <rPr>
            <b/>
            <sz val="9"/>
            <color indexed="81"/>
            <rFont val="Tahoma"/>
            <family val="2"/>
          </rPr>
          <t>Deisy Estupiñan:</t>
        </r>
        <r>
          <rPr>
            <sz val="9"/>
            <color indexed="81"/>
            <rFont val="Tahoma"/>
            <family val="2"/>
          </rPr>
          <t xml:space="preserve">
Es el ¿Cómo?</t>
        </r>
      </text>
    </comment>
    <comment ref="D8" authorId="0" shapeId="0" xr:uid="{D3514842-5B1D-4BA6-A033-B102090A5C55}">
      <text>
        <r>
          <rPr>
            <b/>
            <sz val="9"/>
            <color indexed="81"/>
            <rFont val="Tahoma"/>
            <family val="2"/>
          </rPr>
          <t>Deisy Estupiñan:</t>
        </r>
        <r>
          <rPr>
            <sz val="9"/>
            <color indexed="81"/>
            <rFont val="Tahoma"/>
            <family val="2"/>
          </rPr>
          <t xml:space="preserve">
Es el ¿Por qué?</t>
        </r>
      </text>
    </comment>
    <comment ref="E8" authorId="0" shapeId="0" xr:uid="{8B510272-673C-41B6-AB4E-843340083A99}">
      <text>
        <r>
          <rPr>
            <b/>
            <sz val="9"/>
            <color indexed="81"/>
            <rFont val="Tahoma"/>
            <family val="2"/>
          </rPr>
          <t>Deisy Estupiñan:</t>
        </r>
        <r>
          <rPr>
            <sz val="9"/>
            <color indexed="81"/>
            <rFont val="Tahoma"/>
            <family val="2"/>
          </rPr>
          <t xml:space="preserve">
La estructura recomedada es iniciar con ''La posibilidad de'' continuar con el impacto + la causa inmediata + la causa raiz</t>
        </r>
      </text>
    </comment>
    <comment ref="F8" authorId="0" shapeId="0" xr:uid="{CB47CEDA-22D6-412D-94C9-C2A05F5C09B6}">
      <text>
        <r>
          <rPr>
            <b/>
            <sz val="9"/>
            <color indexed="81"/>
            <rFont val="Tahoma"/>
            <family val="2"/>
          </rPr>
          <t>Deisy Estupiñan:</t>
        </r>
        <r>
          <rPr>
            <sz val="9"/>
            <color indexed="81"/>
            <rFont val="Tahoma"/>
            <family val="2"/>
          </rPr>
          <t xml:space="preserve">
Selecciones según la lista desplegable </t>
        </r>
      </text>
    </comment>
    <comment ref="G8" authorId="0" shapeId="0" xr:uid="{794510D1-0149-4668-8965-56625CC1B671}">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H8" authorId="1" shapeId="0" xr:uid="{BDA88BC1-BEA2-4410-B517-02106D744634}">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I8" authorId="0" shapeId="0" xr:uid="{EAFC8551-EA15-4C43-BCFA-42D3E50C5A59}">
      <text>
        <r>
          <rPr>
            <b/>
            <sz val="9"/>
            <color indexed="81"/>
            <rFont val="Tahoma"/>
            <family val="2"/>
          </rPr>
          <t>Deisy Estupiñan:</t>
        </r>
        <r>
          <rPr>
            <sz val="9"/>
            <color indexed="81"/>
            <rFont val="Tahoma"/>
            <family val="2"/>
          </rPr>
          <t xml:space="preserve">
AUTOMATICO</t>
        </r>
      </text>
    </comment>
    <comment ref="J8" authorId="0" shapeId="0" xr:uid="{4EE8CE4F-E00C-4654-8407-3C3D3A3D3924}">
      <text>
        <r>
          <rPr>
            <b/>
            <sz val="9"/>
            <color indexed="81"/>
            <rFont val="Tahoma"/>
            <family val="2"/>
          </rPr>
          <t>Deisy Estupiñan:</t>
        </r>
        <r>
          <rPr>
            <sz val="9"/>
            <color indexed="81"/>
            <rFont val="Tahoma"/>
            <family val="2"/>
          </rPr>
          <t xml:space="preserve">
REPUTACIÓN:
Leve 20%: Menor a 10 SMLMV: El riesgo afecta la imagen de algún área de la organización.
Menor 40%: Entre 10 y 50 SMLMV: El riesgo afecta la imagen de la entidad internamente, deconocimiento general nivel interno, de junta directiva y accionistas y/o de proveedores.
Moderado 60%: Entre 50 y 100 SMLMV: El riesgo afecta la imagen de la entidad con algunos usuarios de relevancia frente al logro de los objetivos.
Mayor 80%: Entre 100 y 500 SMLMV: El riesgo afecta la imagen de la entidad con efecto publicitario sostenido a nivel de sector administrativo, nivel departamental o municipal.
Catastrofico 100%: Mayor a 500 SMLMV: El riesgo afecta la imagen de la entidad anivel nacional, con efecto publicitario sostenido a nivel país</t>
        </r>
      </text>
    </comment>
    <comment ref="P8" authorId="0" shapeId="0" xr:uid="{7F578326-C0BB-4E97-9262-18FBCD861FA1}">
      <text>
        <r>
          <rPr>
            <b/>
            <sz val="9"/>
            <color indexed="81"/>
            <rFont val="Tahoma"/>
            <family val="2"/>
          </rPr>
          <t>Deisy Estupiñan:</t>
        </r>
        <r>
          <rPr>
            <sz val="9"/>
            <color indexed="81"/>
            <rFont val="Tahoma"/>
            <family val="2"/>
          </rPr>
          <t xml:space="preserve">
Debe contener Responsable de ejecutar el control, acción y complemento</t>
        </r>
      </text>
    </comment>
    <comment ref="G11" authorId="0" shapeId="0" xr:uid="{9C75B816-99A8-47D7-99B2-B9AE955ADE87}">
      <text>
        <r>
          <rPr>
            <b/>
            <sz val="9"/>
            <color indexed="81"/>
            <rFont val="Tahoma"/>
            <family val="2"/>
          </rPr>
          <t>Deisy Estupiñan:</t>
        </r>
        <r>
          <rPr>
            <sz val="9"/>
            <color indexed="81"/>
            <rFont val="Tahoma"/>
            <family val="2"/>
          </rPr>
          <t xml:space="preserve">
Promedio de eventos que necesitan permiso de centro y artistica</t>
        </r>
      </text>
    </comment>
    <comment ref="E12" authorId="2" shapeId="0" xr:uid="{6D8F7210-7586-484F-8AE9-29F0120EAB11}">
      <text>
        <r>
          <rPr>
            <b/>
            <sz val="9"/>
            <color indexed="81"/>
            <rFont val="Tahoma"/>
            <family val="2"/>
          </rPr>
          <t>SUBCENTRO:</t>
        </r>
        <r>
          <rPr>
            <sz val="9"/>
            <color indexed="81"/>
            <rFont val="Tahoma"/>
            <family val="2"/>
          </rPr>
          <t xml:space="preserve">
Recomiendo revisar la redacción en términos del riesgo de incumplimiento en las metas asociado a que se declaren desiertas las convocatorias.
</t>
        </r>
        <r>
          <rPr>
            <b/>
            <sz val="9"/>
            <color indexed="81"/>
            <rFont val="Tahoma"/>
            <family val="2"/>
          </rPr>
          <t xml:space="preserve">SUBARTÍSTICA: </t>
        </r>
        <r>
          <rPr>
            <sz val="9"/>
            <color indexed="81"/>
            <rFont val="Tahoma"/>
            <family val="2"/>
          </rPr>
          <t xml:space="preserve">Más que convocatorias desiertas lo enfocamos al número de participantes, por ser una meta interna del proyecto 7682.
</t>
        </r>
      </text>
    </comment>
    <comment ref="G12" authorId="3" shapeId="0" xr:uid="{85878B16-96A6-4B21-A988-1F7890147B79}">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Número de beneficiarios proyectado para la vigencia
Respuesta:
    Se incluyen los 5 estímulos que se entregan desde Subcentro.</t>
        </r>
      </text>
    </comment>
    <comment ref="E18" authorId="0" shapeId="0" xr:uid="{915C6575-6C44-49C1-B555-AA6F87F05A37}">
      <text>
        <r>
          <rPr>
            <b/>
            <sz val="9"/>
            <color indexed="81"/>
            <rFont val="Tahoma"/>
            <family val="2"/>
          </rPr>
          <t>Deisy Estupiñan:</t>
        </r>
        <r>
          <rPr>
            <sz val="9"/>
            <color indexed="81"/>
            <rFont val="Tahoma"/>
            <family val="2"/>
          </rPr>
          <t xml:space="preserve">
Corrupción</t>
        </r>
      </text>
    </comment>
    <comment ref="P18" authorId="0" shapeId="0" xr:uid="{3114AB55-B945-48CD-80E8-5BD739D41423}">
      <text>
        <r>
          <rPr>
            <b/>
            <sz val="9"/>
            <color indexed="81"/>
            <rFont val="Tahoma"/>
            <family val="2"/>
          </rPr>
          <t>Deisy Estupiñan:</t>
        </r>
        <r>
          <rPr>
            <sz val="9"/>
            <color indexed="81"/>
            <rFont val="Tahoma"/>
            <family val="2"/>
          </rPr>
          <t xml:space="preserve">
Falta definir mejor el control, no habla de las inconsistencias. </t>
        </r>
      </text>
    </comment>
    <comment ref="P19" authorId="0" shapeId="0" xr:uid="{87669F4A-5395-42E5-B40E-1EF46172B06C}">
      <text>
        <r>
          <rPr>
            <b/>
            <sz val="9"/>
            <color indexed="81"/>
            <rFont val="Tahoma"/>
            <family val="2"/>
          </rPr>
          <t>Deisy Estupiñan:</t>
        </r>
        <r>
          <rPr>
            <sz val="9"/>
            <color indexed="81"/>
            <rFont val="Tahoma"/>
            <family val="2"/>
          </rPr>
          <t xml:space="preserve">
No esta redactado como control, el verificar esta en el proceso de gestión Jurídica.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F0906137-1BCE-4E9B-BDD0-A9C4216CF3A6}">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L14" authorId="1" shapeId="0" xr:uid="{2D504DEA-852B-4B87-B4D2-4F3F9A42C5EF}">
      <text>
        <r>
          <rPr>
            <b/>
            <sz val="9"/>
            <color indexed="81"/>
            <rFont val="Tahoma"/>
            <family val="2"/>
          </rPr>
          <t>Deisy Estupiñan:</t>
        </r>
        <r>
          <rPr>
            <sz val="9"/>
            <color indexed="81"/>
            <rFont val="Tahoma"/>
            <family val="2"/>
          </rPr>
          <t xml:space="preserve">
La estructura recomendada es iniciar con ''La posibilidad de'' </t>
        </r>
        <r>
          <rPr>
            <b/>
            <sz val="9"/>
            <color indexed="81"/>
            <rFont val="Tahoma"/>
            <family val="2"/>
          </rPr>
          <t>continuar con el impacto + la causa inmediata + la causa raíz</t>
        </r>
      </text>
    </comment>
    <comment ref="K22" authorId="1" shapeId="0" xr:uid="{BB5DB3EF-24DA-4DBA-89F4-92343AA4DDF2}">
      <text>
        <r>
          <rPr>
            <b/>
            <sz val="9"/>
            <color indexed="81"/>
            <rFont val="Tahoma"/>
            <family val="2"/>
          </rPr>
          <t>Deisy Estupiñan:</t>
        </r>
        <r>
          <rPr>
            <sz val="9"/>
            <color indexed="81"/>
            <rFont val="Tahoma"/>
            <family val="2"/>
          </rPr>
          <t xml:space="preserve">
Debe contener Responsable de ejecutar el control, acción y complemento</t>
        </r>
      </text>
    </comment>
    <comment ref="AE22" authorId="1" shapeId="0" xr:uid="{D56EEFED-3702-49F3-89D3-19342DB64987}">
      <text>
        <r>
          <rPr>
            <b/>
            <sz val="9"/>
            <color indexed="81"/>
            <rFont val="Tahoma"/>
            <family val="2"/>
          </rPr>
          <t>Deisy Estupiñan:</t>
        </r>
        <r>
          <rPr>
            <sz val="9"/>
            <color indexed="81"/>
            <rFont val="Tahoma"/>
            <family val="2"/>
          </rPr>
          <t xml:space="preserve">
Pasar a  matriz grande</t>
        </r>
      </text>
    </comment>
    <comment ref="D23" authorId="2" shapeId="0" xr:uid="{270E4D01-72C6-4A35-A27D-1A88AC1BB121}">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3" authorId="1" shapeId="0" xr:uid="{FFBD1910-E311-4FA7-AC04-0FD958EB8FAE}">
      <text>
        <r>
          <rPr>
            <b/>
            <sz val="9"/>
            <color indexed="81"/>
            <rFont val="Tahoma"/>
            <family val="2"/>
          </rPr>
          <t>Deisy Estupiñan:</t>
        </r>
        <r>
          <rPr>
            <sz val="9"/>
            <color indexed="81"/>
            <rFont val="Tahoma"/>
            <family val="2"/>
          </rPr>
          <t xml:space="preserve">
AUTOMATICO</t>
        </r>
      </text>
    </comment>
    <comment ref="F23" authorId="0" shapeId="0" xr:uid="{4609A3FE-376A-4FF9-9A18-45E83BD83BC4}">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3" authorId="1" shapeId="0" xr:uid="{95FB98D1-DF15-417E-861B-8A2D06D739E0}">
      <text>
        <r>
          <rPr>
            <b/>
            <sz val="9"/>
            <color indexed="81"/>
            <rFont val="Tahoma"/>
            <family val="2"/>
          </rPr>
          <t>Deisy Estupiñan:</t>
        </r>
        <r>
          <rPr>
            <sz val="9"/>
            <color indexed="81"/>
            <rFont val="Tahoma"/>
            <family val="2"/>
          </rPr>
          <t xml:space="preserve">
AUTOMATICO</t>
        </r>
      </text>
    </comment>
    <comment ref="C24" authorId="1" shapeId="0" xr:uid="{C2A4C8AB-DBCF-4250-94B8-E28D7FEE76D8}">
      <text>
        <r>
          <rPr>
            <b/>
            <sz val="9"/>
            <color indexed="81"/>
            <rFont val="Tahoma"/>
            <family val="2"/>
          </rPr>
          <t>Deisy Estupiñan:</t>
        </r>
        <r>
          <rPr>
            <sz val="9"/>
            <color indexed="81"/>
            <rFont val="Tahoma"/>
            <family val="2"/>
          </rPr>
          <t xml:space="preserve">
número de estímulos 2021</t>
        </r>
      </text>
    </comment>
    <comment ref="H42" authorId="1" shapeId="0" xr:uid="{5E2D2932-DC9F-43B0-A305-49E6096E82DB}">
      <text>
        <r>
          <rPr>
            <b/>
            <sz val="9"/>
            <color indexed="81"/>
            <rFont val="Tahoma"/>
            <family val="2"/>
          </rPr>
          <t>Deisy Estupiñan:</t>
        </r>
        <r>
          <rPr>
            <sz val="9"/>
            <color indexed="81"/>
            <rFont val="Tahoma"/>
            <family val="2"/>
          </rPr>
          <t xml:space="preserve">
Seleccionar la opción (SI o No)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DESTUPINAN</author>
    <author>tc={5E6AEB13-9E9A-4255-8DD5-B3BA25586B35}</author>
  </authors>
  <commentList>
    <comment ref="K14" authorId="0" shapeId="0" xr:uid="{8FC764AC-1A4D-4832-8E19-ECFD73157DFD}">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L14" authorId="1" shapeId="0" xr:uid="{F8418CAA-0A9B-4F1C-B1B2-823ECCD99A87}">
      <text>
        <r>
          <rPr>
            <b/>
            <sz val="9"/>
            <color indexed="81"/>
            <rFont val="Tahoma"/>
            <family val="2"/>
          </rPr>
          <t>Deisy Estupiñan:</t>
        </r>
        <r>
          <rPr>
            <sz val="9"/>
            <color indexed="81"/>
            <rFont val="Tahoma"/>
            <family val="2"/>
          </rPr>
          <t xml:space="preserve">
La estructura recomendada es iniciar con ''La posibilidad de'' </t>
        </r>
        <r>
          <rPr>
            <b/>
            <sz val="9"/>
            <color indexed="81"/>
            <rFont val="Tahoma"/>
            <family val="2"/>
          </rPr>
          <t>continuar con el impacto + la causa inmediata + la causa raíz</t>
        </r>
      </text>
    </comment>
    <comment ref="L15" authorId="2" shapeId="0" xr:uid="{DE9A068A-5EF7-44BC-B2A5-11E04E8D478F}">
      <text>
        <r>
          <rPr>
            <b/>
            <sz val="9"/>
            <color indexed="81"/>
            <rFont val="Tahoma"/>
            <family val="2"/>
          </rPr>
          <t>DESTUPINAN:</t>
        </r>
        <r>
          <rPr>
            <sz val="9"/>
            <color indexed="81"/>
            <rFont val="Tahoma"/>
            <family val="2"/>
          </rPr>
          <t xml:space="preserve">
Revisar si sigue el prestamo de bronx, dado que en el 2023 no estara a cargo de la fuga</t>
        </r>
      </text>
    </comment>
    <comment ref="K21" authorId="1" shapeId="0" xr:uid="{0C8711CB-B2B6-4753-8E36-E1E2E22DD346}">
      <text>
        <r>
          <rPr>
            <b/>
            <sz val="9"/>
            <color indexed="81"/>
            <rFont val="Tahoma"/>
            <family val="2"/>
          </rPr>
          <t>Deisy Estupiñan:</t>
        </r>
        <r>
          <rPr>
            <sz val="9"/>
            <color indexed="81"/>
            <rFont val="Tahoma"/>
            <family val="2"/>
          </rPr>
          <t xml:space="preserve">
Debe contener Responsable de ejecutar el control, acción y complemento</t>
        </r>
      </text>
    </comment>
    <comment ref="AE21" authorId="1" shapeId="0" xr:uid="{B69875BA-D3D6-4332-ADD5-CFC0E7816B54}">
      <text>
        <r>
          <rPr>
            <b/>
            <sz val="9"/>
            <color indexed="81"/>
            <rFont val="Tahoma"/>
            <family val="2"/>
          </rPr>
          <t>Deisy Estupiñan:</t>
        </r>
        <r>
          <rPr>
            <sz val="9"/>
            <color indexed="81"/>
            <rFont val="Tahoma"/>
            <family val="2"/>
          </rPr>
          <t xml:space="preserve">
Pasar a  matriz grande</t>
        </r>
      </text>
    </comment>
    <comment ref="D22" authorId="3" shapeId="0" xr:uid="{10F9BCAE-6A33-4BF3-9261-20A7F3FAEB81}">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2" authorId="1" shapeId="0" xr:uid="{BFE67A84-074D-46C5-B2CD-8F2000B23F5C}">
      <text>
        <r>
          <rPr>
            <b/>
            <sz val="9"/>
            <color indexed="81"/>
            <rFont val="Tahoma"/>
            <family val="2"/>
          </rPr>
          <t>Deisy Estupiñan:</t>
        </r>
        <r>
          <rPr>
            <sz val="9"/>
            <color indexed="81"/>
            <rFont val="Tahoma"/>
            <family val="2"/>
          </rPr>
          <t xml:space="preserve">
AUTOMATICO</t>
        </r>
      </text>
    </comment>
    <comment ref="F22" authorId="0" shapeId="0" xr:uid="{C0F07124-69AD-4A3B-98A9-D1A7359F6C2E}">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2" authorId="1" shapeId="0" xr:uid="{9FC6D473-16B2-4049-B8B9-F20BE772C736}">
      <text>
        <r>
          <rPr>
            <b/>
            <sz val="9"/>
            <color indexed="81"/>
            <rFont val="Tahoma"/>
            <family val="2"/>
          </rPr>
          <t>Deisy Estupiñan:</t>
        </r>
        <r>
          <rPr>
            <sz val="9"/>
            <color indexed="81"/>
            <rFont val="Tahoma"/>
            <family val="2"/>
          </rPr>
          <t xml:space="preserve">
AUTOMATICO</t>
        </r>
      </text>
    </comment>
    <comment ref="C23" authorId="1" shapeId="0" xr:uid="{23DC296B-79F4-4B80-A783-B37577EBF502}">
      <text>
        <r>
          <rPr>
            <b/>
            <sz val="9"/>
            <color indexed="81"/>
            <rFont val="Tahoma"/>
            <family val="2"/>
          </rPr>
          <t>Deisy Estupiñan:</t>
        </r>
        <r>
          <rPr>
            <sz val="9"/>
            <color indexed="81"/>
            <rFont val="Tahoma"/>
            <family val="2"/>
          </rPr>
          <t xml:space="preserve">
número de días a la semana x el número de semanas al mes x número de meses al año</t>
        </r>
      </text>
    </comment>
    <comment ref="H41" authorId="1" shapeId="0" xr:uid="{6BE01E5D-4C31-404E-8C53-91CA534DA269}">
      <text>
        <r>
          <rPr>
            <b/>
            <sz val="9"/>
            <color indexed="81"/>
            <rFont val="Tahoma"/>
            <family val="2"/>
          </rPr>
          <t>Deisy Estupiñan:</t>
        </r>
        <r>
          <rPr>
            <sz val="9"/>
            <color indexed="81"/>
            <rFont val="Tahoma"/>
            <family val="2"/>
          </rPr>
          <t xml:space="preserve">
Seccionar la opción (SI o No)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CA225BD7-71CB-4B55-9852-592A66FA5062}">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L14" authorId="1" shapeId="0" xr:uid="{1BE491A8-C43F-4149-A976-14FC00904C33}">
      <text>
        <r>
          <rPr>
            <b/>
            <sz val="9"/>
            <color indexed="81"/>
            <rFont val="Tahoma"/>
            <family val="2"/>
          </rPr>
          <t>Deisy Estupiñan:</t>
        </r>
        <r>
          <rPr>
            <sz val="9"/>
            <color indexed="81"/>
            <rFont val="Tahoma"/>
            <family val="2"/>
          </rPr>
          <t xml:space="preserve">
La estructura recomendada es iniciar con ''La posibilidad de'' </t>
        </r>
        <r>
          <rPr>
            <b/>
            <sz val="9"/>
            <color indexed="81"/>
            <rFont val="Tahoma"/>
            <family val="2"/>
          </rPr>
          <t>continuar con el impacto + la causa inmediata + la causa raíz</t>
        </r>
      </text>
    </comment>
    <comment ref="K21" authorId="1" shapeId="0" xr:uid="{3D898373-328E-4F17-BDCC-4E4E0DA54AAC}">
      <text>
        <r>
          <rPr>
            <b/>
            <sz val="9"/>
            <color indexed="81"/>
            <rFont val="Tahoma"/>
            <family val="2"/>
          </rPr>
          <t>Deisy Estupiñan:</t>
        </r>
        <r>
          <rPr>
            <sz val="9"/>
            <color indexed="81"/>
            <rFont val="Tahoma"/>
            <family val="2"/>
          </rPr>
          <t xml:space="preserve">
Debe contener Responsable de ejecutar el control, acción y complemento</t>
        </r>
      </text>
    </comment>
    <comment ref="AE21" authorId="1" shapeId="0" xr:uid="{70E591DE-F1E8-408A-BA80-55E2AC62BECA}">
      <text>
        <r>
          <rPr>
            <b/>
            <sz val="9"/>
            <color indexed="81"/>
            <rFont val="Tahoma"/>
            <family val="2"/>
          </rPr>
          <t>Deisy Estupiñan:</t>
        </r>
        <r>
          <rPr>
            <sz val="9"/>
            <color indexed="81"/>
            <rFont val="Tahoma"/>
            <family val="2"/>
          </rPr>
          <t xml:space="preserve">
Pasar a  matriz grande</t>
        </r>
      </text>
    </comment>
    <comment ref="D22" authorId="2" shapeId="0" xr:uid="{93565882-6610-4245-A972-4E3864D07BAC}">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2" authorId="1" shapeId="0" xr:uid="{BA1E8CE5-6556-486B-A0EB-BF66EFBD11A0}">
      <text>
        <r>
          <rPr>
            <b/>
            <sz val="9"/>
            <color indexed="81"/>
            <rFont val="Tahoma"/>
            <family val="2"/>
          </rPr>
          <t>Deisy Estupiñan:</t>
        </r>
        <r>
          <rPr>
            <sz val="9"/>
            <color indexed="81"/>
            <rFont val="Tahoma"/>
            <family val="2"/>
          </rPr>
          <t xml:space="preserve">
AUTOMATICO</t>
        </r>
      </text>
    </comment>
    <comment ref="F22" authorId="0" shapeId="0" xr:uid="{7DB2C06D-15EE-41B5-8747-807FD35689A8}">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2" authorId="1" shapeId="0" xr:uid="{62790F09-75F8-48A9-AF31-AEE0BFE86E9F}">
      <text>
        <r>
          <rPr>
            <b/>
            <sz val="9"/>
            <color indexed="81"/>
            <rFont val="Tahoma"/>
            <family val="2"/>
          </rPr>
          <t>Deisy Estupiñan:</t>
        </r>
        <r>
          <rPr>
            <sz val="9"/>
            <color indexed="81"/>
            <rFont val="Tahoma"/>
            <family val="2"/>
          </rPr>
          <t xml:space="preserve">
AUTOMATICO</t>
        </r>
      </text>
    </comment>
    <comment ref="C23" authorId="1" shapeId="0" xr:uid="{8A76CDB4-5FDF-4B08-844F-154C672A45D9}">
      <text>
        <r>
          <rPr>
            <b/>
            <sz val="9"/>
            <color indexed="81"/>
            <rFont val="Tahoma"/>
            <family val="2"/>
          </rPr>
          <t>Deisy Estupiñan:</t>
        </r>
        <r>
          <rPr>
            <sz val="9"/>
            <color indexed="81"/>
            <rFont val="Tahoma"/>
            <family val="2"/>
          </rPr>
          <t xml:space="preserve">
Número promedio de cupos para procesos de  formación </t>
        </r>
      </text>
    </comment>
    <comment ref="H41" authorId="1" shapeId="0" xr:uid="{DC479313-2C6F-44F4-A1E9-02B3F5BA04B3}">
      <text>
        <r>
          <rPr>
            <b/>
            <sz val="9"/>
            <color indexed="81"/>
            <rFont val="Tahoma"/>
            <family val="2"/>
          </rPr>
          <t>Deisy Estupiñan:</t>
        </r>
        <r>
          <rPr>
            <sz val="9"/>
            <color indexed="81"/>
            <rFont val="Tahoma"/>
            <family val="2"/>
          </rPr>
          <t xml:space="preserve">
Seleccionar la opción (SI o No)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7D3B3AED-3627-41E4-8FA9-2E7E95084F44}">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K20" authorId="1" shapeId="0" xr:uid="{64A2B5CF-3BE3-4693-851B-FF219F86DC76}">
      <text>
        <r>
          <rPr>
            <b/>
            <sz val="9"/>
            <color indexed="81"/>
            <rFont val="Tahoma"/>
            <family val="2"/>
          </rPr>
          <t>Deisy Estupiñan:</t>
        </r>
        <r>
          <rPr>
            <sz val="9"/>
            <color indexed="81"/>
            <rFont val="Tahoma"/>
            <family val="2"/>
          </rPr>
          <t xml:space="preserve">
Debe contener Responsable de ejecutar el control, acción y complemento</t>
        </r>
      </text>
    </comment>
    <comment ref="AE20" authorId="1" shapeId="0" xr:uid="{F0EEE299-C653-49C5-912C-9609713DC3EC}">
      <text>
        <r>
          <rPr>
            <b/>
            <sz val="9"/>
            <color indexed="81"/>
            <rFont val="Tahoma"/>
            <family val="2"/>
          </rPr>
          <t>Deisy Estupiñan:</t>
        </r>
        <r>
          <rPr>
            <sz val="9"/>
            <color indexed="81"/>
            <rFont val="Tahoma"/>
            <family val="2"/>
          </rPr>
          <t xml:space="preserve">
Pasar a  matriz grande</t>
        </r>
      </text>
    </comment>
    <comment ref="D21" authorId="2" shapeId="0" xr:uid="{9DB69885-CF2C-4E82-811A-239D079FFF42}">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1" authorId="1" shapeId="0" xr:uid="{46BDB48C-1423-4DE9-B90A-1491D0239034}">
      <text>
        <r>
          <rPr>
            <b/>
            <sz val="9"/>
            <color indexed="81"/>
            <rFont val="Tahoma"/>
            <family val="2"/>
          </rPr>
          <t>Deisy Estupiñan:</t>
        </r>
        <r>
          <rPr>
            <sz val="9"/>
            <color indexed="81"/>
            <rFont val="Tahoma"/>
            <family val="2"/>
          </rPr>
          <t xml:space="preserve">
AUTOMATICO</t>
        </r>
      </text>
    </comment>
    <comment ref="F21" authorId="0" shapeId="0" xr:uid="{01E399FD-6C0A-4F5B-B94B-D0D6B65D3DC7}">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1" authorId="1" shapeId="0" xr:uid="{A011F3C1-3053-406F-B394-ADE92D0C51B1}">
      <text>
        <r>
          <rPr>
            <b/>
            <sz val="9"/>
            <color indexed="81"/>
            <rFont val="Tahoma"/>
            <family val="2"/>
          </rPr>
          <t>Deisy Estupiñan:</t>
        </r>
        <r>
          <rPr>
            <sz val="9"/>
            <color indexed="81"/>
            <rFont val="Tahoma"/>
            <family val="2"/>
          </rPr>
          <t xml:space="preserve">
AUTOMATICO</t>
        </r>
      </text>
    </comment>
    <comment ref="C22" authorId="1" shapeId="0" xr:uid="{4F0ABBAA-5DAA-4AF5-BF3E-1240BF544AB3}">
      <text>
        <r>
          <rPr>
            <b/>
            <sz val="9"/>
            <color indexed="81"/>
            <rFont val="Tahoma"/>
            <family val="2"/>
          </rPr>
          <t>Deisy Estupiñan:</t>
        </r>
        <r>
          <rPr>
            <sz val="9"/>
            <color indexed="81"/>
            <rFont val="Tahoma"/>
            <family val="2"/>
          </rPr>
          <t xml:space="preserve">
número de días a la semana x el número de semanas al mes x número de meses al año</t>
        </r>
      </text>
    </comment>
    <comment ref="H40" authorId="1" shapeId="0" xr:uid="{AC5795ED-59F7-47C1-94F1-980975A29041}">
      <text>
        <r>
          <rPr>
            <b/>
            <sz val="9"/>
            <color indexed="81"/>
            <rFont val="Tahoma"/>
            <family val="2"/>
          </rPr>
          <t>Deisy Estupiñan:</t>
        </r>
        <r>
          <rPr>
            <sz val="9"/>
            <color indexed="81"/>
            <rFont val="Tahoma"/>
            <family val="2"/>
          </rPr>
          <t xml:space="preserve">
Seleccionar la opción (SI o No)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Anggie Lorena</author>
    <author>Deisy Estupiñan</author>
    <author>tc={5E6AEB13-9E9A-4255-8DD5-B3BA25586B35}</author>
  </authors>
  <commentList>
    <comment ref="K14" authorId="0" shapeId="0" xr:uid="{D17D0807-A9DB-4C73-9238-F82B46FD7218}">
      <text>
        <r>
          <rPr>
            <b/>
            <sz val="9"/>
            <color indexed="81"/>
            <rFont val="Tahoma"/>
            <family val="2"/>
          </rPr>
          <t xml:space="preserve">Deisy Estupiñan: </t>
        </r>
        <r>
          <rPr>
            <sz val="9"/>
            <color indexed="81"/>
            <rFont val="Tahoma"/>
            <family val="2"/>
          </rPr>
          <t xml:space="preserve">Definición del riesgo de corrupción: 
Acción u omisión + uso del poder + desviación de la gestión de lo público + el beneficio privado.
</t>
        </r>
      </text>
    </comment>
    <comment ref="K20" authorId="1" shapeId="0" xr:uid="{36746BC5-A6A6-42E6-BE86-C11C1C36B334}">
      <text>
        <r>
          <rPr>
            <b/>
            <sz val="9"/>
            <color indexed="81"/>
            <rFont val="Tahoma"/>
            <family val="2"/>
          </rPr>
          <t>Deisy Estupiñan:</t>
        </r>
        <r>
          <rPr>
            <sz val="9"/>
            <color indexed="81"/>
            <rFont val="Tahoma"/>
            <family val="2"/>
          </rPr>
          <t xml:space="preserve">
Debe contener Responsable de ejecutar el control, acción y complemento</t>
        </r>
      </text>
    </comment>
    <comment ref="AE20" authorId="1" shapeId="0" xr:uid="{07A90EA2-932A-4A2B-B6FA-5686C03B50A1}">
      <text>
        <r>
          <rPr>
            <b/>
            <sz val="9"/>
            <color indexed="81"/>
            <rFont val="Tahoma"/>
            <family val="2"/>
          </rPr>
          <t>Deisy Estupiñan:</t>
        </r>
        <r>
          <rPr>
            <sz val="9"/>
            <color indexed="81"/>
            <rFont val="Tahoma"/>
            <family val="2"/>
          </rPr>
          <t xml:space="preserve">
Pasar a  matriz grande</t>
        </r>
      </text>
    </comment>
    <comment ref="D21" authorId="2" shapeId="0" xr:uid="{1CA2135B-2E4E-400B-882F-306FE1E9555B}">
      <text>
        <r>
          <rPr>
            <b/>
            <sz val="11"/>
            <color theme="1"/>
            <rFont val="Calibri"/>
            <family val="2"/>
            <scheme val="minor"/>
          </rPr>
          <t xml:space="preserve">Deisy Estupiñan: </t>
        </r>
        <r>
          <rPr>
            <sz val="11"/>
            <color theme="1"/>
            <rFont val="Calibri"/>
            <family val="2"/>
            <scheme val="minor"/>
          </rPr>
          <t>Probabilidad según criterios definidos en ejemplo del DAFP definir en política</t>
        </r>
      </text>
    </comment>
    <comment ref="E21" authorId="1" shapeId="0" xr:uid="{9F9731C7-E168-47AF-B9E5-437F37A0A397}">
      <text>
        <r>
          <rPr>
            <b/>
            <sz val="9"/>
            <color indexed="81"/>
            <rFont val="Tahoma"/>
            <family val="2"/>
          </rPr>
          <t>Deisy Estupiñan:</t>
        </r>
        <r>
          <rPr>
            <sz val="9"/>
            <color indexed="81"/>
            <rFont val="Tahoma"/>
            <family val="2"/>
          </rPr>
          <t xml:space="preserve">
AUTOMATICO</t>
        </r>
      </text>
    </comment>
    <comment ref="F21" authorId="0" shapeId="0" xr:uid="{B212190A-EF09-404A-BA6C-CC56747CD1E8}">
      <text>
        <r>
          <rPr>
            <b/>
            <sz val="9"/>
            <color indexed="81"/>
            <rFont val="Tahoma"/>
            <family val="2"/>
          </rPr>
          <t>Anggie Lorena:</t>
        </r>
        <r>
          <rPr>
            <sz val="9"/>
            <color indexed="81"/>
            <rFont val="Tahoma"/>
            <family val="2"/>
          </rPr>
          <t xml:space="preserve">
Por IMPACTO se entienden las consecuencias que puede ocasionar a la organización la materialización del riesgo.
</t>
        </r>
        <r>
          <rPr>
            <b/>
            <sz val="9"/>
            <color indexed="81"/>
            <rFont val="Tahoma"/>
            <family val="2"/>
          </rPr>
          <t>*Catastrófico:</t>
        </r>
        <r>
          <rPr>
            <sz val="9"/>
            <color indexed="81"/>
            <rFont val="Tahoma"/>
            <family val="2"/>
          </rPr>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
</t>
        </r>
        <r>
          <rPr>
            <b/>
            <sz val="9"/>
            <color indexed="81"/>
            <rFont val="Tahoma"/>
            <family val="2"/>
          </rPr>
          <t>*Mayor:
-</t>
        </r>
        <r>
          <rPr>
            <sz val="9"/>
            <color indexed="81"/>
            <rFont val="Tahoma"/>
            <family val="2"/>
          </rPr>
          <t xml:space="preserve">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r>
        <r>
          <rPr>
            <b/>
            <sz val="9"/>
            <color indexed="81"/>
            <rFont val="Tahoma"/>
            <family val="2"/>
          </rPr>
          <t>*Moderado:</t>
        </r>
        <r>
          <rPr>
            <sz val="9"/>
            <color indexed="81"/>
            <rFont val="Tahoma"/>
            <family val="2"/>
          </rPr>
          <t xml:space="preserve">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t>
        </r>
        <r>
          <rPr>
            <b/>
            <sz val="9"/>
            <color indexed="81"/>
            <rFont val="Tahoma"/>
            <family val="2"/>
          </rPr>
          <t>*Menor:
-</t>
        </r>
        <r>
          <rPr>
            <sz val="9"/>
            <color indexed="81"/>
            <rFont val="Tahoma"/>
            <family val="2"/>
          </rPr>
          <t xml:space="preserve"> Interrupción de las operaciones de la entidad por algunas horas.
- Reclamaciones o quejas de los usuarios, que implican investigaciones internas disciplinarias.
- Imagen institucional afectada localmente por retrasos en la prestación del servicio a los usuarios o ciudadanos.
</t>
        </r>
        <r>
          <rPr>
            <b/>
            <sz val="9"/>
            <color indexed="81"/>
            <rFont val="Tahoma"/>
            <family val="2"/>
          </rPr>
          <t xml:space="preserve">
*Insignificante:</t>
        </r>
        <r>
          <rPr>
            <sz val="9"/>
            <color indexed="81"/>
            <rFont val="Tahoma"/>
            <family val="2"/>
          </rPr>
          <t xml:space="preserve"> 
-No hay interrupción de las operaciones de la entidad.
- No se generan sanciones económicas o administrativas.
- No se afecta la imagen institucional de forma significativa.</t>
        </r>
      </text>
    </comment>
    <comment ref="G21" authorId="1" shapeId="0" xr:uid="{EC6B79D4-756F-4344-8DA6-685274C039D6}">
      <text>
        <r>
          <rPr>
            <b/>
            <sz val="9"/>
            <color indexed="81"/>
            <rFont val="Tahoma"/>
            <family val="2"/>
          </rPr>
          <t>Deisy Estupiñan:</t>
        </r>
        <r>
          <rPr>
            <sz val="9"/>
            <color indexed="81"/>
            <rFont val="Tahoma"/>
            <family val="2"/>
          </rPr>
          <t xml:space="preserve">
AUTOMATICO</t>
        </r>
      </text>
    </comment>
    <comment ref="C22" authorId="1" shapeId="0" xr:uid="{4DC44F3B-2B5D-4F75-B032-BC48611E8CF6}">
      <text>
        <r>
          <rPr>
            <b/>
            <sz val="9"/>
            <color indexed="81"/>
            <rFont val="Tahoma"/>
            <family val="2"/>
          </rPr>
          <t>Deisy Estupiñan:</t>
        </r>
        <r>
          <rPr>
            <sz val="9"/>
            <color indexed="81"/>
            <rFont val="Tahoma"/>
            <family val="2"/>
          </rPr>
          <t xml:space="preserve">
número de días a la semana x el número de semanas al mes x número de meses al año</t>
        </r>
      </text>
    </comment>
    <comment ref="H40" authorId="1" shapeId="0" xr:uid="{0EC1C4EC-2150-4C46-A191-F971B93D20AE}">
      <text>
        <r>
          <rPr>
            <b/>
            <sz val="9"/>
            <color indexed="81"/>
            <rFont val="Tahoma"/>
            <family val="2"/>
          </rPr>
          <t>Deisy Estupiñan:</t>
        </r>
        <r>
          <rPr>
            <sz val="9"/>
            <color indexed="81"/>
            <rFont val="Tahoma"/>
            <family val="2"/>
          </rPr>
          <t xml:space="preserve">
Seleccionar la opción (SI o No)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Deisy Estupiñan</author>
    <author>tc={5E6AEB13-9E9A-4255-8DD5-B3BA25586B35}</author>
  </authors>
  <commentList>
    <comment ref="E9" authorId="0" shapeId="0" xr:uid="{4D9D5228-3749-441C-81E0-69782DD3080D}">
      <text>
        <r>
          <rPr>
            <b/>
            <sz val="9"/>
            <color indexed="81"/>
            <rFont val="Tahoma"/>
            <family val="2"/>
          </rPr>
          <t>Deisy Estupiñan:</t>
        </r>
        <r>
          <rPr>
            <sz val="9"/>
            <color indexed="81"/>
            <rFont val="Tahoma"/>
            <family val="2"/>
          </rPr>
          <t xml:space="preserve">
Ejemplos: Hardware, Software, ed, información, personal, organización</t>
        </r>
      </text>
    </comment>
    <comment ref="F9" authorId="0" shapeId="0" xr:uid="{3E425FB8-28F3-47F3-8091-C533CC1725BF}">
      <text>
        <r>
          <rPr>
            <b/>
            <sz val="9"/>
            <color indexed="81"/>
            <rFont val="Tahoma"/>
            <family val="2"/>
          </rPr>
          <t>Deisy Estupiñan:</t>
        </r>
        <r>
          <rPr>
            <sz val="9"/>
            <color indexed="81"/>
            <rFont val="Tahoma"/>
            <family val="2"/>
          </rPr>
          <t xml:space="preserve">
Ejemplos: Hurto de medios o documentos, Abuso de los derechos, escucha encubierta, hurto de información, error en el uso. </t>
        </r>
      </text>
    </comment>
    <comment ref="G9" authorId="0" shapeId="0" xr:uid="{4D5389FC-FD7A-40E4-95E5-90BABCFCEA0E}">
      <text>
        <r>
          <rPr>
            <b/>
            <sz val="9"/>
            <color indexed="81"/>
            <rFont val="Tahoma"/>
            <family val="2"/>
          </rPr>
          <t>Deisy Estupiñan:</t>
        </r>
        <r>
          <rPr>
            <sz val="9"/>
            <color indexed="81"/>
            <rFont val="Tahoma"/>
            <family val="2"/>
          </rPr>
          <t xml:space="preserve">
Almacenamiento de medios sin protección, ausencia de parches de seguridad, lineas de comunicación sin protección, falta de controles de acceso físico, falta de capacitación en las herramientas, ausencia de políticas de seguridad </t>
        </r>
      </text>
    </comment>
    <comment ref="H9" authorId="0" shapeId="0" xr:uid="{510983C4-E9C6-4B38-BA91-5899039402A3}">
      <text>
        <r>
          <rPr>
            <b/>
            <sz val="9"/>
            <color indexed="81"/>
            <rFont val="Tahoma"/>
            <family val="2"/>
          </rPr>
          <t>Deisy Estupiñan:</t>
        </r>
        <r>
          <rPr>
            <sz val="9"/>
            <color indexed="81"/>
            <rFont val="Tahoma"/>
            <family val="2"/>
          </rPr>
          <t xml:space="preserve">
ejemplo: posible retraso en el pago de nómina</t>
        </r>
      </text>
    </comment>
    <comment ref="I9" authorId="0" shapeId="0" xr:uid="{27929029-4EB1-480F-9665-183AAF4A501C}">
      <text>
        <r>
          <rPr>
            <b/>
            <sz val="9"/>
            <color indexed="81"/>
            <rFont val="Tahoma"/>
            <family val="2"/>
          </rPr>
          <t>Deisy Estupiñan:</t>
        </r>
        <r>
          <rPr>
            <sz val="9"/>
            <color indexed="81"/>
            <rFont val="Tahoma"/>
            <family val="2"/>
          </rPr>
          <t xml:space="preserve">
especifique cuantas veces al año se realiza la actividad al año. Si es cero, no se puede continuar</t>
        </r>
      </text>
    </comment>
    <comment ref="J9" authorId="1" shapeId="0" xr:uid="{780CF864-2C84-4082-A3A6-89041B1779A2}">
      <text>
        <r>
          <rPr>
            <b/>
            <sz val="11"/>
            <color theme="1"/>
            <rFont val="Calibri"/>
            <family val="2"/>
            <scheme val="minor"/>
          </rPr>
          <t xml:space="preserve">Deisy Estupiñan: </t>
        </r>
        <r>
          <rPr>
            <sz val="11"/>
            <color theme="1"/>
            <rFont val="Calibri"/>
            <family val="2"/>
            <scheme val="minor"/>
          </rPr>
          <t>Probabilidad según criterios definidos en ejemplo del DAFP definir en politica</t>
        </r>
      </text>
    </comment>
    <comment ref="K9" authorId="0" shapeId="0" xr:uid="{16052B25-713B-40AF-8746-1C514C2BEDB1}">
      <text>
        <r>
          <rPr>
            <b/>
            <sz val="9"/>
            <color indexed="81"/>
            <rFont val="Tahoma"/>
            <family val="2"/>
          </rPr>
          <t>Deisy Estupiñan:</t>
        </r>
        <r>
          <rPr>
            <sz val="9"/>
            <color indexed="81"/>
            <rFont val="Tahoma"/>
            <family val="2"/>
          </rPr>
          <t xml:space="preserve">
AUTOMATICO</t>
        </r>
      </text>
    </comment>
    <comment ref="L9" authorId="0" shapeId="0" xr:uid="{4BC27914-704B-410C-BE14-97B8DCB3E303}">
      <text>
        <r>
          <rPr>
            <b/>
            <sz val="9"/>
            <color indexed="81"/>
            <rFont val="Tahoma"/>
            <family val="2"/>
          </rPr>
          <t>Deisy Estupiñan:</t>
        </r>
        <r>
          <rPr>
            <sz val="9"/>
            <color indexed="81"/>
            <rFont val="Tahoma"/>
            <family val="2"/>
          </rPr>
          <t xml:space="preserve">
REPUTACIÓN:
Menor a 10 SMLMV: El riesgo afecta la imagen de algún área de la organización.
Entre 10 y 50 SMLMV: El riesgo afecta la imagen de la entidad internamente, deconocimiento general nivel interno, de junta directiva y accionistas y/o de proveedores.
Entre 50 y 100 SMLMV: El riesgo afecta la imagen de la entidad con algunos usuarios de relevancia frente al logro de los objetivos.
Entre 100 y 500 SMLMV: El riesgo afecta la imagen de la entidad con efecto publicitario sostenido a nivel de sector administrativo, nivel departamental o municipal.
Mayor a 500 SMLMV: El riesgo afecta la imagen de la entidad anivel nacional, con efecto publicitario sostenido a nivel país</t>
        </r>
      </text>
    </comment>
    <comment ref="R9" authorId="0" shapeId="0" xr:uid="{8C47237E-F830-4793-97E1-D302C7D71FBA}">
      <text>
        <r>
          <rPr>
            <b/>
            <sz val="9"/>
            <color indexed="81"/>
            <rFont val="Tahoma"/>
            <family val="2"/>
          </rPr>
          <t>Deisy Estupiñan:</t>
        </r>
        <r>
          <rPr>
            <sz val="9"/>
            <color indexed="81"/>
            <rFont val="Tahoma"/>
            <family val="2"/>
          </rPr>
          <t xml:space="preserve">
Debe contener Responsable de ejecutar el control, acción y complemento</t>
        </r>
      </text>
    </comment>
    <comment ref="AL9" authorId="0" shapeId="0" xr:uid="{A364A497-AF68-4272-9581-B41A8052A33F}">
      <text>
        <r>
          <rPr>
            <b/>
            <sz val="9"/>
            <color indexed="81"/>
            <rFont val="Tahoma"/>
            <family val="2"/>
          </rPr>
          <t>Deisy Estupiñan:</t>
        </r>
        <r>
          <rPr>
            <sz val="9"/>
            <color indexed="81"/>
            <rFont val="Tahoma"/>
            <family val="2"/>
          </rPr>
          <t xml:space="preserve">
Pasar a a matriz grande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<sst xmlns="http://schemas.openxmlformats.org/spreadsheetml/2006/main" count="3679" uniqueCount="681">
  <si>
    <t xml:space="preserve">Referencia </t>
  </si>
  <si>
    <t>Descripción del Riesgo</t>
  </si>
  <si>
    <t>Impacto</t>
  </si>
  <si>
    <t>Causa Inmediata</t>
  </si>
  <si>
    <t>Probabilidad</t>
  </si>
  <si>
    <t>%</t>
  </si>
  <si>
    <t>Alta</t>
  </si>
  <si>
    <t>Mayor</t>
  </si>
  <si>
    <t>Atributos</t>
  </si>
  <si>
    <t>Manual</t>
  </si>
  <si>
    <t>Automático</t>
  </si>
  <si>
    <t>No. Control</t>
  </si>
  <si>
    <t>Afectación</t>
  </si>
  <si>
    <t>Tipo</t>
  </si>
  <si>
    <t>Preventivo</t>
  </si>
  <si>
    <t>Detectivo</t>
  </si>
  <si>
    <t>Correctivo</t>
  </si>
  <si>
    <t>Implementación</t>
  </si>
  <si>
    <t>Documentación</t>
  </si>
  <si>
    <t>Documentado</t>
  </si>
  <si>
    <t>Sin Documentar</t>
  </si>
  <si>
    <t>Frecuencia</t>
  </si>
  <si>
    <t>Continua</t>
  </si>
  <si>
    <t>Aleatoria</t>
  </si>
  <si>
    <t>Evidencia</t>
  </si>
  <si>
    <t>Registro Sustancial</t>
  </si>
  <si>
    <t>Registro Material</t>
  </si>
  <si>
    <t>Sin registro</t>
  </si>
  <si>
    <t>Calificación</t>
  </si>
  <si>
    <t>Tratamiento</t>
  </si>
  <si>
    <t>Reducir</t>
  </si>
  <si>
    <t>Aceptar</t>
  </si>
  <si>
    <t>Evitar</t>
  </si>
  <si>
    <t>Probabilidad Inherente</t>
  </si>
  <si>
    <t>Plan de Acción</t>
  </si>
  <si>
    <t>Responsable</t>
  </si>
  <si>
    <t>Fecha Implementación</t>
  </si>
  <si>
    <t>Seguimiento</t>
  </si>
  <si>
    <t>Fecha Seguimiento</t>
  </si>
  <si>
    <t>Estado</t>
  </si>
  <si>
    <t>Finalizado</t>
  </si>
  <si>
    <t>En curso</t>
  </si>
  <si>
    <t>Causa Raíz</t>
  </si>
  <si>
    <t>Proceso:</t>
  </si>
  <si>
    <t>Alcance:</t>
  </si>
  <si>
    <t>Impacto 
Inherente</t>
  </si>
  <si>
    <t>Probabilidad Residual Final</t>
  </si>
  <si>
    <t>Impacto Residual Final</t>
  </si>
  <si>
    <t>Zona de Riesgo Inherente</t>
  </si>
  <si>
    <t>Zona de Riesgo Final</t>
  </si>
  <si>
    <t>Clasificación del Riesgo</t>
  </si>
  <si>
    <t>Muy Baja</t>
  </si>
  <si>
    <t>Frecuencia de la Actividad</t>
  </si>
  <si>
    <t>Baja</t>
  </si>
  <si>
    <t>Muy Alta</t>
  </si>
  <si>
    <t>Tabla Criterios para definir el nivel de probabilidad</t>
  </si>
  <si>
    <t>Afectación Económica (o presupuestal)</t>
  </si>
  <si>
    <t>Pérdida Reputacional</t>
  </si>
  <si>
    <t>Afectación menor a 10 SMLMV .</t>
  </si>
  <si>
    <t xml:space="preserve">Menor-40% </t>
  </si>
  <si>
    <t>Moderado 60%</t>
  </si>
  <si>
    <t>Mayor 80%</t>
  </si>
  <si>
    <t>Catastrófico 100%</t>
  </si>
  <si>
    <t>Tabla Criterios para definir el nivel de impacto</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</si>
  <si>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</si>
  <si>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</si>
  <si>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</si>
  <si>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</si>
  <si>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</si>
  <si>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</si>
  <si>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</si>
  <si>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</si>
  <si>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</si>
  <si>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</si>
  <si>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</si>
  <si>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</si>
  <si>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</si>
  <si>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</si>
  <si>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Tabla Atributos de para el diseño del control</t>
  </si>
  <si>
    <t>Extremo</t>
  </si>
  <si>
    <t>Alto</t>
  </si>
  <si>
    <t>Moderado</t>
  </si>
  <si>
    <t>Bajo</t>
  </si>
  <si>
    <t>Insignificante</t>
  </si>
  <si>
    <t>Menor</t>
  </si>
  <si>
    <t>Catastrófico</t>
  </si>
  <si>
    <t>Plan de accion (solo para la opción reducir)</t>
  </si>
  <si>
    <t>Criterios de impacto</t>
  </si>
  <si>
    <t>Criterios</t>
  </si>
  <si>
    <t>Pérdida_Reputacional</t>
  </si>
  <si>
    <t>Afectación Económica o presupuestal</t>
  </si>
  <si>
    <t>Afectación_Económica_o_presupuestal</t>
  </si>
  <si>
    <t>Observación de criterio</t>
  </si>
  <si>
    <t xml:space="preserve">Entre 10 y 50 SMLMV </t>
  </si>
  <si>
    <t xml:space="preserve">Entre 50 y 100 SMLMV </t>
  </si>
  <si>
    <t xml:space="preserve">Entre 100 y 500 SMLMV </t>
  </si>
  <si>
    <t xml:space="preserve">Mayor a 500 SMLMV </t>
  </si>
  <si>
    <t>El riesgo afecta la imagen de alguna área de la organización</t>
  </si>
  <si>
    <t>El riesgo afecta la imagen de la entidad internamente, de conocimiento general, nivel interno, de junta dircetiva y accionistas y/o de provedores</t>
  </si>
  <si>
    <t>El riesgo afecta la imagen de de la entidad con efecto publicitario sostenido a nivel de sector administrativo, nivel departamental o municipal</t>
  </si>
  <si>
    <t>El riesgo afecta la imagen de la entidad con algunos usuarios de relevancia frente al logro de los objetivos</t>
  </si>
  <si>
    <t>Leve 20%</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</si>
  <si>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</si>
  <si>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</si>
  <si>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</si>
  <si>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</si>
  <si>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</si>
  <si>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Media</t>
  </si>
  <si>
    <t>Catastrófico
100%</t>
  </si>
  <si>
    <t>Mayor
80%</t>
  </si>
  <si>
    <t>Moderado
60%</t>
  </si>
  <si>
    <t>Menor
40%</t>
  </si>
  <si>
    <t>Leve
20%</t>
  </si>
  <si>
    <t>Muy Baja
20%</t>
  </si>
  <si>
    <t>Baja
40%</t>
  </si>
  <si>
    <t>Alta
80%</t>
  </si>
  <si>
    <t>Muy Alta
100%</t>
  </si>
  <si>
    <t>Media
60%</t>
  </si>
  <si>
    <t>El riesgo afecta la imagen de la entidad a nivel nacional, con efecto publicitarios sostenible a nivel país</t>
  </si>
  <si>
    <t>Con Registro</t>
  </si>
  <si>
    <t>Sin Registro</t>
  </si>
  <si>
    <t>El control no deja registro de la ejecución del control</t>
  </si>
  <si>
    <t>El control deja un registro que permite evidenciar la ejecución del control</t>
  </si>
  <si>
    <t>Ejecucion y Administracion de procesos</t>
  </si>
  <si>
    <t>Fraude Externo</t>
  </si>
  <si>
    <t>Fraude Interno</t>
  </si>
  <si>
    <t>Fallas Tecnologicas</t>
  </si>
  <si>
    <t>Relaciones Laborales</t>
  </si>
  <si>
    <t>Usuarios, productos y practicas , organizacionales</t>
  </si>
  <si>
    <t>Daños Activos Fisicos</t>
  </si>
  <si>
    <t>Objetivo:</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</si>
  <si>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</si>
  <si>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Reputacional</t>
  </si>
  <si>
    <t>Económico</t>
  </si>
  <si>
    <t>Económico y Reputacional</t>
  </si>
  <si>
    <t>Frecuencia con la cual se realiza la actividad</t>
  </si>
  <si>
    <t>Reducir (mitigar)</t>
  </si>
  <si>
    <t>Reducir (compartir)</t>
  </si>
  <si>
    <t>Probabilidad Residual</t>
  </si>
  <si>
    <t>Identificación del riesgo</t>
  </si>
  <si>
    <t>Análisis del riesgo inherente</t>
  </si>
  <si>
    <t>Evaluación del riesgo - Valoración de los controles</t>
  </si>
  <si>
    <t>Evaluación del riesgo - Nivel del riesgo residual</t>
  </si>
  <si>
    <t>Fuente:  Adaptado de Curso Riesgo Operativo Universidad del Rosario por Dirección de Gestión y Desempeño Institucional de Función Pública,  2020.</t>
  </si>
  <si>
    <t xml:space="preserve">Formato Mapa Riesgos </t>
  </si>
  <si>
    <t>Subcriterios</t>
  </si>
  <si>
    <t xml:space="preserve">     Afectación menor a 10 SMLMV .</t>
  </si>
  <si>
    <t>❌</t>
  </si>
  <si>
    <t>✔</t>
  </si>
  <si>
    <t xml:space="preserve">     Entre 50 y 100 SMLMV </t>
  </si>
  <si>
    <t xml:space="preserve">     Entre 10 y 50 SMLMV </t>
  </si>
  <si>
    <t xml:space="preserve">     Entre 100 y 500 SMLMV </t>
  </si>
  <si>
    <t xml:space="preserve">     Mayor a 500 SMLMV </t>
  </si>
  <si>
    <t xml:space="preserve">     El riesgo afecta la imagen de alguna área de la organización</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</si>
  <si>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</si>
  <si>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</si>
  <si>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</si>
  <si>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</si>
  <si>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 xml:space="preserve">Afectación menor a 10 SMLMV </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</si>
  <si>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</si>
  <si>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 xml:space="preserve"> Matriz de Calor Residual</t>
  </si>
  <si>
    <t>Matriz de Calor Inherente</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</si>
  <si>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</si>
  <si>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Descripción del Control</t>
  </si>
  <si>
    <t>Orientaciones Generales</t>
  </si>
  <si>
    <t>Columna</t>
  </si>
  <si>
    <t>Matriz Mapa de Riesgos</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</si>
  <si>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</si>
  <si>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</si>
  <si>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Frecuencia con la cual se lleva a cabo la actividad</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</si>
  <si>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</si>
  <si>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</si>
  <si>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</si>
  <si>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</si>
  <si>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</si>
  <si>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</si>
  <si>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</si>
  <si>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</si>
  <si>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</si>
  <si>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r>
      <t xml:space="preserve">ATRIBUTOS EFICIENCIA
</t>
    </r>
    <r>
      <rPr>
        <sz val="9"/>
        <rFont val="Arial Narrow"/>
        <family val="2"/>
      </rPr>
      <t>Tipo</t>
    </r>
  </si>
  <si>
    <r>
      <t xml:space="preserve">ATRIBUTOS EFICIENCIA
</t>
    </r>
    <r>
      <rPr>
        <sz val="9"/>
        <rFont val="Arial Narrow"/>
        <family val="2"/>
      </rPr>
      <t>Implementación</t>
    </r>
  </si>
  <si>
    <r>
      <t xml:space="preserve">ATRIBUTOS EFICIENCIA
</t>
    </r>
    <r>
      <rPr>
        <sz val="9"/>
        <rFont val="Arial Narrow"/>
        <family val="2"/>
      </rPr>
      <t>Calificación</t>
    </r>
  </si>
  <si>
    <r>
      <t xml:space="preserve">ATRIBUTOS INFORMATIVOS
</t>
    </r>
    <r>
      <rPr>
        <sz val="9"/>
        <rFont val="Arial Narrow"/>
        <family val="2"/>
      </rPr>
      <t>Documentación</t>
    </r>
  </si>
  <si>
    <t>Utilice la lista de despligue que se encuentra parametrizada, le aparecerán las opciones: i)Documentado, ii)Sin documentar.</t>
  </si>
  <si>
    <r>
      <t xml:space="preserve">ATRIBUTOS INFORMATIVOS
</t>
    </r>
    <r>
      <rPr>
        <sz val="9"/>
        <rFont val="Arial Narrow"/>
        <family val="2"/>
      </rPr>
      <t>Frecuencia</t>
    </r>
  </si>
  <si>
    <t>Utilice la lista de despligue que se encuentra parametrizada, le aparecerán las opciones: i)Continua, ii)Aleatoria.</t>
  </si>
  <si>
    <r>
      <t xml:space="preserve">ATRIBUTOS INFORMATIVOS
</t>
    </r>
    <r>
      <rPr>
        <sz val="9"/>
        <rFont val="Arial Narrow"/>
        <family val="2"/>
      </rPr>
      <t>Registro</t>
    </r>
  </si>
  <si>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</si>
  <si>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</si>
  <si>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</si>
  <si>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</si>
  <si>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r>
      <t xml:space="preserve">Plan de Acción
</t>
    </r>
    <r>
      <rPr>
        <sz val="9"/>
        <rFont val="Arial Narrow"/>
        <family val="2"/>
      </rPr>
      <t xml:space="preserve">Responsable, fecha implementación, fecha seguimiento, seguimiento. </t>
    </r>
  </si>
  <si>
    <t>Utilice la lista de despligue que se encuentra parametrizada, le aparecerán las opciones: i)Finalizado, ii)En curso, la selección en este caso dependerá de las acciones del plan que se hayan establecido en cada caso.</t>
  </si>
  <si>
    <t>Proceso</t>
  </si>
  <si>
    <t>Objetivo</t>
  </si>
  <si>
    <t>Alcance</t>
  </si>
  <si>
    <t>Diligencie el objetivo del proceso.</t>
  </si>
  <si>
    <t>Diligencie el alcance del proceso.</t>
  </si>
  <si>
    <t>Diligencie el nombre del proceso al cual se le identificarán y valorarán los riesgos.</t>
  </si>
  <si>
    <r>
      <t xml:space="preserve">El archivo contiene las siguientes hojas:
-   </t>
    </r>
    <r>
      <rPr>
        <b/>
        <sz val="11"/>
        <rFont val="Arial Narrow"/>
        <family val="2"/>
      </rPr>
      <t>Hoja 1 Instructivo</t>
    </r>
    <r>
      <rPr>
        <sz val="10"/>
        <rFont val="Arial Narrow"/>
        <family val="2"/>
      </rPr>
      <t xml:space="preserve">
 -  </t>
    </r>
    <r>
      <rPr>
        <b/>
        <sz val="11"/>
        <rFont val="Arial Narrow"/>
        <family val="2"/>
      </rPr>
      <t xml:space="preserve">Hoja 2 Mapa Final: </t>
    </r>
    <r>
      <rPr>
        <sz val="10"/>
        <rFont val="Arial Narrow"/>
        <family val="2"/>
      </rPr>
      <t>Encontrará la totalidad de la estructura para la identificación y valoración de los riesgos por proceso, programa o proyecto, acorde con el nivel de desagregación que la entidad considere necesaria.</t>
    </r>
  </si>
  <si>
    <t>Descripción - Lineamientos para el diligenciamiento</t>
  </si>
  <si>
    <t>Analice las consecuencias que puede ocasionar a la organización la materialización del riesgo, redacte de la forma más concreta posible.</t>
  </si>
  <si>
    <t>Circunstancias bajo las cuales se presenta el riesgo, es la situación más evidente frente al riesgo, redacte de la forma más concreta posible.</t>
  </si>
  <si>
    <t>Causa  principal  o básica, corresponde a las razones por la cuales se puede presentar  el riesgo, redacte de la forma más concreta posible.</t>
  </si>
  <si>
    <t>No.</t>
  </si>
  <si>
    <t>Gestión de Mejora</t>
  </si>
  <si>
    <t>Documento:</t>
  </si>
  <si>
    <t xml:space="preserve">Ficha de riesgos </t>
  </si>
  <si>
    <t>Código:</t>
  </si>
  <si>
    <t>GM-FT-09</t>
  </si>
  <si>
    <t>Versión:</t>
  </si>
  <si>
    <t xml:space="preserve">II. Contexto e identificación  </t>
  </si>
  <si>
    <t>Análisis del Contexto</t>
  </si>
  <si>
    <t xml:space="preserve">Identificación del Riesgo </t>
  </si>
  <si>
    <t>Externo</t>
  </si>
  <si>
    <t xml:space="preserve">Descripción  </t>
  </si>
  <si>
    <t xml:space="preserve">Interno </t>
  </si>
  <si>
    <t>Del Proceso</t>
  </si>
  <si>
    <t>Riesgo</t>
  </si>
  <si>
    <t xml:space="preserve">Descripción </t>
  </si>
  <si>
    <t>Consecuencia</t>
  </si>
  <si>
    <t xml:space="preserve">III. Análisis y Valoración  </t>
  </si>
  <si>
    <t xml:space="preserve">Análisis del Riesgo Inherente  </t>
  </si>
  <si>
    <t>Evaluación del Riesgo (Riesgo Residual)</t>
  </si>
  <si>
    <t>IV. Tratamiento del riesgo</t>
  </si>
  <si>
    <t xml:space="preserve">Control </t>
  </si>
  <si>
    <t xml:space="preserve">Evaluación del diseño del control </t>
  </si>
  <si>
    <t xml:space="preserve">Evaluación de la ejecución del control </t>
  </si>
  <si>
    <t xml:space="preserve">Solidez individual del control </t>
  </si>
  <si>
    <t>Debe establer acciones para fortalecer el control</t>
  </si>
  <si>
    <t xml:space="preserve">Tratamiento del riesgo  </t>
  </si>
  <si>
    <t xml:space="preserve">¿Aplicar controles para el tratamiento?  </t>
  </si>
  <si>
    <t>Actividad de control</t>
  </si>
  <si>
    <t xml:space="preserve">Tipo de control </t>
  </si>
  <si>
    <t>Indicador</t>
  </si>
  <si>
    <t xml:space="preserve">Responsable (Nombres y Rol)   </t>
  </si>
  <si>
    <t>Fecha de inicio</t>
  </si>
  <si>
    <t xml:space="preserve">Fecha de fin </t>
  </si>
  <si>
    <t>Impacto   (Tabla 1,1,)</t>
  </si>
  <si>
    <t xml:space="preserve">Zona de Riesgo </t>
  </si>
  <si>
    <t>Criterio</t>
  </si>
  <si>
    <t>Resultado</t>
  </si>
  <si>
    <t xml:space="preserve">Impacto  </t>
  </si>
  <si>
    <t>1. Rara vez</t>
  </si>
  <si>
    <t>El control se ejecuta de manera consistente por parte del responsable</t>
  </si>
  <si>
    <t>4. Mayor</t>
  </si>
  <si>
    <t xml:space="preserve">Resultado de los posibles desplazamientos de la probabilidad y el impacto de los riesgos  </t>
  </si>
  <si>
    <t>Tabla  1,1,  Criterios para la evaluación del Impacto -Riesgo inherente</t>
  </si>
  <si>
    <t>Pregunta  
Si el riesgo de corrupción se materializa, se podría…</t>
  </si>
  <si>
    <t>Respuesta</t>
  </si>
  <si>
    <t>Control 1</t>
  </si>
  <si>
    <t>control 2</t>
  </si>
  <si>
    <t>Control 3</t>
  </si>
  <si>
    <t>Solidez del conjunto de los controles</t>
  </si>
  <si>
    <t xml:space="preserve">Controles ayudan a disminuir el impacto  </t>
  </si>
  <si>
    <t># Columnas en la matriz de riesgo que se desplaza en el eje de la probabilidad</t>
  </si>
  <si>
    <t># Columnas en la matriz de riesgo que se desplaza en el eje del impacto</t>
  </si>
  <si>
    <t>Si/No</t>
  </si>
  <si>
    <t xml:space="preserve">Criterio de evaluación </t>
  </si>
  <si>
    <t xml:space="preserve">Aspecto a evaluar en el diseño del control </t>
  </si>
  <si>
    <t xml:space="preserve">Respuesta  </t>
  </si>
  <si>
    <t xml:space="preserve">Peso  </t>
  </si>
  <si>
    <t>¿Afectar al grupo de funcionarios del proceso?</t>
  </si>
  <si>
    <t>1. Responsable</t>
  </si>
  <si>
    <t>¿Existe un responsable asignado a la ejecución
del control?</t>
  </si>
  <si>
    <t>Asignado</t>
  </si>
  <si>
    <t>¿Afectar el cumplimiento de metas y objetivos de la dependencia?</t>
  </si>
  <si>
    <t xml:space="preserve">Fuerte </t>
  </si>
  <si>
    <t>Directamente</t>
  </si>
  <si>
    <t>¿Afectar el cumplimiento de misión de la entidad?</t>
  </si>
  <si>
    <t>¿El responsable tiene la autoridad y adecuada
segregación de funciones en la ejecución
del control?</t>
  </si>
  <si>
    <t xml:space="preserve">Adecuado </t>
  </si>
  <si>
    <t>Indirectamente</t>
  </si>
  <si>
    <t>¿Afectar el cumplimiento de la misión del sector al que pertenece la entidad?</t>
  </si>
  <si>
    <t>2. Periodicidad</t>
  </si>
  <si>
    <t>¿La oportunidad en que se ejecuta el control ayuda a prevenir la mitigación del riesgo o a detectar la materialización del riesgo de manera oportuna?</t>
  </si>
  <si>
    <t>Oportuno</t>
  </si>
  <si>
    <t>No disminuye</t>
  </si>
  <si>
    <t>¿Generar pérdida de confianza de la entidad, afectando su reputación?</t>
  </si>
  <si>
    <t>¿Generar pérdida de recursos económicos?</t>
  </si>
  <si>
    <t>3. Propósito</t>
  </si>
  <si>
    <t>¿Las actividades que se desarrollan en el control realmente buscan por si sola prevenir o detectar las causas que pueden dar origen al riesgo, Ej.: verificar, validar, cotejar, comparar, revisar, etc.?</t>
  </si>
  <si>
    <t>Prevenir</t>
  </si>
  <si>
    <t xml:space="preserve">Moderado </t>
  </si>
  <si>
    <t>¿Afectar la generación de los productos o la prestación de servicios?</t>
  </si>
  <si>
    <t>¿Generar pérdida de información de la entidad?</t>
  </si>
  <si>
    <t>4. Cómo se realiza la actividad de control</t>
  </si>
  <si>
    <t>¿La fuente de información que se utiliza en el desarrollo del control es información confiable que permita mitigar el riesgo?</t>
  </si>
  <si>
    <t>Confiable</t>
  </si>
  <si>
    <t>¿Generar intervención de los órganos de control, de la Fiscalía u otro ente?</t>
  </si>
  <si>
    <t>¿Dar lugar a procesos sancionatorios?</t>
  </si>
  <si>
    <t>5. Qué pasa con las observaciones o desviaciones</t>
  </si>
  <si>
    <t>¿Las observaciones, desviaciones o diferencias identificadas como resultados de la ejecución del control son investigadas y resueltas de manera oportuna?</t>
  </si>
  <si>
    <t xml:space="preserve">Se investigan y resuelven oportunamente  </t>
  </si>
  <si>
    <t>Nota 1: Si la solidez del conjunto de los
controles es débil, este no disminuirá
ningún cuadrante de impacto
o probabilidad asociado al riesgo</t>
  </si>
  <si>
    <t>Nota 2: Tratándose de riesgos de corrupción
únicamente hay disminución de probabilidad.
Es decir, para el impacto
no opera el desplazamiento.</t>
  </si>
  <si>
    <t>¿Dar lugar a procesos disciplinarios?</t>
  </si>
  <si>
    <t>¿Dar lugar a procesos fiscales?</t>
  </si>
  <si>
    <t>¿Dar lugar a procesos penales?</t>
  </si>
  <si>
    <t>6. Evidencia de la ejecución del control</t>
  </si>
  <si>
    <t>¿Se deja evidencia o rastro de la ejecución del control que permita a cualquier tercero con la evidencia llegar a la misma conclusión?</t>
  </si>
  <si>
    <t>Completa</t>
  </si>
  <si>
    <t>¿Generar pérdida de credibilidad del sector?</t>
  </si>
  <si>
    <t>¿Ocasionar lesiones físicas o pérdida de vidas humanas?    (Si está marcada como SI, de una vez es Catastrófico el impacto)</t>
  </si>
  <si>
    <t xml:space="preserve">Sumatoria  individual </t>
  </si>
  <si>
    <t xml:space="preserve">Sumatoria  </t>
  </si>
  <si>
    <t>¿Afectar la imagen regional?</t>
  </si>
  <si>
    <t xml:space="preserve">Resultado solidez individual </t>
  </si>
  <si>
    <t xml:space="preserve">Resultado </t>
  </si>
  <si>
    <t>¿Afectar la imagen nacional?</t>
  </si>
  <si>
    <t>Fuerte: Calificación entre 96 y 100</t>
  </si>
  <si>
    <t>¿Generar daño ambiental?</t>
  </si>
  <si>
    <t>Moderado: Calificación entre 86 y 95</t>
  </si>
  <si>
    <t>solidez conjunta</t>
  </si>
  <si>
    <t xml:space="preserve">Total Si:  </t>
  </si>
  <si>
    <t>Débil: Calificación entre 0 y 85</t>
  </si>
  <si>
    <t xml:space="preserve">Resultado solidez conjunta </t>
  </si>
  <si>
    <t>Amenaza</t>
  </si>
  <si>
    <t xml:space="preserve">Causa / vulnerabilidad </t>
  </si>
  <si>
    <t>Denegacion del servicio</t>
  </si>
  <si>
    <t>Riesgo de seguridad asociado a un tipo de ataque informático especialmente dirigido a redes Y equipos de computo que tiene como objetivo lograr que un servicio específico o recurso de la red, quede completamente inaccesible a los usuarios legítimos de la red.
Estado de interrupción de los servicios de acceso o procesamiento de la información.</t>
  </si>
  <si>
    <t>Seguridad digital</t>
  </si>
  <si>
    <t>Fallas o mal funcionamiento de los equipos</t>
  </si>
  <si>
    <t>Incumplimiento a los planes de mantenimiento a los equipos tecnologicos, de suministro o soporte energetico</t>
  </si>
  <si>
    <t>*Perdida de información
*Sanciones administrativas, fiscales o penales
* Detrimento patrimonial
*Afectacion e interrupcion de las actividades de la entidad</t>
  </si>
  <si>
    <t>Pirata informático, intruso ilegal, presencia de software malicioso o virus informático</t>
  </si>
  <si>
    <t>Ataque informatico</t>
  </si>
  <si>
    <t xml:space="preserve">Análisis del Riesgo Inherete </t>
  </si>
  <si>
    <t>1,1,   CONTROLES</t>
  </si>
  <si>
    <t xml:space="preserve">Sólidez del conjunto de controles  </t>
  </si>
  <si>
    <t xml:space="preserve">Teniendo en cuenta el cronograma de mantenimiento, el profesional de Gestion Tecnologica en conjunto con la Subdirección de Gestión Corporativa, estabecen las fechas y la periodicidad con la cual se van a llevar a cabo los mantenimientos preventivos, con el fin de establecer los recursos y las actividades prioritarias y de esta manera mantener los dispositivos tecnologicos.  En caso de no contemplar un dispositivo en el cronograma, se debe solicitar a la subdirección corporativa la modificación del cronograma de mantenimiento para incluir las actividades faltantes. Como soporte se deja el cronograma de mantenimiento. </t>
  </si>
  <si>
    <t>2. Menor</t>
  </si>
  <si>
    <t>Aceptar el riesgo</t>
  </si>
  <si>
    <t xml:space="preserve">El profesional de gestión de tecnologias anualmente identifica posibles amenazas o debilidades en los diferentes  activos de información software, hardware o servicios dependiendo del grado de complejidad  magnitud del problema, determina acciones para mitigarlos y se deja consiga en el PETIC en el caso que se deba invertir recuros adicionales a los existentes. En caso de que se presente algun incidente, este debe ser reportado por el funcionario / contratista por medio de GLPI a la oficina de Gestion Tecnologica para que se gestione su solucion </t>
  </si>
  <si>
    <t xml:space="preserve">1,1,    Análisis y diseño del control </t>
  </si>
  <si>
    <t>Controles ayudan a dismunuir la probabilidad</t>
  </si>
  <si>
    <t>Detectar</t>
  </si>
  <si>
    <r>
      <rPr>
        <b/>
        <sz val="10"/>
        <color theme="1"/>
        <rFont val="Calibri"/>
        <family val="2"/>
        <scheme val="minor"/>
      </rPr>
      <t>Nota:</t>
    </r>
    <r>
      <rPr>
        <sz val="10"/>
        <color theme="1"/>
        <rFont val="Calibri"/>
        <family val="2"/>
        <scheme val="minor"/>
      </rPr>
      <t xml:space="preserve"> Si el resultado de las calificaciones del control, o el promedio en el diseño de los
controles, está por debajo de 96%, se debe establecer un plan de acción que permita
tener un control o controles bien diseñados.</t>
    </r>
  </si>
  <si>
    <t>¿Qué puede suceder?</t>
  </si>
  <si>
    <t>¿Cómo puede suceder?</t>
  </si>
  <si>
    <t>¿Cuándo puede suceder?</t>
  </si>
  <si>
    <t>¿Qué consecuencias tendría su materialización?</t>
  </si>
  <si>
    <t>Causas</t>
  </si>
  <si>
    <t>Consecuencias</t>
  </si>
  <si>
    <t>PROCESO</t>
  </si>
  <si>
    <t>TIPO DE PROCESO</t>
  </si>
  <si>
    <t>PLANEACIÓN</t>
  </si>
  <si>
    <t>GESTIÓN DE TALENTO HUMANO</t>
  </si>
  <si>
    <t xml:space="preserve">GESTIÓN DE LAS COMUNICACIONES </t>
  </si>
  <si>
    <t>SERVICIO AL CIUDADANO</t>
  </si>
  <si>
    <t>TRANSFORMACIÓN CULTURAL PARA LA REVITALIZACIÓN DEL CENTRO</t>
  </si>
  <si>
    <t>GESTIÓN DOCUMENTAL</t>
  </si>
  <si>
    <t xml:space="preserve">RECURSOS FISICOS </t>
  </si>
  <si>
    <t>GESTIÓN TIC</t>
  </si>
  <si>
    <t>GESTIÓN FINANCIERAS</t>
  </si>
  <si>
    <t>GESTIÓN JURÍDICA</t>
  </si>
  <si>
    <t>GESTIÓN DE MEJORA</t>
  </si>
  <si>
    <t>EVALUACIÓN INDEPENDIENTE DE LA GESTIÓN</t>
  </si>
  <si>
    <t>PROCESO:</t>
  </si>
  <si>
    <t>PROCESO ESTRATÉGICO</t>
  </si>
  <si>
    <t>PROCESO DE EVALUACIÓN Y MEJORA</t>
  </si>
  <si>
    <t>PROCESO MISIONAL</t>
  </si>
  <si>
    <t>PROCESO TRANSVERSAL</t>
  </si>
  <si>
    <t xml:space="preserve">OBJETIVO ESTRATEGICO ANIDADO </t>
  </si>
  <si>
    <t xml:space="preserve">1. Mejorar la calidad de vida de la ciudadanía al ampliar el acceso a la práctica
y disfrute del arte y la cultura como parte de su cotidianidad en condiciones
de equidad. </t>
  </si>
  <si>
    <t>2. Potenciar a los creadores del Centro que quieran expresarse y ver en el
arte, la cultura y la creatividad una forma de vida.</t>
  </si>
  <si>
    <t xml:space="preserve">3. Impulsar la reactivación física, económica y social del sector del antiguo
Bronx y articularlo con las comunidades y territorios del centro de la ciudad
a partir del arte, la cultura y la creatividad. </t>
  </si>
  <si>
    <t>4. Aumentar la apropiación del centro de la ciudad como un territorio diverso,
de convivencia pacífica, encuentro y desarrollo desde la transformación
cultural.</t>
  </si>
  <si>
    <t>5. Consolidar modelos de gestión, desarrollando capacidades del talento
humano y optimizando los recursos tecnológicos, físicos y financieros para
dar respuesta eficaz a las necesidades de la ciudadanía y grupos de valor.</t>
  </si>
  <si>
    <t>OBJETIVOS ESTRATÉGICOS</t>
  </si>
  <si>
    <t>OBJETIVO</t>
  </si>
  <si>
    <t xml:space="preserve">VERIFICACIÓN  METODOLOGICA CONSTRUCCIÓN DE OBJETIVOS- GUIA DAFP </t>
  </si>
  <si>
    <t>verificación del control</t>
  </si>
  <si>
    <t/>
  </si>
  <si>
    <t>R1</t>
  </si>
  <si>
    <t>R1C1</t>
  </si>
  <si>
    <t>ALTO</t>
  </si>
  <si>
    <t>SI</t>
  </si>
  <si>
    <t>NO</t>
  </si>
  <si>
    <t>MEDIO</t>
  </si>
  <si>
    <t xml:space="preserve">Fuente </t>
  </si>
  <si>
    <t>Descripción del evento</t>
  </si>
  <si>
    <t>3. ¿La entidad genera recursos propios derivados de bienes, productos o servicios ofrecidos?</t>
  </si>
  <si>
    <t>4. ¿La entidad realiza operaciones internacionales en divisas?</t>
  </si>
  <si>
    <t>5. ¿La entidad realiza operaciones en efectivo en el desarrollo de sus actividades?</t>
  </si>
  <si>
    <t>6. ¿Los clientes de la entidad corresponden al público en general ?</t>
  </si>
  <si>
    <t>8. ¿ La entidad cuenta con clientes que son personas jurídicas constituidas en el país?</t>
  </si>
  <si>
    <t>9. ¿En algún momento un proveedor de la entidad se ha negado a suministrar la información que se le solicita?</t>
  </si>
  <si>
    <t>10. ¿En la entidad existe una alta rotación de sus proveedores nacionales y extranjeros o los están cambiando con frecuencia?</t>
  </si>
  <si>
    <t>11. ¿La entidad emplea terceros para llevar a cabo alguna de las funciones en el cumplimiento de sus objetivos?</t>
  </si>
  <si>
    <t>1. ¿La entidad recibe recursos de entidades privadas?</t>
  </si>
  <si>
    <t>2. ¿La entidad recibe donaciones?</t>
  </si>
  <si>
    <t xml:space="preserve">SI </t>
  </si>
  <si>
    <t>NA</t>
  </si>
  <si>
    <t>Preguntas Cuestionario de autoevaluación del riesgo operativo.</t>
  </si>
  <si>
    <t>Listas</t>
  </si>
  <si>
    <t xml:space="preserve">CONTEO </t>
  </si>
  <si>
    <t>7. ¿Los clientes objetivo de la entidad son personas naturales entre las que se encuentran las personas expuestas políticamente (PEP’s)?</t>
  </si>
  <si>
    <t xml:space="preserve">Maque con una X </t>
  </si>
  <si>
    <t xml:space="preserve">GRADO DE EXPOSICIÓN </t>
  </si>
  <si>
    <t>1. ¿En la entidad existe una política clara sobre las donaciones?</t>
  </si>
  <si>
    <t>2. ¿Cuenta su entidad con un área encargada de administrar las bases de datos?</t>
  </si>
  <si>
    <t>3. ¿La entidad cuenta con mecanismos para conocer el cliente?</t>
  </si>
  <si>
    <t>4. ¿La entidad cuenta con mecanismos para conocer los proveedores?</t>
  </si>
  <si>
    <t>5. ¿La entidad cuenta con mecanismos para identificar el usuario?</t>
  </si>
  <si>
    <t>6. ¿La entidad en el desarrollo de su actividad ha identificado situaciones relacionadas de LA/FT?</t>
  </si>
  <si>
    <t>7. ¿Ha identificado si la entidad puede estar expuesta al riesgo de contagio de LA/FT en el desarrollo de sus funciones?</t>
  </si>
  <si>
    <t>8. ¿La entidad cuenta con manuales, políticas y procedimientos para abordar el riesgo de LA/FT?</t>
  </si>
  <si>
    <t xml:space="preserve"> 9. ¿En la entidad se han realizado jornadas de capacitación sobre los sistemas de administración de riesgo de LA/FT?</t>
  </si>
  <si>
    <t>13. ¿La entidad cuenta con bases de datos con información de sus clientes y/o usuarios?</t>
  </si>
  <si>
    <t>14. ¿La entidad cuenta con bases de datos con información de sus proveedores?</t>
  </si>
  <si>
    <t>15. ¿La entidad cuenta con el mapeo de zonas de alto riesgo para sus operaciones?</t>
  </si>
  <si>
    <t>16. ¿Dentro de la entidad existen áreas que por sus funciones pueden ser vulnerables al LA/FT?</t>
  </si>
  <si>
    <t>17. ¿La entidad conoce las señales de alerta de LA/FT del sector al cual pertenece?</t>
  </si>
  <si>
    <t>18. ¿La entidad ha realizado reportes a la UIAF?</t>
  </si>
  <si>
    <t>19. ¿La Entidad destina recursos humanos, tecnológicos y financieros específicos para garantizar la implementación efectiva del programa LA/FT?</t>
  </si>
  <si>
    <t>10. ¿La entidad cuenta con un mapa de riesgo en el que se identifiquen los riesgos de LA/FT?</t>
  </si>
  <si>
    <t>11. ¿La entidad cuenta con sistemas de monitoreo para sus clientes y/o usuarios y sus operaciones ?</t>
  </si>
  <si>
    <t>12. ¿La entidad se encuentra sujeta a regulación sobre la prevención y control del riesgo de LA/FT?</t>
  </si>
  <si>
    <t>20. ¿Tiene la entidad políticas para comunicar nuevas leyes LA/FT o cambios a las existentes políticas o prácticas relacionadas a los empleados u otras Entidades?</t>
  </si>
  <si>
    <t>21. ¿La Entidad cuenta con un registro de sus sesiones de entrenamiento, incluyendo registros de asistencia y los materiales relevantes de entrenamiento sobre LA/FT?</t>
  </si>
  <si>
    <t>22. ¿Proporciona la entidad entrenamiento LA/FT a empleados que incluye identificación de señales de alerta que deben ser informadas internamente, ejemplos de diferentes formas de lavado de dinero que implican los productos y servicios de la Entidad, políticas internas para evitar el lavado de dinero, entre otros temas?</t>
  </si>
  <si>
    <t>23 ¿Tiene la entidad un programa de monitoreo para la detección de actividades sospechosas o inusuales de LA/FT?</t>
  </si>
  <si>
    <t>24. ¿Tiene la entidad procedimientos para identificar transacciones estructuradas efectuadas con el objeto de evitar los requisitos de reportar sobre grandes cantidades de efectivo?</t>
  </si>
  <si>
    <t>25. ¿Tiene la entidad políticas para asegurar razonablemente que sólo opera con bancos y entidades financieras debidamente autorizadas?</t>
  </si>
  <si>
    <t>26. ¿Existe un procedimiento para revisar y cuando sea apropiado, actualizar la información y documentación de sus clientes y/o usuarios, principalmente los que representan alto riesgo?</t>
  </si>
  <si>
    <t>27. ¿La entidad cuenta con políticas escritas que cubran las relaciones con personas políticamente expuestas – PEP’s , su familia, asociados y estrechos colaboradores de acuerdo a las mejores prácticas?</t>
  </si>
  <si>
    <t>28. ¿En la entidad existe un procedimiento para la verificación de los nombres de sus clientes contra listas gubernamentales de narcotraficantes o terroristas, listas de riesgo privadas o listas de riesgo públicamente disponibles?</t>
  </si>
  <si>
    <t>29. ¿Requiere la entidad que sus políticas y prácticas de LA/FT sean aplicadas a todas las oficinas y dependencias?</t>
  </si>
  <si>
    <t>30. ¿Su entidad tiene auditoría interna y/o externa que monitoree y/o audite el sistema de prevención del LA/FT?</t>
  </si>
  <si>
    <t>31. ¿La entidad cuenta con manuales de gobierno corporativo (buen gobierno), ética u otros?</t>
  </si>
  <si>
    <t>32. ¿La entidad cuenta con Identificación de riesgos de LA/FT a los que está expuesta la compañía?</t>
  </si>
  <si>
    <t>33. ¿La entidad efectúa registro de validación de clientes?</t>
  </si>
  <si>
    <t>34. ¿La entidad a identificado señales de alerta de LA/FT propias?</t>
  </si>
  <si>
    <t>35. ¿La junta o consejo directivo cuenta con un reglamento escrito de sus funciones adicional al de los estatutos?</t>
  </si>
  <si>
    <t>36. ¿El área de auditoría y/o control interno conoce las responsabilidades y consecuencias frente al LA/FT?</t>
  </si>
  <si>
    <t>37. ¿En la entidad existe un procedimiento de solicitud, verificación y validación de la información proporcionada por clientes o empleados al momento de vincularse a la entidad?</t>
  </si>
  <si>
    <t>38. ¿La entidad realiza ECTH (estudio de confiabilidad del talento humano)?</t>
  </si>
  <si>
    <t>39. ¿Considera usted que la entidad cuenta los sistemas informáticos y aplicativos que le permitan identificar riesgos y le permitan prevenir el LA/FT?</t>
  </si>
  <si>
    <t>40. ¿Sus sistemas informáticos y/o aplicativos, tienen la capacidad de detectar comportamientos inusuales y/o atípicos de sus clientes y proveedores?</t>
  </si>
  <si>
    <t>41. ¿Su entidad cuenta con medidas de contingencia en caso de que falle el sistema informático?</t>
  </si>
  <si>
    <t>42. ¿Su entidad cuenta con las medidas informáticas necesarias para proteger su información?</t>
  </si>
  <si>
    <t>43. ¿La entidad tiene identificadas las zonas o jurisdicciones de alto riesgo?</t>
  </si>
  <si>
    <t>44. ¿La entidad ha identificado los factores internos y externos generadores de riesgo de LA/FT?</t>
  </si>
  <si>
    <t>GRADO DE VULNERABILIDAD</t>
  </si>
  <si>
    <t>MEDIDAS</t>
  </si>
  <si>
    <t>BAJO</t>
  </si>
  <si>
    <t>MODERADO</t>
  </si>
  <si>
    <t>CRITICO</t>
  </si>
  <si>
    <t>Integralmente
Complementar los controles</t>
  </si>
  <si>
    <t>Continuamente 
Monitorear constantemente los riesgos.</t>
  </si>
  <si>
    <t>Oportunamente
Establecer controles que reduzcan el riesgo</t>
  </si>
  <si>
    <t>Prioritariamente
Adoptar un sistema de administracion de riesgos</t>
  </si>
  <si>
    <t>Urgentemente
Implementar un sistema de administración
de riesgos</t>
  </si>
  <si>
    <r>
      <rPr>
        <b/>
        <sz val="11"/>
        <color rgb="FFFF0000"/>
        <rFont val="Calibri"/>
        <family val="2"/>
        <scheme val="minor"/>
      </rPr>
      <t>NO TOCAR</t>
    </r>
    <r>
      <rPr>
        <b/>
        <sz val="11"/>
        <color theme="1"/>
        <rFont val="Calibri"/>
        <family val="2"/>
        <scheme val="minor"/>
      </rPr>
      <t xml:space="preserve">- Listas desplegables </t>
    </r>
  </si>
  <si>
    <t>Herramienta 2. Cuestionario de autoevaluación sobre el control del riesgo de LA/FT.</t>
  </si>
  <si>
    <t>Herramienta 1. Cuestionario de autoevaluación del riesgo operativo</t>
  </si>
  <si>
    <t xml:space="preserve">Numeración </t>
  </si>
  <si>
    <t xml:space="preserve">Afectación </t>
  </si>
  <si>
    <t>PROCESO (Lista desplegable)</t>
  </si>
  <si>
    <t xml:space="preserve">RIESGOS DE GESTIÓN </t>
  </si>
  <si>
    <t xml:space="preserve">CONOCIMIENTO Y ANALISIS DE LA ENTIDAD </t>
  </si>
  <si>
    <t xml:space="preserve">VISIÓN </t>
  </si>
  <si>
    <t>La Fuga es la plataforma pública de la administración distrital, que articula y gestiona la revitalización y transformación participativa del centro de Bogotá a través de su potencial creativo, el arte y la cultura.</t>
  </si>
  <si>
    <t>En 2030, la Fuga será referente de articulación y gestión de iniciativas de transformación del territorio del centro de Bogotá, como símbolo distrital de desarrollo desde el potencial creativo, el arte y la cultura.</t>
  </si>
  <si>
    <t>MISIÓN</t>
  </si>
  <si>
    <t>FACTORES DE RIESGO</t>
  </si>
  <si>
    <t>EJEMPLO:</t>
  </si>
  <si>
    <t>LISTAS (NO TOCAR)</t>
  </si>
  <si>
    <t xml:space="preserve">Listas de clasificación de riesgos </t>
  </si>
  <si>
    <t>Ejecución y administración de procesos</t>
  </si>
  <si>
    <t xml:space="preserve">Fraude externo </t>
  </si>
  <si>
    <t>Fraude interno</t>
  </si>
  <si>
    <t>Fallas tecnológicas</t>
  </si>
  <si>
    <t>Relaciones laborales</t>
  </si>
  <si>
    <t>Usuarios, productos y prácticas</t>
  </si>
  <si>
    <t>Daños a activos fijos/ eventos externos</t>
  </si>
  <si>
    <t>Clasificación del Riesgo 
(lista desplegable )</t>
  </si>
  <si>
    <t>Numero de veces que se realiza la actividad al año</t>
  </si>
  <si>
    <t>Criterios de impacto - Afectación economica (¿Cuantos SMLMV?)</t>
  </si>
  <si>
    <r>
      <t xml:space="preserve">Probabilidad Inherente </t>
    </r>
    <r>
      <rPr>
        <b/>
        <sz val="11"/>
        <color rgb="FFFF0000"/>
        <rFont val="Arial"/>
        <family val="2"/>
      </rPr>
      <t xml:space="preserve"> (No tocar)</t>
    </r>
  </si>
  <si>
    <r>
      <t xml:space="preserve">% </t>
    </r>
    <r>
      <rPr>
        <b/>
        <sz val="11"/>
        <color rgb="FFFF0000"/>
        <rFont val="Arial"/>
        <family val="2"/>
      </rPr>
      <t>(No tocar)</t>
    </r>
  </si>
  <si>
    <r>
      <t xml:space="preserve">Impacto 
Inherente  </t>
    </r>
    <r>
      <rPr>
        <b/>
        <sz val="11"/>
        <color rgb="FFFF0000"/>
        <rFont val="Arial"/>
        <family val="2"/>
      </rPr>
      <t>(No tocar)</t>
    </r>
  </si>
  <si>
    <r>
      <t xml:space="preserve">%  </t>
    </r>
    <r>
      <rPr>
        <b/>
        <sz val="11"/>
        <color rgb="FFFF0000"/>
        <rFont val="Arial"/>
        <family val="2"/>
      </rPr>
      <t>(No tocar)</t>
    </r>
  </si>
  <si>
    <r>
      <t xml:space="preserve">Zona de Riesgo Inherente  </t>
    </r>
    <r>
      <rPr>
        <b/>
        <sz val="11"/>
        <color rgb="FFFF0000"/>
        <rFont val="Arial"/>
        <family val="2"/>
      </rPr>
      <t>(No tocar)</t>
    </r>
  </si>
  <si>
    <r>
      <t xml:space="preserve">Probabilidad Residual Final </t>
    </r>
    <r>
      <rPr>
        <b/>
        <sz val="11"/>
        <color rgb="FFFF0000"/>
        <rFont val="Arial"/>
        <family val="2"/>
      </rPr>
      <t>(No tocar)</t>
    </r>
  </si>
  <si>
    <r>
      <t xml:space="preserve">Impacto Residual Final </t>
    </r>
    <r>
      <rPr>
        <b/>
        <sz val="11"/>
        <color rgb="FFFF0000"/>
        <rFont val="Arial"/>
        <family val="2"/>
      </rPr>
      <t>(No tocar)</t>
    </r>
  </si>
  <si>
    <r>
      <t xml:space="preserve">Calificación </t>
    </r>
    <r>
      <rPr>
        <b/>
        <sz val="11"/>
        <color rgb="FFFF0000"/>
        <rFont val="Arial"/>
        <family val="2"/>
      </rPr>
      <t>(No tocar)</t>
    </r>
  </si>
  <si>
    <r>
      <t>%</t>
    </r>
    <r>
      <rPr>
        <b/>
        <sz val="11"/>
        <color rgb="FFFF0000"/>
        <rFont val="Arial"/>
        <family val="2"/>
      </rPr>
      <t xml:space="preserve"> (No tocar)</t>
    </r>
  </si>
  <si>
    <r>
      <t xml:space="preserve">Zona de Riesgo Final </t>
    </r>
    <r>
      <rPr>
        <b/>
        <sz val="11"/>
        <color rgb="FFFF0000"/>
        <rFont val="Arial"/>
        <family val="2"/>
      </rPr>
      <t>(No tocar)</t>
    </r>
  </si>
  <si>
    <t>Tipo (Lista desplegable)</t>
  </si>
  <si>
    <t xml:space="preserve">Automatico </t>
  </si>
  <si>
    <t>Implementación (Lista desplegable)</t>
  </si>
  <si>
    <t xml:space="preserve">Documentado </t>
  </si>
  <si>
    <t>Sin documentar</t>
  </si>
  <si>
    <t>Frecuncia</t>
  </si>
  <si>
    <t xml:space="preserve">Evidencia </t>
  </si>
  <si>
    <t>Con registro</t>
  </si>
  <si>
    <t xml:space="preserve">Implementación </t>
  </si>
  <si>
    <t>Documentación  (Lista desplegable)</t>
  </si>
  <si>
    <t>Frecuencia  (Lista desplegable)</t>
  </si>
  <si>
    <t>Evidencia  (Lista desplegable)</t>
  </si>
  <si>
    <r>
      <t xml:space="preserve">Probabilidad Residual </t>
    </r>
    <r>
      <rPr>
        <b/>
        <sz val="11"/>
        <color rgb="FFFF0000"/>
        <rFont val="Arial"/>
        <family val="2"/>
      </rPr>
      <t>(No tocar)</t>
    </r>
  </si>
  <si>
    <r>
      <t xml:space="preserve">Afectación </t>
    </r>
    <r>
      <rPr>
        <b/>
        <sz val="11"/>
        <color rgb="FFFF0000"/>
        <rFont val="Arial"/>
        <family val="2"/>
      </rPr>
      <t>(No tocar)</t>
    </r>
  </si>
  <si>
    <t>Mitigar</t>
  </si>
  <si>
    <t>Transferir</t>
  </si>
  <si>
    <t>Fecha de finalización</t>
  </si>
  <si>
    <t>RIESGOS DE CORRUPCIÓN</t>
  </si>
  <si>
    <t>Identificación  del riesgo de corrupción</t>
  </si>
  <si>
    <t>Valoración del riesgo</t>
  </si>
  <si>
    <t xml:space="preserve">Valoración del riesgo </t>
  </si>
  <si>
    <t>¿Da lugar al detrimento de calidad de vida de la comunidad por la pérdida del bien, servicios o recursos públicos?</t>
  </si>
  <si>
    <t>SARLAF</t>
  </si>
  <si>
    <t xml:space="preserve">PORCENTAJE </t>
  </si>
  <si>
    <t>MUY BAJA</t>
  </si>
  <si>
    <t>BAJA</t>
  </si>
  <si>
    <t>MEDIA</t>
  </si>
  <si>
    <t>ALTA</t>
  </si>
  <si>
    <t>MUY ALTA</t>
  </si>
  <si>
    <t>LEVE</t>
  </si>
  <si>
    <t>MENOR</t>
  </si>
  <si>
    <t>MAYOR</t>
  </si>
  <si>
    <t>LISTAS PROBABILIDAD (NO TOCAR)</t>
  </si>
  <si>
    <t>LISTAS IMPACTO (NO TOCAR)</t>
  </si>
  <si>
    <t>CATASTRÓFICO</t>
  </si>
  <si>
    <t>Pérdida de la confidencialidad</t>
  </si>
  <si>
    <t>Pérdida de la disponibilidad</t>
  </si>
  <si>
    <t>Pérdida de la integridad</t>
  </si>
  <si>
    <t xml:space="preserve">Identificación del riesgo </t>
  </si>
  <si>
    <t>Activo (Lista desplegable)</t>
  </si>
  <si>
    <t>RIESGOS DE SEGURIDAD DE LA INFORMACIÓN</t>
  </si>
  <si>
    <t>Concecuencias</t>
  </si>
  <si>
    <t>Listas (No tocar)</t>
  </si>
  <si>
    <t>Descripción del riesgo</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</si>
  <si>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</si>
  <si>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rFont val="Arial Narrow"/>
        <family val="2"/>
      </rPr>
      <t>Paso 2: identificación del riesgo</t>
    </r>
    <r>
      <rPr>
        <sz val="11"/>
        <rFont val="Arial Narrow"/>
        <family val="2"/>
      </rPr>
      <t xml:space="preserve">, donde se explica ampliamente las bases para adelanter este análisis.
Así mismo, considere en el </t>
    </r>
    <r>
      <rPr>
        <b/>
        <sz val="11"/>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</si>
  <si>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9"/>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</si>
  <si>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9"/>
        <rFont val="Arial Narrow"/>
        <family val="2"/>
      </rPr>
      <t>Responsable de ejecutar el control + Acción + Complemento</t>
    </r>
  </si>
  <si>
    <r>
      <t>La matriz automáticamente hará el cálculo, acorde con el control o controles definidos con sus atributos analizados, lo que permitirá establecer el</t>
    </r>
    <r>
      <rPr>
        <b/>
        <sz val="9"/>
        <rFont val="Arial Narrow"/>
        <family val="2"/>
      </rPr>
      <t xml:space="preserve"> nivel de riesgo inherente</t>
    </r>
    <r>
      <rPr>
        <sz val="9"/>
        <rFont val="Arial Narrow"/>
        <family val="2"/>
      </rPr>
      <t xml:space="preserve"> (Columnas Y- Z- AA -AB- AC).</t>
    </r>
  </si>
  <si>
    <t>¿Cómo?
R (RELEVANTE)</t>
  </si>
  <si>
    <t>¿Cuánto?
M (MEDIBLE)</t>
  </si>
  <si>
    <t>¿Qué?
S (ESPECIFICO)</t>
  </si>
  <si>
    <t>¿Para qué?
A (ALCANZABLE)</t>
  </si>
  <si>
    <t>¿Cuándo?
T (PROYECTADO EN EL TIEMPO)</t>
  </si>
  <si>
    <t>Causa Inmediata
(¿Cómo?)</t>
  </si>
  <si>
    <t>Causa Raíz
(¿Por qué?)</t>
  </si>
  <si>
    <t>Impacto: Afectación economica o reputacional
(¿Qué?)</t>
  </si>
  <si>
    <t>DESCRIPCIÓN - CAUSAS</t>
  </si>
  <si>
    <t xml:space="preserve"> TIPO DE CAUSA: INMEDIATA O RAIZ</t>
  </si>
  <si>
    <t>INMEDIATA</t>
  </si>
  <si>
    <t>RAIZ</t>
  </si>
  <si>
    <t>Numero de veces que se realiza en promedio la actividad al año</t>
  </si>
  <si>
    <r>
      <t xml:space="preserve">Plan de Acción: </t>
    </r>
    <r>
      <rPr>
        <b/>
        <sz val="11"/>
        <color rgb="FFFF0000"/>
        <rFont val="Arial"/>
        <family val="2"/>
      </rPr>
      <t xml:space="preserve">¿Necesito un nuevo control ? o ¿Cómo mejoro el control existente? </t>
    </r>
  </si>
  <si>
    <t xml:space="preserve">Formula </t>
  </si>
  <si>
    <t xml:space="preserve">Indicadores clave de riesgo </t>
  </si>
  <si>
    <t xml:space="preserve">Criterios de impacto - Afectación economica-¿Cuantos SMLMV?- o reputacional </t>
  </si>
  <si>
    <t>El riesgo afecta la imagen de la entidad internamente, de conocimiento general, nivel interno, de junta directiva y accionistas y/o de proveedores</t>
  </si>
  <si>
    <t xml:space="preserve">Servidores </t>
  </si>
  <si>
    <t xml:space="preserve">Corrupción </t>
  </si>
  <si>
    <t>No asignado</t>
  </si>
  <si>
    <t>Adecuado</t>
  </si>
  <si>
    <t>inadecuado</t>
  </si>
  <si>
    <t>Inoportuno</t>
  </si>
  <si>
    <t>No es un control</t>
  </si>
  <si>
    <t>No es confiable</t>
  </si>
  <si>
    <t xml:space="preserve">No se investigan y resuelven oportunamente  </t>
  </si>
  <si>
    <t>Incompleta</t>
  </si>
  <si>
    <t xml:space="preserve">No existe </t>
  </si>
  <si>
    <t>Desarrollar estrategias para posicionar positivamente el centro de la ciudad, revitalizarlo y transformarlo mediante el apoyo y el fomento, eficaz, de las prácticas artísticas, culturales y del ecosistema creativo, garantizando la
participación ciudadana y grupos de valor.</t>
  </si>
  <si>
    <t>Desarrollar estrategias para posicionar positivamente el centro de la ciudad, revitalizarlo y transformarlo</t>
  </si>
  <si>
    <t>Garantizar la
participación ciudadana y grupos de valor.</t>
  </si>
  <si>
    <t>Mediante el apoyo y el fomento, eficaz, de las prácticas artísticas, culturales y del ecosistema creativo</t>
  </si>
  <si>
    <t>100% de cumplimiento del plan institucional</t>
  </si>
  <si>
    <t>4 años</t>
  </si>
  <si>
    <t xml:space="preserve">Profesional responsable de exposiciones </t>
  </si>
  <si>
    <t>total</t>
  </si>
  <si>
    <t>Total</t>
  </si>
  <si>
    <t>(No tocar)</t>
  </si>
  <si>
    <t>Posibilidad de favorecimiento de un privado durante el proceso de verificación del cumplimiento de requisitos para la asignación de estímulos</t>
  </si>
  <si>
    <t xml:space="preserve">Profesional de apoyo de fomento </t>
  </si>
  <si>
    <t>Recibir dádivas o beneficios  para realizar alquileres sin el cumplimiento de los requisitos</t>
  </si>
  <si>
    <t>Recibiendo o solicitando  dádivas o beneficios</t>
  </si>
  <si>
    <t xml:space="preserve">En el alquiler de espacios </t>
  </si>
  <si>
    <t>Asignación de espacios sin el cumplimiento de requisitos
Sanciones Disciplinarias y Fiscales</t>
  </si>
  <si>
    <t xml:space="preserve">Asignación de espacios sin el cumplimiento de requisitos
Sanciones Disciplinarias y Fiscales
</t>
  </si>
  <si>
    <t>favorecimiento en la asignación de estímulos</t>
  </si>
  <si>
    <t>validación del cumplimiento de requisitos para la asignación de estímulos sin estar bien</t>
  </si>
  <si>
    <t>En la asignación de estímulos</t>
  </si>
  <si>
    <t>Pérdida de imagen institucional 
Demandas  
Investigaciones y sanciones
Desviación de recursos</t>
  </si>
  <si>
    <t xml:space="preserve">Pérdida de imagen institucional 
Investigaciones y sanciones
Desviación de recursos
</t>
  </si>
  <si>
    <t xml:space="preserve">Falta de experiencia en la formulación de estímulos de los roles encargados </t>
  </si>
  <si>
    <t>Asignación de recursos sin el cumplimiento de requisitos
Sanciones Disciplinarias y Fiscales
Demandas contra la entidad
Reprocesos</t>
  </si>
  <si>
    <t>Cada vez que se necesite exponer</t>
  </si>
  <si>
    <t xml:space="preserve">Falta de información clara en la publicidad de las condiciones del trámite
</t>
  </si>
  <si>
    <t xml:space="preserve">Asignación de recursos sin el cumplimiento de requisitos
Sanciones Disciplinarias, y Fiscales
</t>
  </si>
  <si>
    <t xml:space="preserve">Automático </t>
  </si>
  <si>
    <t xml:space="preserve">Falta de información clara en las  condiciones de préstamo y/o uso
</t>
  </si>
  <si>
    <t xml:space="preserve">Realizar la asignación y/o prestamos de espacios expositivos sin el cumplimiento de los requisitos </t>
  </si>
  <si>
    <t>Recibir dádivas o beneficios a nombre propio o de terceros para realizar la asignación y/o prestamos de espacios expositivos</t>
  </si>
  <si>
    <t xml:space="preserve">La falta de información clara en la publicidad de las condiciones del trámite puede ocasionar el recibir dádivas o beneficios a nombre propio o de terceros para realizar la asignación y/o prestamos de espacios expositivos sin el cumplimiento de los requisitos repercutiendo la asignación de recursos sin el cumplimiento de requisitos sanciones Disciplinarias y fiscales </t>
  </si>
  <si>
    <t xml:space="preserve">Actualizar el procedimiento de ''Actividades de formación artística, cultural, patrimonial y creativa'' donde se incorporen los controles que se están realizando </t>
  </si>
  <si>
    <t>Procedimiento actualizado con el control del riesgo</t>
  </si>
  <si>
    <t>AFECTACIÓN REPUTACIONAL</t>
  </si>
  <si>
    <t>GENERACIÓN DE EXPECTATIVAS A LA COMUNIDAD DIFERENTES A LA MISIONALIDAD DE LA FUGA</t>
  </si>
  <si>
    <t>DEBIDO AL DESCONOCIMIENTO DELPORTAFOLIO DE SERVICIOS POR PARTE DE LOS COLABORADORES DE LA ENTIDAD</t>
  </si>
  <si>
    <t xml:space="preserve">Posibilidad de afectación reputacional por la generación de expectativas a la comunidad, diferentes a la misionalidad de la FUGA, debido al desconocimiento del portafolio de servicios por parte de los colaboradores de la entidad. </t>
  </si>
  <si>
    <t>Anualmente los lideres misionales con el apoyo de OAP revisan el portafolio de servicio para identificar los cambios que han surgido en la prestación de bienes y servicios en la entidad, el documento actualizado se lleva a comité directivo para su aprobación, como evidencia queda el acta de reunión y el portafolio publicado en la página web institucional sección transparencia para conocimiento de los ciudadanos.</t>
  </si>
  <si>
    <t>Incluir el punto de contron en la documentación del proceso misional</t>
  </si>
  <si>
    <t>Maria del Pilar Maya
Subdirectora para la gestión del Centro de Bogotá
Cesar Alfredo Parra
Subdirector Artístico y Cultural</t>
  </si>
  <si>
    <t xml:space="preserve">AFECTACIÓN ECONÓMICA </t>
  </si>
  <si>
    <t>DEMANDA POR DAÑOS Y PREJUICIOS A TERCEROS</t>
  </si>
  <si>
    <t>NO GESTIONAR LOS PERMISOS REQUERIDOS DE CONFORMIDAD CON EL NIVEL DE COMPLEJIDAD DEL EVENTO</t>
  </si>
  <si>
    <t xml:space="preserve">El productor o el encargado del evento verifica previo al inicio de la actividad que se haya registrado correctamente en el Sistema Único de Gestión para el Registro, Evaluación y Autorización de Actividades de Aglomeración - SUGA, los eventos correspondientes al nivel de baja complejidad. Para ello recibirá correo electrónico de parte del IDIGER con los datos del evento y número de registro.
En caso de encontrar inconsistencias debe realizar las subsanaciones o correciones de la solicitud, segun corresponda, a través de la plataforma. Este soporte será cargado junto con las evidencias de desarrollo del evento al servidor.  </t>
  </si>
  <si>
    <t xml:space="preserve">Realizar una socialización semestral  a los colaboradores misionales, sobre  la guía o protocolo para la expedición de permisos SUGA de Baja, Media y Alta complejidad. 
Actuaizar el procedimiento de eventos con el punto de control del presente riesgo; adicionalmente agregar la verificación por parte del productor o responsable del evento del permiso de SUGA, teniendo en cuenta la complejidad del evento. </t>
  </si>
  <si>
    <t xml:space="preserve"> DECLARACIÓN DE CONVOCATORIAS DESIERTAS</t>
  </si>
  <si>
    <t>FALTA DE SOCIALIZACIÓN  Y ORIENTACIÓN EN EL USO DE LA PLATAFORMA TECNOLÓGICA SICON HACIA LA CIUDADANÍA</t>
  </si>
  <si>
    <t>No existe control actualmente</t>
  </si>
  <si>
    <t>Actualizar el procedimiento de estimulos con la siguiente información: El Ordenador del gasto revisa semestralmente la programación, estrategias de divulgación y ejecución de las socializaciones en los territorios del centro de Bogotá, de manera presencial para atender las dudas de los interesados en participar en el portafolio de estímulos de la entidad, en caso de requerir ajustes informa por correo electrónico al profesional de apoyo de fomento para su ajuste y una vez este completo lo aprueba.</t>
  </si>
  <si>
    <t>Actualizar el procedimiento de estimulos con la siguiente información: El profesional de apoyo de fomento revisa mensualmente los soportes (listas de asistencia y fotográfias) de la ejecución la programación, estratégias de divulgación y ejecución de las socializaciones en los territorios del centro de Bogotá de manera presencial llevadas a cabo por los lideres misionales, así como la justificación de cancelación y/o aplazamiento de dichas actividades, en cuyo caso lo comunica al subdirector quien por medio de correo electronico aprueba los cambios.</t>
  </si>
  <si>
    <t>Actualizar el procedimiento de estímulos incluyendo la programación y ejecución de las socializaciones presenciales permanentes en la entidad.</t>
  </si>
  <si>
    <t xml:space="preserve"> BAJA PARTICIPACIÓN DE LA CIUDADANIA, EN LAS ACTIVIDADES PRESENCIALES DE LA ENTIDAD</t>
  </si>
  <si>
    <t>FALTA DE DIVULGACIÓN  DE LOS EVENTOS</t>
  </si>
  <si>
    <t>El profesional de apoyo enlace de planeación o los líderes misionales, semanalmente revisan junto con el profesional de apoyo de comunicaciones, los eventos que se presentarán y divulgarán en la semana siguiente, por medio de la agenda digital. En caso de encontrar, que faltan eventos o diferencias en la planeación de los eventos registrados en la agenda, se notifica al profesional de apoyo de comunicaciones por medio de correo electronico, para que genere los cambios en la agenda, los cuales son verificados y aprobados mediante correo electronico, por el profesional de apoyo enlace de planeación o los líderes misionales.</t>
  </si>
  <si>
    <t xml:space="preserve">
Actualizar el procedimiento de eventos incluyendo el punto de control anterior.</t>
  </si>
  <si>
    <t>La posibilidad de afectación económica por cuenta de demandas, daños y/o perjuicios a terceros, debido a la no gestión de los permisos requeridos por entidades competentes, de conformidad con el nivel de complejidad de los eventos.</t>
  </si>
  <si>
    <t>Posibilidad de afectación reputacional por la declaración de convocatorias desiertas, debido a la falta de socialización  y orientación en el uso de la plataforma tecnológica SICON hacia la ciudadanía</t>
  </si>
  <si>
    <t>Posibilidad de afectación reputacional por la baja participación de la ciudadania en las actividades presenciales de la entidad, debido a la  falta de divulgación  de los eventos</t>
  </si>
  <si>
    <t xml:space="preserve">Porcentaje de servidores misionales capacitados en el portafolio de bienes y servicios </t>
  </si>
  <si>
    <t>(Número de servidores misionales capacitados en el portafolio de bienes y servicios en el periodo/ Total de servidores vinculados al proceso misional en el periodo)*100</t>
  </si>
  <si>
    <t>(N° de eventos con permisos autorizados /N° de eventos realizados que requieren SUGA según su naturaleza)*100</t>
  </si>
  <si>
    <t>Porcentaje de eventos con permisos autorizados</t>
  </si>
  <si>
    <t>Porcentaje de estímulos y apoyos concertados  adjudicados</t>
  </si>
  <si>
    <t>(N° de estímulos y apoyos concertados otorgados en el periodo / N° de estímulos y apoyos concertados proyectados en el periodo) * 100</t>
  </si>
  <si>
    <t>(N° de asistentes a actividades presenciales de la vigencia actual - N° de asistentes a actividades presenciales de la vigencia anterior)/ N° de asistentes a actividades presenciales de la vigencia anterior * 100</t>
  </si>
  <si>
    <t>Número de  personas que participan presencialmente en actividades artísticas y culturales</t>
  </si>
  <si>
    <t>Información almacenada en el drive o correo electrónico.</t>
  </si>
  <si>
    <t xml:space="preserve">Posibilidad de  falta de disponibilidad de información que este almacenada en el drive o correo electronico </t>
  </si>
  <si>
    <t>información</t>
  </si>
  <si>
    <t xml:space="preserve">Falta de disponibilidad </t>
  </si>
  <si>
    <t>Almacenamiento de información institucional en medios diferentes a Orfeo y sistemas de información institucionales. (Correo y drive)</t>
  </si>
  <si>
    <t xml:space="preserve">falta de disponibilidad de información </t>
  </si>
  <si>
    <t xml:space="preserve">El profesional de apoyo TIC genera backup periodicos, para el resguardo de la información misional. Como evidencia estan los backup en el servidor de la entidad </t>
  </si>
  <si>
    <t xml:space="preserve">Solicitar por correo electronico a mesa de ayuda, generar una cuenta de correo electronico para cada subdirección misional donde se reguarde la información </t>
  </si>
  <si>
    <t>Correos a mesa de ayuda con la solicitud y correos nuevos establecidos</t>
  </si>
  <si>
    <t>Cesar Parra 
Subdirector artistica y cultural
María del Pilar Maya
Subdirectora Centro</t>
  </si>
  <si>
    <t>Activo</t>
  </si>
  <si>
    <r>
      <t xml:space="preserve">Posibilidad de recibir dádivas o beneficios a nombre propio o de terceros para realizar alquileres </t>
    </r>
    <r>
      <rPr>
        <b/>
        <sz val="11"/>
        <color rgb="FFFF0000"/>
        <rFont val="Calibri"/>
        <family val="2"/>
        <scheme val="minor"/>
      </rPr>
      <t>y/o prestamo s</t>
    </r>
    <r>
      <rPr>
        <b/>
        <sz val="11"/>
        <color theme="1"/>
        <rFont val="Calibri"/>
        <family val="2"/>
        <scheme val="minor"/>
      </rPr>
      <t>in el cumplimiento de los requisitos.</t>
    </r>
  </si>
  <si>
    <r>
      <t xml:space="preserve">La combinación de factores como falta de información clara  en las  condiciones de préstamo y/o uso puede ocasionar el riesgo de recibir dádivas o beneficios a nombre propio o de terceros para realizar </t>
    </r>
    <r>
      <rPr>
        <sz val="11"/>
        <color rgb="FFFF0000"/>
        <rFont val="Arial"/>
        <family val="2"/>
      </rPr>
      <t>alquileres y/o prestamos</t>
    </r>
    <r>
      <rPr>
        <sz val="11"/>
        <color theme="1"/>
        <rFont val="Arial"/>
        <family val="2"/>
      </rPr>
      <t xml:space="preserve"> sin el cumplimiento de los requisitos, lo que puede llevar a la asignación de espacios sin el cumpliendo de requisitos repercutiendo en sanciones disciplinarias y fiscales</t>
    </r>
  </si>
  <si>
    <t xml:space="preserve">Documento del proceso con punto de control </t>
  </si>
  <si>
    <t>Profesional especializado de la subdirección centro</t>
  </si>
  <si>
    <t>El comité de programación, confirma el cumplimiento de los criterios, determina a partir del tipo de evento y solicitante, la modalidad de uso que se aplicará.
Generar acta de reunión del Comité de Programación con la decisión y propuesta de modalidad de préstamo viable. Los casos que requieran revisión por cruce de fechas, serán revisados por el comité para proponer otras fechas disponibles. En caso de no cumplir con los requisitos, se solicita al profesional de Apoyo SAC asignado por el líder del proceso, dar respuesta mediante Orfeo, negando la solicitud y explicando las razones, el Orfeo es remitido al Proceso de Servicio al ciudadano para continuar con el envío de respuesta.</t>
  </si>
  <si>
    <t xml:space="preserve">Profesional de apoyo  responsable del alquiler y/o prestamos de auditorios </t>
  </si>
  <si>
    <t xml:space="preserve">Formalizar el punto de control en la documentación del proceso de transformación cultural para la revitalización del centro. </t>
  </si>
  <si>
    <t xml:space="preserve">El profesional especializado de subcentro revisa las solicitudes para prestamos de filmaciones, con el fin de revisar el cumplimiento de los requisitos establecidos por el permiso Unificado para Filmaciones Audiovisuales (PUFA) de la comisión filmica y validar que exista disponibilidad del espacio. </t>
  </si>
  <si>
    <t>Posibilidad de recibir dádivas o beneficios a nombre propio o de terceros para realizar la asignación y/o prestamos de espacios expositivos sin el cumplimiento de los requisitos.</t>
  </si>
  <si>
    <r>
      <t xml:space="preserve">Pieza publicada en la página web de la FUGA con los pasos y requisitos para el alquiler y/o préstamo de los </t>
    </r>
    <r>
      <rPr>
        <sz val="11"/>
        <color rgb="FFFF0000"/>
        <rFont val="Calibri"/>
        <family val="2"/>
        <scheme val="minor"/>
      </rPr>
      <t>auditorio y/o muelle</t>
    </r>
  </si>
  <si>
    <t>La Comisión revisa que los proyectos expositivos hayan sido evaluados según Formato evaluación de proyectos salas , como evidencia de la revisión se deja firmado por el representante de la comisión y se deja consignado en el Acta de reunión del mismo en Orfeo y/o correo electrónico</t>
  </si>
  <si>
    <t xml:space="preserve">Actualizar el procedimiento de exposiciones y el instructivo de banco de proyectos de acuerdo a los cambios de la resolución de salas de exposición </t>
  </si>
  <si>
    <t xml:space="preserve">Procedimiento e instructivo  actualizados </t>
  </si>
  <si>
    <t xml:space="preserve">Posibilidad de recibir dádivas o beneficios a nombre propio o de terceros para realizar el prestamo de equipos sin autorización del personal encargado de los equipos.
Riesgo de gestión: Prestamo de equipos- uso de pantalla- no hay procedimientos claros. </t>
  </si>
  <si>
    <t xml:space="preserve">Desconocimiento de las características del procedimiento de fomento
</t>
  </si>
  <si>
    <t>Rotación del personal encargado del desarrollo de las actividades del procedimiento de fomento.</t>
  </si>
  <si>
    <t>El subdirector encargado de la convocatoria revisa el contenido de la cartilla de convocatoria preliminar, desde la orientación técnica, los lineamientos institucionales, financieros y jurídicos, para su aprobación y da su visto bueno por correo electrónico para luego pasarlo a la dirección y al profesional de apoyo jurídico de la subdirección para su revisión.  El subdirector ,en caso de encontrar inconsistencias solicita por correo electrónico los ajustes pertinentes y revisa de nuevo.</t>
  </si>
  <si>
    <t>El profesional especializado y/o misional evalúa a los jurados de acuerdo al perfil creado por cada convocatoria y a los criterios de selección establecidos en las condiciones generales del Banco de Jurados. De la misma manera revisa si existen inhabilidades para su participación como jurado. En caso de que la persona postulada no cumpla con el puntaje mínimo exigido o tenga una inhabilidad, no puede participar y se dejan las observaciones en la plataforma virtual dispuesta por la SCRD y la FUGA para las convocatorias</t>
  </si>
  <si>
    <t>Realizar una capacitación semestral al equipo de Fomento sobre el procedimiento actual de fomento y los lineamientos de uso de la plataforma de inscripción designada por la Secretaría de Cultura</t>
  </si>
  <si>
    <t>Soportes de capacitación en el procedimiento de fomento y soportes de asistencia a capacitaciones sobre la plataforma de inscripción designada por la Secretaría de Cultura</t>
  </si>
  <si>
    <t xml:space="preserve">Publicar en la página web una pieza de socialización o video con los requisitos y pasos que se deben seguir para participar en las convocatorias de estímulos </t>
  </si>
  <si>
    <t>Pieza de socialización o video publicado en página web de la FUGA</t>
  </si>
  <si>
    <r>
      <t>La combinación de factores como desconocimiento de las características del procedimiento de fomento, l</t>
    </r>
    <r>
      <rPr>
        <sz val="11"/>
        <color rgb="FFFF0000"/>
        <rFont val="Arial"/>
        <family val="2"/>
      </rPr>
      <t>a rotación del personal encargado del desarrollo de las actividades del procedimiento de foment</t>
    </r>
    <r>
      <rPr>
        <sz val="11"/>
        <color theme="1"/>
        <rFont val="Arial"/>
        <family val="2"/>
      </rPr>
      <t xml:space="preserve">o y la falta de experiencia en la formulación de estímulos de los roles encargados, pueden ocasionar el favorecimiento de un privado durante el proceso de verificación del cumplimiento de requisitos para la asignación de estímulos lo que puede producir la desviación de recursos, pérdida de imagen institucional, investigaciones y sanciones. 
</t>
    </r>
  </si>
  <si>
    <t>Negar la posibilidad de cupos a personas que si cumplen con los criterios de selección
Sanciones disciplinarias</t>
  </si>
  <si>
    <r>
      <rPr>
        <strike/>
        <sz val="11"/>
        <color theme="1"/>
        <rFont val="Calibri"/>
        <family val="2"/>
        <scheme val="minor"/>
      </rPr>
      <t xml:space="preserve">Recibir o solicitar dadivas para omitir la verificación de requisitos en los pagos a formadores. </t>
    </r>
    <r>
      <rPr>
        <sz val="11"/>
        <color theme="1"/>
        <rFont val="Calibri"/>
        <family val="2"/>
        <scheme val="minor"/>
      </rPr>
      <t xml:space="preserve">
</t>
    </r>
    <r>
      <rPr>
        <sz val="11"/>
        <color rgb="FFFF0000"/>
        <rFont val="Calibri"/>
        <family val="2"/>
        <scheme val="minor"/>
      </rPr>
      <t xml:space="preserve">
Incluir participantes a los procesos de formación propios de la FUGA</t>
    </r>
  </si>
  <si>
    <t xml:space="preserve">El incumplimiento del número minimo de partcipantes, pueden ocasionar la posibilidad de incluir estos a los procesos de formación, omitiendo criterios de selección para beneficio de amigos y familiares, repercutiendo en  sanciones disciplinarias y la negación de cupos a personas que si cumplen con los criterios de la formación </t>
  </si>
  <si>
    <t>El profesional de apoyo a línea de formación en el proceso de inscripción,revisa que los participantes cumplan con los criterios de selección, dejando un acta de evaluación con la revisión que se hace de los criterios por cada participante y las puntuaciones que cada uno saco en esta evalución de criterios, en caso de verificar que uno o más participantes no cumplen con los criterios de selección mínimos, informa al participante por correo electronico y se libera ese cupo para dar la portunidad a otra persona.</t>
  </si>
  <si>
    <t xml:space="preserve">Subdirector de gestión artística y cultural 
Profesional de apoyo líder de la línea de formación </t>
  </si>
  <si>
    <r>
      <t xml:space="preserve">Realizar una pieza  grafica con los requisitos y pasos que se deben seguir para el alquiler y/o </t>
    </r>
    <r>
      <rPr>
        <sz val="11"/>
        <color rgb="FFFF0000"/>
        <rFont val="Calibri"/>
        <family val="2"/>
        <scheme val="minor"/>
      </rPr>
      <t>préstamo de los auditorios</t>
    </r>
    <r>
      <rPr>
        <sz val="11"/>
        <rFont val="Calibri"/>
        <family val="2"/>
        <scheme val="minor"/>
      </rPr>
      <t xml:space="preserve"> y publicarla en la página web. 
</t>
    </r>
  </si>
  <si>
    <r>
      <t xml:space="preserve">
</t>
    </r>
    <r>
      <rPr>
        <sz val="11"/>
        <color rgb="FFFF0000"/>
        <rFont val="Calibri"/>
        <family val="2"/>
        <scheme val="minor"/>
      </rPr>
      <t xml:space="preserve">omitiendo criterios de selección </t>
    </r>
  </si>
  <si>
    <r>
      <t xml:space="preserve">
</t>
    </r>
    <r>
      <rPr>
        <sz val="11"/>
        <color rgb="FFFF0000"/>
        <rFont val="Calibri"/>
        <family val="2"/>
        <scheme val="minor"/>
      </rPr>
      <t xml:space="preserve">Al momento de la selección de los partiipantes </t>
    </r>
  </si>
  <si>
    <r>
      <t xml:space="preserve">
</t>
    </r>
    <r>
      <rPr>
        <sz val="11"/>
        <color rgb="FFFF0000"/>
        <rFont val="Calibri"/>
        <family val="2"/>
        <scheme val="minor"/>
      </rPr>
      <t xml:space="preserve">Negar la posibilidad de cupos a personas que si cumplen con los criterios de selección
Sanciones disciplinarias
</t>
    </r>
  </si>
  <si>
    <t xml:space="preserve">Posibilidad de incluir participantes a los procesos de formación, omitiendo criterios de selección para beneficio de amigos y familiares </t>
  </si>
  <si>
    <t xml:space="preserve">
Incumplimiento del número minimo de partcipantes </t>
  </si>
  <si>
    <t>Incumplimiento de requisitos minimo en las formaciones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</si>
</sst>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m/yyyy"/>
  </numFmts>
  <fonts count="92" x14ac:knownFonts="1">
    <font>
      <sz val="11"/>
      <color theme="1"/>
      <name val="Calibri"/>
      <family val="2"/>
      <scheme val="minor"/>
    </font>
    <font>
      <sz val="11"/>
      <color theme="1"/>
      <name val="Arial Narrow"/>
      <family val="2"/>
    </font>
    <font>
      <sz val="11"/>
      <name val="Arial Narrow"/>
      <family val="2"/>
    </font>
    <font>
      <sz val="10"/>
      <color rgb="FF000000"/>
      <name val="Arial Narrow"/>
      <family val="2"/>
    </font>
    <font>
      <b/>
      <sz val="11"/>
      <color theme="1"/>
      <name val="Arial Narrow"/>
      <family val="2"/>
    </font>
    <font>
      <sz val="10"/>
      <color theme="1"/>
      <name val="Calibri"/>
      <family val="2"/>
      <scheme val="minor"/>
    </font>
    <font>
      <sz val="10"/>
      <color theme="1"/>
      <name val="Arial Narrow"/>
      <family val="2"/>
    </font>
    <font>
      <b/>
      <sz val="11"/>
      <color theme="9" tint="-0.249977111117893"/>
      <name val="Arial Narrow"/>
      <family val="2"/>
    </font>
    <font>
      <sz val="14"/>
      <color theme="1"/>
      <name val="Arial Narrow"/>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6"/>
      <color rgb="FF000000"/>
      <name val="Arial Narrow"/>
      <family val="2"/>
    </font>
    <font>
      <sz val="11"/>
      <color theme="0"/>
      <name val="Calibri"/>
      <family val="2"/>
      <scheme val="minor"/>
    </font>
    <font>
      <sz val="11"/>
      <color theme="1"/>
      <name val="Calibri"/>
      <family val="2"/>
      <scheme val="minor"/>
    </font>
    <font>
      <sz val="11"/>
      <name val="Calibri"/>
      <family val="2"/>
      <scheme val="minor"/>
    </font>
    <font>
      <sz val="16"/>
      <color theme="1"/>
      <name val="Calibri"/>
      <family val="2"/>
      <scheme val="minor"/>
    </font>
    <font>
      <sz val="28"/>
      <color theme="1"/>
      <name val="Calibri"/>
      <family val="2"/>
      <scheme val="minor"/>
    </font>
    <font>
      <b/>
      <sz val="40"/>
      <color rgb="FF000000"/>
      <name val="Calibri"/>
      <family val="2"/>
    </font>
    <font>
      <b/>
      <sz val="12"/>
      <color rgb="FF000000"/>
      <name val="Calibri"/>
      <family val="2"/>
    </font>
    <font>
      <b/>
      <sz val="28"/>
      <color rgb="FF000000"/>
      <name val="Calibri"/>
      <family val="2"/>
    </font>
    <font>
      <b/>
      <sz val="36"/>
      <color rgb="FF000000"/>
      <name val="Calibri"/>
      <family val="2"/>
    </font>
    <font>
      <sz val="18"/>
      <color theme="1"/>
      <name val="Arial Narrow"/>
      <family val="2"/>
    </font>
    <font>
      <b/>
      <sz val="18"/>
      <color rgb="FF000000"/>
      <name val="Calibri"/>
      <family val="2"/>
    </font>
    <font>
      <b/>
      <sz val="18"/>
      <color theme="1"/>
      <name val="Arial Narrow"/>
      <family val="2"/>
    </font>
    <font>
      <b/>
      <sz val="22"/>
      <color theme="1"/>
      <name val="Arial Narrow"/>
      <family val="2"/>
    </font>
    <font>
      <b/>
      <sz val="14"/>
      <color theme="1"/>
      <name val="Arial Narrow"/>
      <family val="2"/>
    </font>
    <font>
      <sz val="11"/>
      <color rgb="FFFF0000"/>
      <name val="Calibri"/>
      <family val="2"/>
      <scheme val="minor"/>
    </font>
    <font>
      <sz val="16"/>
      <color rgb="FFFF0000"/>
      <name val="Arial Narrow"/>
      <family val="2"/>
    </font>
    <font>
      <sz val="16"/>
      <color rgb="FFFF0000"/>
      <name val="Calibri"/>
      <family val="2"/>
      <scheme val="minor"/>
    </font>
    <font>
      <sz val="11"/>
      <color rgb="FF030303"/>
      <name val="Arial"/>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2"/>
      <color theme="1"/>
      <name val="Arial Narrow"/>
      <family val="2"/>
    </font>
    <font>
      <sz val="12"/>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4"/>
      <color rgb="FF000000"/>
      <name val="Arial Narrow"/>
      <family val="2"/>
    </font>
    <font>
      <sz val="24"/>
      <color theme="1"/>
      <name val="Arial Narrow"/>
      <family val="2"/>
    </font>
    <font>
      <b/>
      <sz val="24"/>
      <color rgb="FF000000"/>
      <name val="Calibri"/>
      <family val="2"/>
    </font>
    <font>
      <b/>
      <sz val="20"/>
      <color theme="1"/>
      <name val="Calibri"/>
      <family val="2"/>
      <scheme val="minor"/>
    </font>
    <font>
      <b/>
      <sz val="12"/>
      <name val="Arial Narrow"/>
      <family val="2"/>
    </font>
    <font>
      <b/>
      <sz val="26"/>
      <color theme="1"/>
      <name val="Arial Narrow"/>
      <family val="2"/>
    </font>
    <font>
      <b/>
      <sz val="9"/>
      <color theme="1"/>
      <name val="Arial Narrow"/>
      <family val="2"/>
    </font>
    <font>
      <sz val="10"/>
      <name val="Arial"/>
      <family val="2"/>
    </font>
    <font>
      <sz val="12"/>
      <name val="Times New Roman"/>
      <family val="1"/>
    </font>
    <font>
      <sz val="10"/>
      <name val="Arial Narrow"/>
      <family val="2"/>
    </font>
    <font>
      <b/>
      <sz val="14"/>
      <name val="Arial Narrow"/>
      <family val="2"/>
    </font>
    <font>
      <b/>
      <u/>
      <sz val="11"/>
      <name val="Arial Narrow"/>
      <family val="2"/>
    </font>
    <font>
      <b/>
      <sz val="11"/>
      <name val="Arial Narrow"/>
      <family val="2"/>
    </font>
    <font>
      <b/>
      <sz val="10"/>
      <name val="Arial Narrow"/>
      <family val="2"/>
    </font>
    <font>
      <b/>
      <sz val="9"/>
      <name val="Arial Narrow"/>
      <family val="2"/>
    </font>
    <font>
      <sz val="9"/>
      <name val="Arial Narrow"/>
      <family val="2"/>
    </font>
    <font>
      <b/>
      <sz val="12"/>
      <color theme="1"/>
      <name val="Calibri"/>
      <family val="2"/>
      <scheme val="minor"/>
    </font>
    <font>
      <b/>
      <sz val="12"/>
      <name val="Calibri"/>
      <family val="2"/>
      <scheme val="minor"/>
    </font>
    <font>
      <b/>
      <sz val="9"/>
      <color indexed="81"/>
      <name val="Tahoma"/>
      <family val="2"/>
    </font>
    <font>
      <sz val="9"/>
      <color indexed="81"/>
      <name val="Tahoma"/>
      <family val="2"/>
    </font>
    <font>
      <b/>
      <sz val="11"/>
      <color theme="1"/>
      <name val="Calibri"/>
      <family val="2"/>
      <scheme val="minor"/>
    </font>
    <font>
      <b/>
      <sz val="10"/>
      <name val="Arial"/>
      <family val="2"/>
    </font>
    <font>
      <b/>
      <sz val="10"/>
      <color theme="1"/>
      <name val="Calibri"/>
      <family val="2"/>
      <scheme val="minor"/>
    </font>
    <font>
      <b/>
      <sz val="16"/>
      <color theme="1"/>
      <name val="Calibri"/>
      <family val="2"/>
      <scheme val="minor"/>
    </font>
    <font>
      <sz val="18"/>
      <color theme="1"/>
      <name val="Calibri"/>
      <family val="2"/>
      <scheme val="minor"/>
    </font>
    <font>
      <b/>
      <sz val="16"/>
      <color rgb="FF000000"/>
      <name val="Calibri"/>
      <family val="2"/>
    </font>
    <font>
      <b/>
      <sz val="14"/>
      <color rgb="FF000000"/>
      <name val="Calibri"/>
      <family val="2"/>
    </font>
    <font>
      <sz val="14"/>
      <color theme="1"/>
      <name val="Calibri"/>
      <family val="2"/>
      <scheme val="minor"/>
    </font>
    <font>
      <sz val="22"/>
      <color theme="1"/>
      <name val="Calibri"/>
      <family val="2"/>
      <scheme val="minor"/>
    </font>
    <font>
      <b/>
      <sz val="14"/>
      <color theme="1"/>
      <name val="Calibri"/>
      <family val="2"/>
      <scheme val="minor"/>
    </font>
    <font>
      <b/>
      <sz val="11"/>
      <color rgb="FFFF0000"/>
      <name val="Calibri"/>
      <family val="2"/>
      <scheme val="minor"/>
    </font>
    <font>
      <b/>
      <sz val="12"/>
      <color theme="1"/>
      <name val="Arial"/>
      <family val="2"/>
    </font>
    <font>
      <b/>
      <sz val="14"/>
      <color theme="1"/>
      <name val="Arial"/>
      <family val="2"/>
    </font>
    <font>
      <sz val="11"/>
      <color theme="1"/>
      <name val="Arial"/>
      <family val="2"/>
    </font>
    <font>
      <b/>
      <sz val="22"/>
      <color theme="1"/>
      <name val="Arial"/>
      <family val="2"/>
    </font>
    <font>
      <b/>
      <sz val="18"/>
      <color theme="1"/>
      <name val="Arial"/>
      <family val="2"/>
    </font>
    <font>
      <sz val="14"/>
      <color theme="1"/>
      <name val="Arial"/>
      <family val="2"/>
    </font>
    <font>
      <b/>
      <sz val="11"/>
      <color theme="1"/>
      <name val="Arial"/>
      <family val="2"/>
    </font>
    <font>
      <sz val="11"/>
      <name val="Arial"/>
      <family val="2"/>
    </font>
    <font>
      <sz val="10"/>
      <color theme="1"/>
      <name val="Arial"/>
      <family val="2"/>
    </font>
    <font>
      <b/>
      <sz val="11"/>
      <color rgb="FFFF0000"/>
      <name val="Arial"/>
      <family val="2"/>
    </font>
    <font>
      <sz val="16"/>
      <name val="Calibri"/>
      <family val="2"/>
      <scheme val="minor"/>
    </font>
    <font>
      <sz val="14"/>
      <name val="Calibri"/>
      <family val="2"/>
      <scheme val="minor"/>
    </font>
    <font>
      <sz val="11"/>
      <color theme="5" tint="-0.249977111117893"/>
      <name val="Arial"/>
      <family val="2"/>
    </font>
    <font>
      <sz val="11"/>
      <color rgb="FFFF0000"/>
      <name val="Arial"/>
      <family val="2"/>
    </font>
    <font>
      <sz val="12"/>
      <color theme="1"/>
      <name val="Calibri"/>
      <family val="2"/>
    </font>
    <font>
      <sz val="14"/>
      <name val="Arial"/>
      <family val="2"/>
    </font>
    <font>
      <b/>
      <sz val="11"/>
      <name val="Arial"/>
      <family val="2"/>
    </font>
    <font>
      <sz val="10"/>
      <color rgb="FFFF0000"/>
      <name val="Arial"/>
      <family val="2"/>
    </font>
    <font>
      <strike/>
      <sz val="11"/>
      <color theme="1"/>
      <name val="Calibri"/>
      <family val="2"/>
      <scheme val="minor"/>
    </font>
    <font>
      <b/>
      <sz val="11"/>
      <name val="Calibri"/>
      <family val="2"/>
      <scheme val="minor"/>
    </font>
  </fonts>
  <fills count="3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rgb="FFFFFF66"/>
        <bgColor indexed="64"/>
      </patternFill>
    </fill>
    <fill>
      <patternFill patternType="solid">
        <fgColor rgb="FF92D050"/>
        <bgColor indexed="64"/>
      </patternFill>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5"/>
        <bgColor indexed="64"/>
      </patternFill>
    </fill>
    <fill>
      <patternFill patternType="solid">
        <fgColor theme="4" tint="0.79998168889431442"/>
        <bgColor indexed="64"/>
      </patternFill>
    </fill>
    <fill>
      <patternFill patternType="solid">
        <fgColor theme="2"/>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6"/>
        <bgColor indexed="64"/>
      </patternFill>
    </fill>
    <fill>
      <patternFill patternType="solid">
        <fgColor theme="0"/>
        <bgColor theme="0"/>
      </patternFill>
    </fill>
    <fill>
      <patternFill patternType="solid">
        <fgColor theme="2" tint="-0.14999847407452621"/>
        <bgColor indexed="64"/>
      </patternFill>
    </fill>
    <fill>
      <patternFill patternType="solid">
        <fgColor rgb="FFFFFF00"/>
        <bgColor theme="0"/>
      </patternFill>
    </fill>
  </fills>
  <borders count="105">
    <border>
      <left/>
      <right/>
      <top/>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right/>
      <top style="dashed">
        <color theme="9" tint="-0.24994659260841701"/>
      </top>
      <bottom style="dashed">
        <color theme="9" tint="-0.24994659260841701"/>
      </bottom>
      <diagonal/>
    </border>
    <border>
      <left style="dotted">
        <color rgb="FFF79646"/>
      </left>
      <right style="dotted">
        <color rgb="FFF79646"/>
      </right>
      <top/>
      <bottom style="dotted">
        <color rgb="FFF79646"/>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s>
  <cellStyleXfs count="5">
    <xf numFmtId="0" fontId="0" fillId="0" borderId="0"/>
    <xf numFmtId="9" fontId="15" fillId="0" borderId="0" applyFont="0" applyFill="0" applyBorder="0" applyAlignment="0" applyProtection="0"/>
    <xf numFmtId="0" fontId="48" fillId="0" borderId="0"/>
    <xf numFmtId="0" fontId="49" fillId="0" borderId="0"/>
    <xf numFmtId="0" fontId="5" fillId="0" borderId="0"/>
  </cellStyleXfs>
  <cellXfs count="1262">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vertical="center"/>
    </xf>
    <xf numFmtId="0" fontId="4" fillId="2" borderId="0" xfId="0" applyFont="1" applyFill="1" applyAlignment="1">
      <alignment horizontal="center" vertical="center"/>
    </xf>
    <xf numFmtId="0" fontId="1" fillId="0" borderId="0" xfId="0" applyFont="1" applyAlignment="1">
      <alignment horizontal="center"/>
    </xf>
    <xf numFmtId="0" fontId="1" fillId="0" borderId="2" xfId="0" applyFont="1" applyBorder="1" applyAlignment="1">
      <alignment horizontal="center" vertical="center"/>
    </xf>
    <xf numFmtId="0" fontId="4" fillId="2" borderId="2" xfId="0" applyFont="1" applyFill="1" applyBorder="1" applyAlignment="1">
      <alignment horizontal="center" vertical="center" textRotation="90"/>
    </xf>
    <xf numFmtId="0" fontId="1" fillId="3" borderId="0" xfId="0" applyFont="1" applyFill="1"/>
    <xf numFmtId="0" fontId="5" fillId="0" borderId="0" xfId="0" applyFont="1"/>
    <xf numFmtId="0" fontId="3" fillId="0" borderId="1" xfId="0" applyFont="1" applyBorder="1" applyAlignment="1">
      <alignment horizontal="left" vertical="center" wrapText="1" indent="1" readingOrder="1"/>
    </xf>
    <xf numFmtId="0" fontId="9" fillId="0" borderId="0" xfId="0" applyFont="1" applyAlignment="1">
      <alignment horizontal="center" vertical="center" wrapText="1"/>
    </xf>
    <xf numFmtId="0" fontId="10" fillId="6" borderId="0" xfId="0" applyFont="1" applyFill="1" applyAlignment="1">
      <alignment horizontal="center" vertical="center" wrapText="1" readingOrder="1"/>
    </xf>
    <xf numFmtId="0" fontId="11" fillId="5" borderId="11" xfId="0" applyFont="1" applyFill="1" applyBorder="1" applyAlignment="1">
      <alignment horizontal="center" vertical="center" wrapText="1" readingOrder="1"/>
    </xf>
    <xf numFmtId="0" fontId="11" fillId="0" borderId="11" xfId="0" applyFont="1" applyBorder="1" applyAlignment="1">
      <alignment horizontal="justify" vertical="center" wrapText="1" readingOrder="1"/>
    </xf>
    <xf numFmtId="9" fontId="11" fillId="0" borderId="11" xfId="0" applyNumberFormat="1" applyFont="1" applyBorder="1" applyAlignment="1">
      <alignment horizontal="center" vertical="center" wrapText="1" readingOrder="1"/>
    </xf>
    <xf numFmtId="0" fontId="11" fillId="7" borderId="1" xfId="0" applyFont="1" applyFill="1" applyBorder="1" applyAlignment="1">
      <alignment horizontal="center" vertical="center" wrapText="1" readingOrder="1"/>
    </xf>
    <xf numFmtId="0" fontId="11" fillId="0" borderId="1" xfId="0" applyFont="1" applyBorder="1" applyAlignment="1">
      <alignment horizontal="justify" vertical="center" wrapText="1" readingOrder="1"/>
    </xf>
    <xf numFmtId="9" fontId="11" fillId="0" borderId="1" xfId="0" applyNumberFormat="1" applyFont="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1" fillId="8" borderId="1" xfId="0" applyFont="1" applyFill="1" applyBorder="1" applyAlignment="1">
      <alignment horizontal="center" vertical="center" wrapText="1" readingOrder="1"/>
    </xf>
    <xf numFmtId="0" fontId="12" fillId="9" borderId="1" xfId="0" applyFont="1" applyFill="1" applyBorder="1" applyAlignment="1">
      <alignment horizontal="center" vertical="center" wrapText="1" readingOrder="1"/>
    </xf>
    <xf numFmtId="0" fontId="16" fillId="0" borderId="0" xfId="0" applyFont="1"/>
    <xf numFmtId="0" fontId="14" fillId="0" borderId="0" xfId="0" applyFont="1"/>
    <xf numFmtId="0" fontId="4" fillId="0" borderId="0" xfId="0" applyFont="1" applyAlignment="1">
      <alignment horizontal="left" vertical="center"/>
    </xf>
    <xf numFmtId="0" fontId="4" fillId="3" borderId="0" xfId="0" applyFont="1" applyFill="1" applyAlignment="1">
      <alignment horizontal="center" vertical="center"/>
    </xf>
    <xf numFmtId="0" fontId="1" fillId="3" borderId="0" xfId="0" applyFont="1" applyFill="1" applyAlignment="1">
      <alignment vertical="center"/>
    </xf>
    <xf numFmtId="0" fontId="1" fillId="3" borderId="0" xfId="0" applyFont="1" applyFill="1" applyAlignment="1">
      <alignment horizontal="center"/>
    </xf>
    <xf numFmtId="0" fontId="1" fillId="3" borderId="0" xfId="0" applyFont="1" applyFill="1" applyAlignment="1">
      <alignment horizontal="center" vertical="center"/>
    </xf>
    <xf numFmtId="0" fontId="1" fillId="3" borderId="0" xfId="0" applyFont="1" applyFill="1" applyAlignment="1">
      <alignment horizontal="left" vertical="center"/>
    </xf>
    <xf numFmtId="0" fontId="29" fillId="0" borderId="0" xfId="0" applyFont="1" applyAlignment="1">
      <alignment vertical="center"/>
    </xf>
    <xf numFmtId="0" fontId="30" fillId="0" borderId="0" xfId="0" applyFont="1"/>
    <xf numFmtId="0" fontId="28" fillId="0" borderId="0" xfId="0" applyFont="1"/>
    <xf numFmtId="0" fontId="0" fillId="0" borderId="0" xfId="0" pivotButton="1"/>
    <xf numFmtId="0" fontId="13" fillId="0" borderId="0" xfId="0" applyFont="1" applyAlignment="1">
      <alignment horizontal="justify" vertical="center" wrapText="1" readingOrder="1"/>
    </xf>
    <xf numFmtId="0" fontId="31" fillId="0" borderId="0" xfId="0" applyFont="1"/>
    <xf numFmtId="0" fontId="33" fillId="6" borderId="0" xfId="0" applyFont="1" applyFill="1" applyAlignment="1">
      <alignment horizontal="center" vertical="center" wrapText="1" readingOrder="1"/>
    </xf>
    <xf numFmtId="0" fontId="34" fillId="0" borderId="11" xfId="0" applyFont="1" applyBorder="1" applyAlignment="1">
      <alignment horizontal="justify" vertical="center" wrapText="1" readingOrder="1"/>
    </xf>
    <xf numFmtId="0" fontId="34" fillId="0" borderId="1" xfId="0" applyFont="1" applyBorder="1" applyAlignment="1">
      <alignment horizontal="justify" vertical="center" wrapText="1" readingOrder="1"/>
    </xf>
    <xf numFmtId="0" fontId="34" fillId="5" borderId="11" xfId="0" applyFont="1" applyFill="1" applyBorder="1" applyAlignment="1">
      <alignment horizontal="center" vertical="center" wrapText="1" readingOrder="1"/>
    </xf>
    <xf numFmtId="0" fontId="34" fillId="7" borderId="1" xfId="0" applyFont="1" applyFill="1" applyBorder="1" applyAlignment="1">
      <alignment horizontal="center" vertical="center" wrapText="1" readingOrder="1"/>
    </xf>
    <xf numFmtId="0" fontId="34" fillId="4" borderId="1" xfId="0" applyFont="1" applyFill="1" applyBorder="1" applyAlignment="1">
      <alignment horizontal="center" vertical="center" wrapText="1" readingOrder="1"/>
    </xf>
    <xf numFmtId="0" fontId="34" fillId="8" borderId="1" xfId="0" applyFont="1" applyFill="1" applyBorder="1" applyAlignment="1">
      <alignment horizontal="center" vertical="center" wrapText="1" readingOrder="1"/>
    </xf>
    <xf numFmtId="0" fontId="35" fillId="9" borderId="1" xfId="0" applyFont="1" applyFill="1" applyBorder="1" applyAlignment="1">
      <alignment horizontal="center" vertical="center" wrapText="1" readingOrder="1"/>
    </xf>
    <xf numFmtId="0" fontId="34" fillId="0" borderId="11" xfId="0" applyFont="1" applyBorder="1" applyAlignment="1">
      <alignment horizontal="center" vertical="center" wrapText="1" readingOrder="1"/>
    </xf>
    <xf numFmtId="0" fontId="34" fillId="0" borderId="1" xfId="0" applyFont="1" applyBorder="1" applyAlignment="1">
      <alignment horizontal="center" vertical="center" wrapText="1" readingOrder="1"/>
    </xf>
    <xf numFmtId="0" fontId="20" fillId="11" borderId="12" xfId="0" applyFont="1" applyFill="1" applyBorder="1" applyAlignment="1" applyProtection="1">
      <alignment horizontal="center" vertical="center" wrapText="1" readingOrder="1"/>
      <protection hidden="1"/>
    </xf>
    <xf numFmtId="0" fontId="20" fillId="11" borderId="19" xfId="0" applyFont="1" applyFill="1" applyBorder="1" applyAlignment="1" applyProtection="1">
      <alignment horizontal="center" vertical="center" wrapText="1" readingOrder="1"/>
      <protection hidden="1"/>
    </xf>
    <xf numFmtId="0" fontId="20" fillId="11" borderId="13" xfId="0" applyFont="1" applyFill="1" applyBorder="1" applyAlignment="1" applyProtection="1">
      <alignment horizontal="center" vertical="center" wrapText="1" readingOrder="1"/>
      <protection hidden="1"/>
    </xf>
    <xf numFmtId="0" fontId="20" fillId="12" borderId="12" xfId="0" applyFont="1" applyFill="1" applyBorder="1" applyAlignment="1" applyProtection="1">
      <alignment horizontal="center" wrapText="1" readingOrder="1"/>
      <protection hidden="1"/>
    </xf>
    <xf numFmtId="0" fontId="20" fillId="12" borderId="19" xfId="0" applyFont="1" applyFill="1" applyBorder="1" applyAlignment="1" applyProtection="1">
      <alignment horizontal="center" wrapText="1" readingOrder="1"/>
      <protection hidden="1"/>
    </xf>
    <xf numFmtId="0" fontId="20" fillId="12" borderId="13" xfId="0" applyFont="1" applyFill="1" applyBorder="1" applyAlignment="1" applyProtection="1">
      <alignment horizontal="center" wrapText="1" readingOrder="1"/>
      <protection hidden="1"/>
    </xf>
    <xf numFmtId="0" fontId="20" fillId="11" borderId="14" xfId="0" applyFont="1" applyFill="1" applyBorder="1" applyAlignment="1" applyProtection="1">
      <alignment horizontal="center" vertical="center" wrapText="1" readingOrder="1"/>
      <protection hidden="1"/>
    </xf>
    <xf numFmtId="0" fontId="20" fillId="11" borderId="0" xfId="0" applyFont="1" applyFill="1" applyAlignment="1" applyProtection="1">
      <alignment horizontal="center" vertical="center" wrapText="1" readingOrder="1"/>
      <protection hidden="1"/>
    </xf>
    <xf numFmtId="0" fontId="20" fillId="11" borderId="15" xfId="0" applyFont="1" applyFill="1" applyBorder="1" applyAlignment="1" applyProtection="1">
      <alignment horizontal="center" vertical="center" wrapText="1" readingOrder="1"/>
      <protection hidden="1"/>
    </xf>
    <xf numFmtId="0" fontId="20" fillId="12" borderId="14" xfId="0" applyFont="1" applyFill="1" applyBorder="1" applyAlignment="1" applyProtection="1">
      <alignment horizontal="center" wrapText="1" readingOrder="1"/>
      <protection hidden="1"/>
    </xf>
    <xf numFmtId="0" fontId="20" fillId="12" borderId="0" xfId="0" applyFont="1" applyFill="1" applyAlignment="1" applyProtection="1">
      <alignment horizontal="center" wrapText="1" readingOrder="1"/>
      <protection hidden="1"/>
    </xf>
    <xf numFmtId="0" fontId="20" fillId="12" borderId="15" xfId="0" applyFont="1" applyFill="1" applyBorder="1" applyAlignment="1" applyProtection="1">
      <alignment horizontal="center" wrapText="1" readingOrder="1"/>
      <protection hidden="1"/>
    </xf>
    <xf numFmtId="0" fontId="20" fillId="11" borderId="16" xfId="0" applyFont="1" applyFill="1" applyBorder="1" applyAlignment="1" applyProtection="1">
      <alignment horizontal="center" vertical="center" wrapText="1" readingOrder="1"/>
      <protection hidden="1"/>
    </xf>
    <xf numFmtId="0" fontId="20" fillId="11" borderId="18" xfId="0" applyFont="1" applyFill="1" applyBorder="1" applyAlignment="1" applyProtection="1">
      <alignment horizontal="center" vertical="center" wrapText="1" readingOrder="1"/>
      <protection hidden="1"/>
    </xf>
    <xf numFmtId="0" fontId="20" fillId="11" borderId="17" xfId="0" applyFont="1" applyFill="1" applyBorder="1" applyAlignment="1" applyProtection="1">
      <alignment horizontal="center" vertical="center" wrapText="1" readingOrder="1"/>
      <protection hidden="1"/>
    </xf>
    <xf numFmtId="0" fontId="20" fillId="12" borderId="16" xfId="0" applyFont="1" applyFill="1" applyBorder="1" applyAlignment="1" applyProtection="1">
      <alignment horizontal="center" wrapText="1" readingOrder="1"/>
      <protection hidden="1"/>
    </xf>
    <xf numFmtId="0" fontId="20" fillId="12" borderId="18" xfId="0" applyFont="1" applyFill="1" applyBorder="1" applyAlignment="1" applyProtection="1">
      <alignment horizontal="center" wrapText="1" readingOrder="1"/>
      <protection hidden="1"/>
    </xf>
    <xf numFmtId="0" fontId="20" fillId="12" borderId="17" xfId="0" applyFont="1" applyFill="1" applyBorder="1" applyAlignment="1" applyProtection="1">
      <alignment horizontal="center" wrapText="1" readingOrder="1"/>
      <protection hidden="1"/>
    </xf>
    <xf numFmtId="0" fontId="20" fillId="13" borderId="12" xfId="0" applyFont="1" applyFill="1" applyBorder="1" applyAlignment="1" applyProtection="1">
      <alignment horizontal="center" wrapText="1" readingOrder="1"/>
      <protection hidden="1"/>
    </xf>
    <xf numFmtId="0" fontId="20" fillId="13" borderId="19" xfId="0" applyFont="1" applyFill="1" applyBorder="1" applyAlignment="1" applyProtection="1">
      <alignment horizontal="center" wrapText="1" readingOrder="1"/>
      <protection hidden="1"/>
    </xf>
    <xf numFmtId="0" fontId="20" fillId="13" borderId="13" xfId="0" applyFont="1" applyFill="1" applyBorder="1" applyAlignment="1" applyProtection="1">
      <alignment horizontal="center" wrapText="1" readingOrder="1"/>
      <protection hidden="1"/>
    </xf>
    <xf numFmtId="0" fontId="20" fillId="13" borderId="14" xfId="0" applyFont="1" applyFill="1" applyBorder="1" applyAlignment="1" applyProtection="1">
      <alignment horizontal="center" wrapText="1" readingOrder="1"/>
      <protection hidden="1"/>
    </xf>
    <xf numFmtId="0" fontId="20" fillId="13" borderId="0" xfId="0" applyFont="1" applyFill="1" applyAlignment="1" applyProtection="1">
      <alignment horizontal="center" wrapText="1" readingOrder="1"/>
      <protection hidden="1"/>
    </xf>
    <xf numFmtId="0" fontId="20" fillId="13" borderId="15" xfId="0" applyFont="1" applyFill="1" applyBorder="1" applyAlignment="1" applyProtection="1">
      <alignment horizontal="center" wrapText="1" readingOrder="1"/>
      <protection hidden="1"/>
    </xf>
    <xf numFmtId="0" fontId="20" fillId="13" borderId="16" xfId="0" applyFont="1" applyFill="1" applyBorder="1" applyAlignment="1" applyProtection="1">
      <alignment horizontal="center" wrapText="1" readingOrder="1"/>
      <protection hidden="1"/>
    </xf>
    <xf numFmtId="0" fontId="20" fillId="13" borderId="18" xfId="0" applyFont="1" applyFill="1" applyBorder="1" applyAlignment="1" applyProtection="1">
      <alignment horizontal="center" wrapText="1" readingOrder="1"/>
      <protection hidden="1"/>
    </xf>
    <xf numFmtId="0" fontId="20" fillId="13" borderId="17" xfId="0" applyFont="1" applyFill="1" applyBorder="1" applyAlignment="1" applyProtection="1">
      <alignment horizontal="center" wrapText="1" readingOrder="1"/>
      <protection hidden="1"/>
    </xf>
    <xf numFmtId="0" fontId="20" fillId="5" borderId="12" xfId="0" applyFont="1" applyFill="1" applyBorder="1" applyAlignment="1" applyProtection="1">
      <alignment horizontal="center" wrapText="1" readingOrder="1"/>
      <protection hidden="1"/>
    </xf>
    <xf numFmtId="0" fontId="20" fillId="5" borderId="19" xfId="0" applyFont="1" applyFill="1" applyBorder="1" applyAlignment="1" applyProtection="1">
      <alignment horizontal="center" wrapText="1" readingOrder="1"/>
      <protection hidden="1"/>
    </xf>
    <xf numFmtId="0" fontId="20" fillId="5" borderId="13" xfId="0" applyFont="1" applyFill="1" applyBorder="1" applyAlignment="1" applyProtection="1">
      <alignment horizontal="center" wrapText="1" readingOrder="1"/>
      <protection hidden="1"/>
    </xf>
    <xf numFmtId="0" fontId="20" fillId="5" borderId="14" xfId="0" applyFont="1" applyFill="1" applyBorder="1" applyAlignment="1" applyProtection="1">
      <alignment horizontal="center" wrapText="1" readingOrder="1"/>
      <protection hidden="1"/>
    </xf>
    <xf numFmtId="0" fontId="20" fillId="5" borderId="0" xfId="0" applyFont="1" applyFill="1" applyAlignment="1" applyProtection="1">
      <alignment horizontal="center" wrapText="1" readingOrder="1"/>
      <protection hidden="1"/>
    </xf>
    <xf numFmtId="0" fontId="20" fillId="5" borderId="15" xfId="0" applyFont="1" applyFill="1" applyBorder="1" applyAlignment="1" applyProtection="1">
      <alignment horizontal="center" wrapText="1" readingOrder="1"/>
      <protection hidden="1"/>
    </xf>
    <xf numFmtId="0" fontId="20" fillId="5" borderId="16" xfId="0" applyFont="1" applyFill="1" applyBorder="1" applyAlignment="1" applyProtection="1">
      <alignment horizontal="center" wrapText="1" readingOrder="1"/>
      <protection hidden="1"/>
    </xf>
    <xf numFmtId="0" fontId="20" fillId="5" borderId="18" xfId="0" applyFont="1" applyFill="1" applyBorder="1" applyAlignment="1" applyProtection="1">
      <alignment horizontal="center" wrapText="1" readingOrder="1"/>
      <protection hidden="1"/>
    </xf>
    <xf numFmtId="0" fontId="20" fillId="5" borderId="17" xfId="0" applyFont="1" applyFill="1" applyBorder="1" applyAlignment="1" applyProtection="1">
      <alignment horizontal="center" wrapText="1" readingOrder="1"/>
      <protection hidden="1"/>
    </xf>
    <xf numFmtId="0" fontId="24" fillId="13" borderId="19" xfId="0" applyFont="1" applyFill="1" applyBorder="1" applyAlignment="1" applyProtection="1">
      <alignment horizontal="center" wrapText="1" readingOrder="1"/>
      <protection hidden="1"/>
    </xf>
    <xf numFmtId="0" fontId="0" fillId="3" borderId="0" xfId="0" applyFill="1"/>
    <xf numFmtId="0" fontId="50" fillId="3" borderId="51" xfId="2" applyFont="1" applyFill="1" applyBorder="1"/>
    <xf numFmtId="0" fontId="50" fillId="3" borderId="52" xfId="2" applyFont="1" applyFill="1" applyBorder="1"/>
    <xf numFmtId="0" fontId="50" fillId="3" borderId="53" xfId="2" applyFont="1" applyFill="1" applyBorder="1"/>
    <xf numFmtId="0" fontId="17" fillId="3" borderId="0" xfId="0" applyFont="1" applyFill="1" applyAlignment="1">
      <alignment vertical="center"/>
    </xf>
    <xf numFmtId="0" fontId="5" fillId="3" borderId="0" xfId="0" applyFont="1" applyFill="1"/>
    <xf numFmtId="0" fontId="37" fillId="3" borderId="0" xfId="0" applyFont="1" applyFill="1"/>
    <xf numFmtId="0" fontId="38" fillId="3" borderId="34" xfId="0" applyFont="1" applyFill="1" applyBorder="1" applyAlignment="1">
      <alignment horizontal="center" vertical="center" wrapText="1" readingOrder="1"/>
    </xf>
    <xf numFmtId="0" fontId="39" fillId="3" borderId="34" xfId="0" applyFont="1" applyFill="1" applyBorder="1" applyAlignment="1">
      <alignment horizontal="justify" vertical="center" wrapText="1" readingOrder="1"/>
    </xf>
    <xf numFmtId="9" fontId="38" fillId="3" borderId="43" xfId="0" applyNumberFormat="1"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9" fillId="3" borderId="33" xfId="0" applyFont="1" applyFill="1" applyBorder="1" applyAlignment="1">
      <alignment horizontal="justify" vertical="center" wrapText="1" readingOrder="1"/>
    </xf>
    <xf numFmtId="9" fontId="38" fillId="3" borderId="38" xfId="0" applyNumberFormat="1" applyFont="1" applyFill="1" applyBorder="1" applyAlignment="1">
      <alignment horizontal="center" vertical="center" wrapText="1" readingOrder="1"/>
    </xf>
    <xf numFmtId="0" fontId="39" fillId="3" borderId="38"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39" fillId="3" borderId="40" xfId="0" applyFont="1" applyFill="1" applyBorder="1" applyAlignment="1">
      <alignment horizontal="justify" vertical="center" wrapText="1" readingOrder="1"/>
    </xf>
    <xf numFmtId="0" fontId="39" fillId="3" borderId="41" xfId="0" applyFont="1" applyFill="1" applyBorder="1" applyAlignment="1">
      <alignment horizontal="center" vertical="center" wrapText="1" readingOrder="1"/>
    </xf>
    <xf numFmtId="0" fontId="47" fillId="3" borderId="0" xfId="0" applyFont="1" applyFill="1"/>
    <xf numFmtId="0" fontId="38" fillId="15" borderId="45" xfId="0" applyFont="1" applyFill="1" applyBorder="1" applyAlignment="1">
      <alignment horizontal="center" vertical="center" wrapText="1" readingOrder="1"/>
    </xf>
    <xf numFmtId="0" fontId="38" fillId="15" borderId="46" xfId="0" applyFont="1" applyFill="1" applyBorder="1" applyAlignment="1">
      <alignment horizontal="center" vertical="center" wrapText="1" readingOrder="1"/>
    </xf>
    <xf numFmtId="0" fontId="14" fillId="3" borderId="0" xfId="0" applyFont="1" applyFill="1"/>
    <xf numFmtId="0" fontId="32" fillId="3" borderId="0" xfId="0" applyFont="1" applyFill="1" applyAlignment="1">
      <alignment horizontal="center" vertical="center" wrapText="1"/>
    </xf>
    <xf numFmtId="0" fontId="13" fillId="3" borderId="0" xfId="0" applyFont="1" applyFill="1" applyAlignment="1">
      <alignment horizontal="justify" vertical="center" wrapText="1" readingOrder="1"/>
    </xf>
    <xf numFmtId="0" fontId="4" fillId="3" borderId="0" xfId="0" applyFont="1" applyFill="1" applyAlignment="1">
      <alignment vertical="center"/>
    </xf>
    <xf numFmtId="0" fontId="16" fillId="3" borderId="0" xfId="0" applyFont="1" applyFill="1"/>
    <xf numFmtId="0" fontId="4" fillId="3" borderId="0" xfId="0" applyFont="1" applyFill="1" applyAlignment="1">
      <alignment horizontal="left" vertical="center"/>
    </xf>
    <xf numFmtId="0" fontId="50" fillId="3" borderId="14" xfId="2" applyFont="1" applyFill="1" applyBorder="1"/>
    <xf numFmtId="0" fontId="55" fillId="3" borderId="0" xfId="0" applyFont="1" applyFill="1" applyAlignment="1">
      <alignment horizontal="left" vertical="center" wrapText="1"/>
    </xf>
    <xf numFmtId="0" fontId="56" fillId="3" borderId="0" xfId="0" applyFont="1" applyFill="1" applyAlignment="1">
      <alignment horizontal="left" vertical="top" wrapText="1"/>
    </xf>
    <xf numFmtId="0" fontId="50" fillId="3" borderId="0" xfId="2" applyFont="1" applyFill="1"/>
    <xf numFmtId="0" fontId="50" fillId="3" borderId="15" xfId="2" applyFont="1" applyFill="1" applyBorder="1"/>
    <xf numFmtId="0" fontId="50" fillId="3" borderId="16" xfId="2" applyFont="1" applyFill="1" applyBorder="1"/>
    <xf numFmtId="0" fontId="50" fillId="3" borderId="18" xfId="2" applyFont="1" applyFill="1" applyBorder="1"/>
    <xf numFmtId="0" fontId="50" fillId="3" borderId="17" xfId="2" applyFont="1" applyFill="1" applyBorder="1"/>
    <xf numFmtId="0" fontId="54" fillId="3" borderId="0" xfId="2" applyFont="1" applyFill="1" applyAlignment="1">
      <alignment horizontal="left" vertical="center" wrapText="1"/>
    </xf>
    <xf numFmtId="0" fontId="50" fillId="3" borderId="0" xfId="2" applyFont="1" applyFill="1" applyAlignment="1">
      <alignment horizontal="left" vertical="center" wrapText="1"/>
    </xf>
    <xf numFmtId="0" fontId="50" fillId="3" borderId="0" xfId="2" quotePrefix="1" applyFont="1" applyFill="1" applyAlignment="1">
      <alignment horizontal="left" vertical="center" wrapText="1"/>
    </xf>
    <xf numFmtId="0" fontId="52" fillId="3" borderId="14" xfId="2" quotePrefix="1" applyFont="1" applyFill="1" applyBorder="1" applyAlignment="1">
      <alignment horizontal="left" vertical="top" wrapText="1"/>
    </xf>
    <xf numFmtId="0" fontId="53" fillId="3" borderId="0" xfId="2" quotePrefix="1" applyFont="1" applyFill="1" applyAlignment="1">
      <alignment horizontal="left" vertical="top" wrapText="1"/>
    </xf>
    <xf numFmtId="0" fontId="53" fillId="3" borderId="15" xfId="2" quotePrefix="1" applyFont="1" applyFill="1" applyBorder="1" applyAlignment="1">
      <alignment horizontal="left" vertical="top" wrapText="1"/>
    </xf>
    <xf numFmtId="0" fontId="1" fillId="0" borderId="2" xfId="0" applyFont="1" applyBorder="1" applyAlignment="1">
      <alignment horizontal="center" vertical="top"/>
    </xf>
    <xf numFmtId="0" fontId="6" fillId="0" borderId="2" xfId="0" applyFont="1" applyBorder="1" applyAlignment="1" applyProtection="1">
      <alignment horizontal="justify" vertical="top" wrapText="1"/>
      <protection locked="0"/>
    </xf>
    <xf numFmtId="0" fontId="1" fillId="0" borderId="2" xfId="0" applyFont="1" applyBorder="1" applyAlignment="1" applyProtection="1">
      <alignment horizontal="center" vertical="top"/>
      <protection hidden="1"/>
    </xf>
    <xf numFmtId="0" fontId="1" fillId="0" borderId="2" xfId="0" applyFont="1" applyBorder="1" applyAlignment="1" applyProtection="1">
      <alignment horizontal="center" vertical="top" textRotation="90"/>
      <protection locked="0"/>
    </xf>
    <xf numFmtId="9" fontId="1" fillId="0" borderId="2" xfId="0" applyNumberFormat="1" applyFont="1" applyBorder="1" applyAlignment="1" applyProtection="1">
      <alignment horizontal="center" vertical="top"/>
      <protection hidden="1"/>
    </xf>
    <xf numFmtId="164" fontId="1" fillId="0" borderId="2" xfId="1" applyNumberFormat="1" applyFont="1" applyBorder="1" applyAlignment="1">
      <alignment horizontal="center" vertical="top"/>
    </xf>
    <xf numFmtId="0" fontId="4" fillId="0" borderId="2" xfId="0" applyFont="1" applyBorder="1" applyAlignment="1" applyProtection="1">
      <alignment horizontal="center" vertical="top" textRotation="90" wrapText="1"/>
      <protection hidden="1"/>
    </xf>
    <xf numFmtId="9" fontId="1" fillId="0" borderId="4" xfId="0" applyNumberFormat="1" applyFont="1" applyBorder="1" applyAlignment="1" applyProtection="1">
      <alignment horizontal="center" vertical="top"/>
      <protection hidden="1"/>
    </xf>
    <xf numFmtId="0" fontId="4" fillId="0" borderId="2" xfId="0" applyFont="1" applyBorder="1" applyAlignment="1" applyProtection="1">
      <alignment horizontal="center" vertical="top" textRotation="90"/>
      <protection hidden="1"/>
    </xf>
    <xf numFmtId="0" fontId="1" fillId="0" borderId="4" xfId="0" applyFont="1" applyBorder="1" applyAlignment="1" applyProtection="1">
      <alignment horizontal="center" vertical="top" textRotation="90"/>
      <protection locked="0"/>
    </xf>
    <xf numFmtId="0" fontId="1" fillId="0" borderId="2" xfId="0" applyFont="1" applyBorder="1" applyAlignment="1" applyProtection="1">
      <alignment horizontal="center" vertical="top" wrapText="1"/>
      <protection locked="0"/>
    </xf>
    <xf numFmtId="0" fontId="1" fillId="0" borderId="2" xfId="0" applyFont="1" applyBorder="1" applyAlignment="1" applyProtection="1">
      <alignment horizontal="center" vertical="top"/>
      <protection locked="0"/>
    </xf>
    <xf numFmtId="14" fontId="1" fillId="0" borderId="2" xfId="0" applyNumberFormat="1" applyFont="1" applyBorder="1" applyAlignment="1" applyProtection="1">
      <alignment horizontal="center" vertical="top"/>
      <protection locked="0"/>
    </xf>
    <xf numFmtId="0" fontId="1" fillId="0" borderId="2" xfId="0" applyFont="1" applyBorder="1" applyAlignment="1" applyProtection="1">
      <alignment horizontal="justify" vertical="top"/>
      <protection locked="0"/>
    </xf>
    <xf numFmtId="164" fontId="1" fillId="9" borderId="2" xfId="1" applyNumberFormat="1" applyFont="1" applyFill="1" applyBorder="1" applyAlignment="1">
      <alignment horizontal="center" vertical="top"/>
    </xf>
    <xf numFmtId="0" fontId="0" fillId="0" borderId="0" xfId="0" applyAlignment="1">
      <alignment vertical="top"/>
    </xf>
    <xf numFmtId="0" fontId="0" fillId="0" borderId="0" xfId="0" applyAlignment="1">
      <alignment horizontal="center" vertical="top" wrapText="1"/>
    </xf>
    <xf numFmtId="0" fontId="0" fillId="0" borderId="0" xfId="0" applyProtection="1">
      <protection locked="0"/>
    </xf>
    <xf numFmtId="0" fontId="0" fillId="0" borderId="76" xfId="0" applyBorder="1" applyProtection="1">
      <protection locked="0"/>
    </xf>
    <xf numFmtId="0" fontId="0" fillId="0" borderId="52" xfId="0" applyBorder="1" applyProtection="1">
      <protection locked="0"/>
    </xf>
    <xf numFmtId="0" fontId="0" fillId="0" borderId="77" xfId="0" applyBorder="1" applyProtection="1">
      <protection locked="0"/>
    </xf>
    <xf numFmtId="0" fontId="0" fillId="0" borderId="78" xfId="0" applyBorder="1" applyProtection="1">
      <protection locked="0"/>
    </xf>
    <xf numFmtId="0" fontId="62" fillId="17" borderId="79" xfId="0" applyFont="1" applyFill="1" applyBorder="1" applyAlignment="1">
      <alignment horizontal="center" vertical="center" wrapText="1"/>
    </xf>
    <xf numFmtId="0" fontId="61" fillId="0" borderId="0" xfId="0" applyFont="1" applyAlignment="1" applyProtection="1">
      <alignment horizontal="center"/>
      <protection locked="0"/>
    </xf>
    <xf numFmtId="0" fontId="0" fillId="0" borderId="33" xfId="0" applyBorder="1" applyAlignment="1" applyProtection="1">
      <alignment vertical="center"/>
      <protection locked="0"/>
    </xf>
    <xf numFmtId="0" fontId="0" fillId="0" borderId="69" xfId="0" applyBorder="1" applyAlignment="1" applyProtection="1">
      <alignment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61" fillId="0" borderId="80" xfId="0" applyFont="1" applyBorder="1" applyAlignment="1" applyProtection="1">
      <alignment horizontal="center" vertical="center"/>
      <protection locked="0"/>
    </xf>
    <xf numFmtId="0" fontId="61" fillId="0" borderId="81" xfId="0" applyFont="1" applyBorder="1" applyAlignment="1" applyProtection="1">
      <alignment horizontal="center" vertical="center"/>
      <protection locked="0"/>
    </xf>
    <xf numFmtId="0" fontId="61" fillId="0" borderId="33" xfId="0" applyFont="1" applyBorder="1" applyAlignment="1" applyProtection="1">
      <alignment horizontal="center" vertical="center"/>
      <protection locked="0"/>
    </xf>
    <xf numFmtId="0" fontId="61" fillId="0" borderId="0" xfId="0" applyFont="1" applyAlignment="1" applyProtection="1">
      <alignment wrapText="1"/>
      <protection locked="0"/>
    </xf>
    <xf numFmtId="0" fontId="61" fillId="0" borderId="0" xfId="0" applyFont="1" applyProtection="1">
      <protection locked="0"/>
    </xf>
    <xf numFmtId="0" fontId="61"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61" fillId="0" borderId="33" xfId="0" applyFont="1" applyBorder="1" applyAlignment="1" applyProtection="1">
      <alignment horizontal="center"/>
      <protection locked="0"/>
    </xf>
    <xf numFmtId="0" fontId="61" fillId="2" borderId="33" xfId="0" applyFont="1" applyFill="1" applyBorder="1" applyAlignment="1" applyProtection="1">
      <alignment horizontal="center"/>
      <protection locked="0"/>
    </xf>
    <xf numFmtId="0" fontId="61" fillId="0" borderId="0" xfId="0" applyFont="1" applyAlignment="1" applyProtection="1">
      <alignment vertical="center"/>
      <protection locked="0"/>
    </xf>
    <xf numFmtId="0" fontId="61" fillId="0" borderId="33" xfId="0" applyFont="1" applyBorder="1" applyAlignment="1" applyProtection="1">
      <alignment horizontal="center" vertical="center" wrapText="1"/>
      <protection locked="0"/>
    </xf>
    <xf numFmtId="0" fontId="0" fillId="13" borderId="33" xfId="0" applyFill="1" applyBorder="1" applyAlignment="1" applyProtection="1">
      <alignment horizontal="center" vertical="center"/>
      <protection locked="0"/>
    </xf>
    <xf numFmtId="0" fontId="61" fillId="0" borderId="0" xfId="0" applyFont="1" applyAlignment="1" applyProtection="1">
      <alignment horizontal="center" vertical="center"/>
      <protection locked="0"/>
    </xf>
    <xf numFmtId="0" fontId="28" fillId="0" borderId="77" xfId="0" applyFont="1" applyBorder="1" applyAlignment="1" applyProtection="1">
      <alignment horizontal="center" vertical="center"/>
      <protection locked="0"/>
    </xf>
    <xf numFmtId="0" fontId="0" fillId="0" borderId="69" xfId="0" applyBorder="1" applyProtection="1">
      <protection locked="0"/>
    </xf>
    <xf numFmtId="0" fontId="0" fillId="0" borderId="86" xfId="0" applyBorder="1" applyProtection="1">
      <protection locked="0"/>
    </xf>
    <xf numFmtId="0" fontId="0" fillId="0" borderId="0" xfId="0" applyAlignment="1">
      <alignment vertical="top" wrapText="1"/>
    </xf>
    <xf numFmtId="0" fontId="0" fillId="0" borderId="0" xfId="0" applyAlignment="1" applyProtection="1">
      <alignment wrapText="1"/>
      <protection locked="0"/>
    </xf>
    <xf numFmtId="0" fontId="62" fillId="17" borderId="35" xfId="0" applyFont="1" applyFill="1" applyBorder="1" applyAlignment="1">
      <alignment horizontal="center" vertical="center" wrapText="1"/>
    </xf>
    <xf numFmtId="0" fontId="48" fillId="0" borderId="0" xfId="0" applyFont="1" applyAlignment="1">
      <alignment vertical="center"/>
    </xf>
    <xf numFmtId="0" fontId="62" fillId="0" borderId="0" xfId="0" applyFont="1" applyAlignment="1">
      <alignment vertical="center"/>
    </xf>
    <xf numFmtId="0" fontId="48" fillId="0" borderId="0" xfId="0" applyFont="1" applyAlignment="1">
      <alignment vertical="center" wrapText="1"/>
    </xf>
    <xf numFmtId="0" fontId="61" fillId="0" borderId="33" xfId="0" applyFont="1" applyBorder="1" applyAlignment="1" applyProtection="1">
      <alignment vertical="center"/>
      <protection locked="0"/>
    </xf>
    <xf numFmtId="0" fontId="61" fillId="0" borderId="33" xfId="0" applyFont="1" applyBorder="1" applyAlignment="1" applyProtection="1">
      <alignment vertical="center" wrapText="1"/>
      <protection locked="0"/>
    </xf>
    <xf numFmtId="0" fontId="0" fillId="0" borderId="33" xfId="0" applyBorder="1" applyAlignment="1" applyProtection="1">
      <alignment vertical="center" wrapText="1"/>
      <protection locked="0"/>
    </xf>
    <xf numFmtId="0" fontId="0" fillId="0" borderId="34" xfId="0" applyBorder="1" applyAlignment="1" applyProtection="1">
      <alignment vertical="center" wrapText="1"/>
      <protection locked="0"/>
    </xf>
    <xf numFmtId="0" fontId="61" fillId="0" borderId="0" xfId="0" applyFont="1" applyAlignment="1" applyProtection="1">
      <alignment horizontal="center" vertical="center" wrapText="1"/>
      <protection locked="0"/>
    </xf>
    <xf numFmtId="0" fontId="0" fillId="20" borderId="33" xfId="0" applyFill="1" applyBorder="1" applyAlignment="1" applyProtection="1">
      <alignment horizontal="center" vertical="center"/>
      <protection locked="0"/>
    </xf>
    <xf numFmtId="0" fontId="61" fillId="0" borderId="33" xfId="0" applyFont="1" applyBorder="1" applyProtection="1">
      <protection locked="0"/>
    </xf>
    <xf numFmtId="0" fontId="0" fillId="20" borderId="33" xfId="0" applyFill="1" applyBorder="1"/>
    <xf numFmtId="0" fontId="0" fillId="20" borderId="33" xfId="0" applyFill="1" applyBorder="1" applyProtection="1">
      <protection locked="0"/>
    </xf>
    <xf numFmtId="0" fontId="0" fillId="0" borderId="33" xfId="0" applyBorder="1" applyProtection="1">
      <protection locked="0"/>
    </xf>
    <xf numFmtId="0" fontId="0" fillId="0" borderId="0" xfId="0" applyAlignment="1" applyProtection="1">
      <alignment horizontal="center" vertical="top" wrapText="1"/>
      <protection locked="0"/>
    </xf>
    <xf numFmtId="0" fontId="0" fillId="0" borderId="0" xfId="0" applyAlignment="1" applyProtection="1">
      <alignment vertical="top" wrapText="1"/>
      <protection locked="0"/>
    </xf>
    <xf numFmtId="0" fontId="17" fillId="0" borderId="0" xfId="0" applyFont="1"/>
    <xf numFmtId="0" fontId="65" fillId="0" borderId="0" xfId="0" applyFont="1"/>
    <xf numFmtId="0" fontId="17" fillId="3" borderId="0" xfId="0" applyFont="1" applyFill="1"/>
    <xf numFmtId="0" fontId="68" fillId="3" borderId="0" xfId="0" applyFont="1" applyFill="1"/>
    <xf numFmtId="0" fontId="68" fillId="0" borderId="0" xfId="0" applyFont="1"/>
    <xf numFmtId="0" fontId="66" fillId="11" borderId="12" xfId="0" applyFont="1" applyFill="1" applyBorder="1" applyAlignment="1" applyProtection="1">
      <alignment horizontal="center" vertical="center" wrapText="1" readingOrder="1"/>
      <protection hidden="1"/>
    </xf>
    <xf numFmtId="0" fontId="66" fillId="11" borderId="19" xfId="0" applyFont="1" applyFill="1" applyBorder="1" applyAlignment="1" applyProtection="1">
      <alignment horizontal="center" vertical="center" wrapText="1" readingOrder="1"/>
      <protection hidden="1"/>
    </xf>
    <xf numFmtId="0" fontId="66" fillId="11" borderId="13" xfId="0" applyFont="1" applyFill="1" applyBorder="1" applyAlignment="1" applyProtection="1">
      <alignment horizontal="center" vertical="center" wrapText="1" readingOrder="1"/>
      <protection hidden="1"/>
    </xf>
    <xf numFmtId="0" fontId="66" fillId="12" borderId="12" xfId="0" applyFont="1" applyFill="1" applyBorder="1" applyAlignment="1" applyProtection="1">
      <alignment horizontal="center" wrapText="1" readingOrder="1"/>
      <protection hidden="1"/>
    </xf>
    <xf numFmtId="0" fontId="66" fillId="12" borderId="19" xfId="0" applyFont="1" applyFill="1" applyBorder="1" applyAlignment="1" applyProtection="1">
      <alignment horizontal="center" wrapText="1" readingOrder="1"/>
      <protection hidden="1"/>
    </xf>
    <xf numFmtId="0" fontId="66" fillId="12" borderId="13" xfId="0" applyFont="1" applyFill="1" applyBorder="1" applyAlignment="1" applyProtection="1">
      <alignment horizontal="center" wrapText="1" readingOrder="1"/>
      <protection hidden="1"/>
    </xf>
    <xf numFmtId="0" fontId="66" fillId="11" borderId="14" xfId="0" applyFont="1" applyFill="1" applyBorder="1" applyAlignment="1" applyProtection="1">
      <alignment horizontal="center" vertical="center" wrapText="1" readingOrder="1"/>
      <protection hidden="1"/>
    </xf>
    <xf numFmtId="0" fontId="66" fillId="11" borderId="0" xfId="0" applyFont="1" applyFill="1" applyAlignment="1" applyProtection="1">
      <alignment horizontal="center" vertical="center" wrapText="1" readingOrder="1"/>
      <protection hidden="1"/>
    </xf>
    <xf numFmtId="0" fontId="66" fillId="11" borderId="15" xfId="0" applyFont="1" applyFill="1" applyBorder="1" applyAlignment="1" applyProtection="1">
      <alignment horizontal="center" vertical="center" wrapText="1" readingOrder="1"/>
      <protection hidden="1"/>
    </xf>
    <xf numFmtId="0" fontId="66" fillId="12" borderId="14" xfId="0" applyFont="1" applyFill="1" applyBorder="1" applyAlignment="1" applyProtection="1">
      <alignment horizontal="center" wrapText="1" readingOrder="1"/>
      <protection hidden="1"/>
    </xf>
    <xf numFmtId="0" fontId="66" fillId="12" borderId="0" xfId="0" applyFont="1" applyFill="1" applyAlignment="1" applyProtection="1">
      <alignment horizontal="center" wrapText="1" readingOrder="1"/>
      <protection hidden="1"/>
    </xf>
    <xf numFmtId="0" fontId="66" fillId="12" borderId="15" xfId="0" applyFont="1" applyFill="1" applyBorder="1" applyAlignment="1" applyProtection="1">
      <alignment horizontal="center" wrapText="1" readingOrder="1"/>
      <protection hidden="1"/>
    </xf>
    <xf numFmtId="0" fontId="66" fillId="11" borderId="16" xfId="0" applyFont="1" applyFill="1" applyBorder="1" applyAlignment="1" applyProtection="1">
      <alignment horizontal="center" vertical="center" wrapText="1" readingOrder="1"/>
      <protection hidden="1"/>
    </xf>
    <xf numFmtId="0" fontId="66" fillId="11" borderId="18" xfId="0" applyFont="1" applyFill="1" applyBorder="1" applyAlignment="1" applyProtection="1">
      <alignment horizontal="center" vertical="center" wrapText="1" readingOrder="1"/>
      <protection hidden="1"/>
    </xf>
    <xf numFmtId="0" fontId="66" fillId="11" borderId="17" xfId="0" applyFont="1" applyFill="1" applyBorder="1" applyAlignment="1" applyProtection="1">
      <alignment horizontal="center" vertical="center" wrapText="1" readingOrder="1"/>
      <protection hidden="1"/>
    </xf>
    <xf numFmtId="0" fontId="66" fillId="12" borderId="16" xfId="0" applyFont="1" applyFill="1" applyBorder="1" applyAlignment="1" applyProtection="1">
      <alignment horizontal="center" wrapText="1" readingOrder="1"/>
      <protection hidden="1"/>
    </xf>
    <xf numFmtId="0" fontId="66" fillId="12" borderId="18" xfId="0" applyFont="1" applyFill="1" applyBorder="1" applyAlignment="1" applyProtection="1">
      <alignment horizontal="center" wrapText="1" readingOrder="1"/>
      <protection hidden="1"/>
    </xf>
    <xf numFmtId="0" fontId="66" fillId="12" borderId="17"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19"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14"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15" xfId="0" applyFont="1" applyFill="1" applyBorder="1" applyAlignment="1" applyProtection="1">
      <alignment horizontal="center" wrapText="1" readingOrder="1"/>
      <protection hidden="1"/>
    </xf>
    <xf numFmtId="0" fontId="66" fillId="13" borderId="16" xfId="0" applyFont="1" applyFill="1" applyBorder="1" applyAlignment="1" applyProtection="1">
      <alignment horizontal="center" wrapText="1" readingOrder="1"/>
      <protection hidden="1"/>
    </xf>
    <xf numFmtId="0" fontId="66" fillId="13" borderId="18" xfId="0" applyFont="1" applyFill="1" applyBorder="1" applyAlignment="1" applyProtection="1">
      <alignment horizontal="center" wrapText="1" readingOrder="1"/>
      <protection hidden="1"/>
    </xf>
    <xf numFmtId="0" fontId="66" fillId="13" borderId="17" xfId="0" applyFont="1" applyFill="1" applyBorder="1" applyAlignment="1" applyProtection="1">
      <alignment horizontal="center" wrapText="1" readingOrder="1"/>
      <protection hidden="1"/>
    </xf>
    <xf numFmtId="0" fontId="66" fillId="5" borderId="12" xfId="0" applyFont="1" applyFill="1" applyBorder="1" applyAlignment="1" applyProtection="1">
      <alignment horizontal="center" wrapText="1" readingOrder="1"/>
      <protection hidden="1"/>
    </xf>
    <xf numFmtId="0" fontId="66" fillId="5" borderId="19" xfId="0" applyFont="1" applyFill="1" applyBorder="1" applyAlignment="1" applyProtection="1">
      <alignment horizontal="center" wrapText="1" readingOrder="1"/>
      <protection hidden="1"/>
    </xf>
    <xf numFmtId="0" fontId="66" fillId="5" borderId="13" xfId="0" applyFont="1" applyFill="1" applyBorder="1" applyAlignment="1" applyProtection="1">
      <alignment horizontal="center" wrapText="1" readingOrder="1"/>
      <protection hidden="1"/>
    </xf>
    <xf numFmtId="0" fontId="66" fillId="5" borderId="14" xfId="0" applyFont="1" applyFill="1" applyBorder="1" applyAlignment="1" applyProtection="1">
      <alignment horizontal="center" wrapText="1" readingOrder="1"/>
      <protection hidden="1"/>
    </xf>
    <xf numFmtId="0" fontId="66" fillId="5" borderId="0" xfId="0" applyFont="1" applyFill="1" applyAlignment="1" applyProtection="1">
      <alignment horizontal="center" wrapText="1" readingOrder="1"/>
      <protection hidden="1"/>
    </xf>
    <xf numFmtId="0" fontId="66" fillId="5" borderId="15" xfId="0" applyFont="1" applyFill="1" applyBorder="1" applyAlignment="1" applyProtection="1">
      <alignment horizontal="center" wrapText="1" readingOrder="1"/>
      <protection hidden="1"/>
    </xf>
    <xf numFmtId="0" fontId="66" fillId="5" borderId="16" xfId="0" applyFont="1" applyFill="1" applyBorder="1" applyAlignment="1" applyProtection="1">
      <alignment horizontal="center" wrapText="1" readingOrder="1"/>
      <protection hidden="1"/>
    </xf>
    <xf numFmtId="0" fontId="66" fillId="5" borderId="18" xfId="0" applyFont="1" applyFill="1" applyBorder="1" applyAlignment="1" applyProtection="1">
      <alignment horizontal="center" wrapText="1" readingOrder="1"/>
      <protection hidden="1"/>
    </xf>
    <xf numFmtId="0" fontId="66" fillId="5" borderId="17" xfId="0" applyFont="1" applyFill="1" applyBorder="1" applyAlignment="1" applyProtection="1">
      <alignment horizontal="center" wrapText="1" readingOrder="1"/>
      <protection hidden="1"/>
    </xf>
    <xf numFmtId="0" fontId="0" fillId="0" borderId="0" xfId="0" applyAlignment="1">
      <alignment wrapText="1"/>
    </xf>
    <xf numFmtId="0" fontId="61" fillId="0" borderId="0" xfId="0" applyFont="1"/>
    <xf numFmtId="0" fontId="0" fillId="0" borderId="33" xfId="0" applyBorder="1"/>
    <xf numFmtId="0" fontId="0" fillId="0" borderId="89" xfId="0" applyBorder="1"/>
    <xf numFmtId="0" fontId="0" fillId="0" borderId="90" xfId="0" applyBorder="1"/>
    <xf numFmtId="0" fontId="0" fillId="0" borderId="91" xfId="0" applyBorder="1"/>
    <xf numFmtId="0" fontId="0" fillId="0" borderId="37" xfId="0" applyBorder="1" applyAlignment="1">
      <alignment wrapText="1"/>
    </xf>
    <xf numFmtId="0" fontId="0" fillId="0" borderId="38" xfId="0" applyBorder="1" applyAlignment="1">
      <alignment wrapText="1"/>
    </xf>
    <xf numFmtId="0" fontId="0" fillId="0" borderId="39" xfId="0" applyBorder="1" applyAlignment="1">
      <alignment wrapText="1"/>
    </xf>
    <xf numFmtId="0" fontId="0" fillId="0" borderId="41" xfId="0" applyBorder="1" applyAlignment="1">
      <alignment wrapText="1"/>
    </xf>
    <xf numFmtId="0" fontId="61" fillId="0" borderId="89" xfId="0" applyFont="1" applyBorder="1" applyAlignment="1">
      <alignment horizontal="center"/>
    </xf>
    <xf numFmtId="0" fontId="61" fillId="0" borderId="90" xfId="0" applyFont="1" applyBorder="1" applyAlignment="1">
      <alignment horizontal="center"/>
    </xf>
    <xf numFmtId="0" fontId="61" fillId="0" borderId="91" xfId="0" applyFont="1" applyBorder="1" applyAlignment="1">
      <alignment horizontal="center"/>
    </xf>
    <xf numFmtId="0" fontId="0" fillId="0" borderId="92" xfId="0" applyBorder="1" applyAlignment="1">
      <alignment wrapText="1"/>
    </xf>
    <xf numFmtId="0" fontId="61" fillId="0" borderId="35" xfId="0" applyFont="1" applyBorder="1" applyAlignment="1">
      <alignment horizontal="center" wrapText="1"/>
    </xf>
    <xf numFmtId="0" fontId="61" fillId="24" borderId="79" xfId="0" quotePrefix="1" applyFont="1" applyFill="1" applyBorder="1"/>
    <xf numFmtId="0" fontId="61" fillId="0" borderId="94" xfId="0" applyFont="1" applyBorder="1" applyAlignment="1">
      <alignment horizontal="center"/>
    </xf>
    <xf numFmtId="0" fontId="61" fillId="0" borderId="95" xfId="0" applyFont="1" applyBorder="1" applyAlignment="1">
      <alignment horizontal="center"/>
    </xf>
    <xf numFmtId="0" fontId="61" fillId="0" borderId="96" xfId="0" applyFont="1" applyBorder="1" applyAlignment="1">
      <alignment horizontal="center"/>
    </xf>
    <xf numFmtId="0" fontId="0" fillId="0" borderId="37" xfId="0" applyBorder="1"/>
    <xf numFmtId="0" fontId="0" fillId="0" borderId="39" xfId="0" applyBorder="1"/>
    <xf numFmtId="0" fontId="0" fillId="0" borderId="40" xfId="0" applyBorder="1"/>
    <xf numFmtId="0" fontId="0" fillId="23" borderId="33" xfId="0" applyFill="1" applyBorder="1"/>
    <xf numFmtId="0" fontId="0" fillId="23" borderId="38" xfId="0" applyFill="1" applyBorder="1"/>
    <xf numFmtId="0" fontId="0" fillId="23" borderId="40" xfId="0" applyFill="1" applyBorder="1"/>
    <xf numFmtId="0" fontId="0" fillId="23" borderId="41" xfId="0" applyFill="1" applyBorder="1"/>
    <xf numFmtId="0" fontId="0" fillId="0" borderId="91" xfId="0" applyBorder="1" applyAlignment="1">
      <alignment wrapText="1"/>
    </xf>
    <xf numFmtId="0" fontId="0" fillId="13" borderId="89" xfId="0" applyFill="1" applyBorder="1"/>
    <xf numFmtId="0" fontId="0" fillId="25" borderId="37" xfId="0" applyFill="1" applyBorder="1"/>
    <xf numFmtId="0" fontId="0" fillId="26" borderId="37" xfId="0" applyFill="1" applyBorder="1"/>
    <xf numFmtId="0" fontId="0" fillId="2" borderId="37" xfId="0" applyFill="1" applyBorder="1"/>
    <xf numFmtId="0" fontId="0" fillId="9" borderId="39" xfId="0" applyFill="1" applyBorder="1"/>
    <xf numFmtId="0" fontId="69" fillId="0" borderId="0" xfId="0" applyFont="1"/>
    <xf numFmtId="0" fontId="70" fillId="0" borderId="87" xfId="0" applyFont="1" applyBorder="1" applyAlignment="1">
      <alignment horizontal="center" wrapText="1"/>
    </xf>
    <xf numFmtId="0" fontId="70" fillId="0" borderId="35" xfId="0" applyFont="1" applyBorder="1" applyAlignment="1">
      <alignment horizontal="center" vertical="center" wrapText="1"/>
    </xf>
    <xf numFmtId="0" fontId="57" fillId="0" borderId="79" xfId="0" applyFont="1" applyBorder="1" applyAlignment="1">
      <alignment horizontal="center" wrapText="1"/>
    </xf>
    <xf numFmtId="0" fontId="57" fillId="0" borderId="0" xfId="0" applyFont="1" applyAlignment="1">
      <alignment horizontal="center" wrapText="1"/>
    </xf>
    <xf numFmtId="0" fontId="44" fillId="0" borderId="0" xfId="0" applyFont="1" applyAlignment="1">
      <alignment horizontal="center"/>
    </xf>
    <xf numFmtId="0" fontId="17" fillId="23" borderId="33" xfId="0" applyFont="1" applyFill="1" applyBorder="1" applyAlignment="1">
      <alignment wrapText="1"/>
    </xf>
    <xf numFmtId="0" fontId="17" fillId="23" borderId="38" xfId="0" applyFont="1" applyFill="1" applyBorder="1" applyAlignment="1">
      <alignment wrapText="1"/>
    </xf>
    <xf numFmtId="0" fontId="17" fillId="23" borderId="81" xfId="0" applyFont="1" applyFill="1" applyBorder="1" applyAlignment="1">
      <alignment wrapText="1"/>
    </xf>
    <xf numFmtId="0" fontId="17" fillId="23" borderId="93" xfId="0" applyFont="1" applyFill="1" applyBorder="1" applyAlignment="1">
      <alignment wrapText="1"/>
    </xf>
    <xf numFmtId="0" fontId="73" fillId="0" borderId="34" xfId="0" applyFont="1" applyBorder="1" applyAlignment="1" applyProtection="1">
      <alignment horizontal="center" vertical="center"/>
      <protection locked="0"/>
    </xf>
    <xf numFmtId="0" fontId="73" fillId="0" borderId="42" xfId="0" applyFont="1" applyBorder="1" applyAlignment="1">
      <alignment horizontal="center" vertical="center"/>
    </xf>
    <xf numFmtId="0" fontId="57" fillId="22" borderId="79" xfId="0" applyFont="1" applyFill="1" applyBorder="1" applyAlignment="1">
      <alignment horizontal="center" vertical="top" wrapText="1"/>
    </xf>
    <xf numFmtId="0" fontId="61" fillId="22" borderId="79" xfId="0" applyFont="1" applyFill="1" applyBorder="1" applyAlignment="1">
      <alignment horizontal="center" vertical="top" wrapText="1"/>
    </xf>
    <xf numFmtId="0" fontId="74" fillId="3" borderId="0" xfId="0" applyFont="1" applyFill="1"/>
    <xf numFmtId="0" fontId="78" fillId="27" borderId="33" xfId="0" applyFont="1" applyFill="1" applyBorder="1" applyAlignment="1">
      <alignment horizontal="center" vertical="center"/>
    </xf>
    <xf numFmtId="0" fontId="74" fillId="0" borderId="0" xfId="0" applyFont="1"/>
    <xf numFmtId="0" fontId="78" fillId="27" borderId="33" xfId="0" applyFont="1" applyFill="1" applyBorder="1" applyAlignment="1">
      <alignment horizontal="center" vertical="center" wrapText="1"/>
    </xf>
    <xf numFmtId="0" fontId="78" fillId="3" borderId="0" xfId="0" applyFont="1" applyFill="1" applyAlignment="1">
      <alignment horizontal="center" vertical="center"/>
    </xf>
    <xf numFmtId="0" fontId="78" fillId="2" borderId="0" xfId="0" applyFont="1" applyFill="1" applyAlignment="1">
      <alignment horizontal="center" vertical="center"/>
    </xf>
    <xf numFmtId="0" fontId="74" fillId="0" borderId="33" xfId="0" applyFont="1" applyBorder="1" applyAlignment="1">
      <alignment horizontal="center" vertical="top"/>
    </xf>
    <xf numFmtId="0" fontId="80" fillId="0" borderId="33" xfId="0" applyFont="1" applyBorder="1" applyAlignment="1" applyProtection="1">
      <alignment horizontal="justify" vertical="top" wrapText="1"/>
      <protection locked="0"/>
    </xf>
    <xf numFmtId="0" fontId="74" fillId="0" borderId="33" xfId="0" applyFont="1" applyBorder="1" applyAlignment="1" applyProtection="1">
      <alignment horizontal="center" vertical="top"/>
      <protection hidden="1"/>
    </xf>
    <xf numFmtId="0" fontId="74" fillId="0" borderId="33" xfId="0" applyFont="1" applyBorder="1" applyAlignment="1" applyProtection="1">
      <alignment horizontal="center" vertical="top" textRotation="90"/>
      <protection locked="0"/>
    </xf>
    <xf numFmtId="9" fontId="74" fillId="0" borderId="33" xfId="0" applyNumberFormat="1" applyFont="1" applyBorder="1" applyAlignment="1" applyProtection="1">
      <alignment horizontal="center" vertical="top"/>
      <protection hidden="1"/>
    </xf>
    <xf numFmtId="164" fontId="74" fillId="0" borderId="33" xfId="1" applyNumberFormat="1" applyFont="1" applyFill="1" applyBorder="1" applyAlignment="1">
      <alignment horizontal="center" vertical="top"/>
    </xf>
    <xf numFmtId="0" fontId="78" fillId="0" borderId="33" xfId="0" applyFont="1" applyBorder="1" applyAlignment="1" applyProtection="1">
      <alignment horizontal="center" vertical="top" textRotation="90" wrapText="1"/>
      <protection hidden="1"/>
    </xf>
    <xf numFmtId="0" fontId="78" fillId="0" borderId="33" xfId="0" applyFont="1" applyBorder="1" applyAlignment="1" applyProtection="1">
      <alignment horizontal="center" vertical="top" textRotation="90"/>
      <protection hidden="1"/>
    </xf>
    <xf numFmtId="0" fontId="74"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14" fontId="74" fillId="0" borderId="33" xfId="0" applyNumberFormat="1" applyFont="1" applyBorder="1" applyAlignment="1" applyProtection="1">
      <alignment horizontal="center" vertical="top"/>
      <protection locked="0"/>
    </xf>
    <xf numFmtId="0" fontId="74" fillId="27" borderId="33" xfId="0" applyFont="1" applyFill="1" applyBorder="1" applyAlignment="1" applyProtection="1">
      <alignment horizontal="center" vertical="top"/>
      <protection locked="0"/>
    </xf>
    <xf numFmtId="0" fontId="74" fillId="3" borderId="33" xfId="0" applyFont="1" applyFill="1" applyBorder="1" applyAlignment="1">
      <alignment vertical="center"/>
    </xf>
    <xf numFmtId="0" fontId="74" fillId="0" borderId="33" xfId="0" applyFont="1" applyBorder="1" applyAlignment="1">
      <alignment vertical="center"/>
    </xf>
    <xf numFmtId="0" fontId="74" fillId="3" borderId="33" xfId="0" applyFont="1" applyFill="1" applyBorder="1"/>
    <xf numFmtId="0" fontId="74" fillId="0" borderId="33" xfId="0" applyFont="1" applyBorder="1"/>
    <xf numFmtId="0" fontId="78" fillId="27" borderId="81" xfId="0" applyFont="1" applyFill="1" applyBorder="1" applyAlignment="1">
      <alignment horizontal="center" vertical="center" textRotation="90" wrapText="1"/>
    </xf>
    <xf numFmtId="0" fontId="4" fillId="0" borderId="0" xfId="0" applyFont="1"/>
    <xf numFmtId="0" fontId="78" fillId="0" borderId="33" xfId="0" applyFont="1" applyBorder="1" applyAlignment="1">
      <alignment horizontal="center" vertical="center"/>
    </xf>
    <xf numFmtId="0" fontId="28" fillId="0" borderId="85" xfId="0" applyFont="1" applyBorder="1" applyAlignment="1" applyProtection="1">
      <alignment horizontal="left" vertical="center" wrapText="1"/>
      <protection locked="0"/>
    </xf>
    <xf numFmtId="0" fontId="0" fillId="0" borderId="85" xfId="0" applyBorder="1" applyAlignment="1" applyProtection="1">
      <alignment vertical="center" wrapText="1"/>
      <protection locked="0"/>
    </xf>
    <xf numFmtId="0" fontId="61" fillId="0" borderId="85" xfId="0" applyFont="1" applyBorder="1" applyAlignment="1" applyProtection="1">
      <alignment horizontal="center" vertical="center" wrapText="1"/>
      <protection locked="0"/>
    </xf>
    <xf numFmtId="0" fontId="75" fillId="0" borderId="0" xfId="0" applyFont="1" applyAlignment="1">
      <alignment horizontal="center" vertical="center"/>
    </xf>
    <xf numFmtId="0" fontId="75" fillId="0" borderId="0" xfId="0" applyFont="1" applyAlignment="1">
      <alignment vertical="center"/>
    </xf>
    <xf numFmtId="0" fontId="74" fillId="3" borderId="34" xfId="0" applyFont="1" applyFill="1" applyBorder="1"/>
    <xf numFmtId="0" fontId="74" fillId="3" borderId="84" xfId="0" applyFont="1" applyFill="1" applyBorder="1"/>
    <xf numFmtId="9" fontId="0" fillId="0" borderId="33" xfId="0" applyNumberFormat="1" applyBorder="1" applyProtection="1">
      <protection locked="0"/>
    </xf>
    <xf numFmtId="9" fontId="61" fillId="28" borderId="33" xfId="0" applyNumberFormat="1" applyFont="1" applyFill="1" applyBorder="1" applyAlignment="1" applyProtection="1">
      <alignment horizontal="center"/>
      <protection locked="0"/>
    </xf>
    <xf numFmtId="9" fontId="61" fillId="13" borderId="33" xfId="0" applyNumberFormat="1" applyFont="1" applyFill="1" applyBorder="1" applyAlignment="1" applyProtection="1">
      <alignment horizontal="center"/>
      <protection locked="0"/>
    </xf>
    <xf numFmtId="9" fontId="61" fillId="26" borderId="33" xfId="0" applyNumberFormat="1" applyFont="1" applyFill="1" applyBorder="1" applyAlignment="1" applyProtection="1">
      <alignment horizontal="center"/>
      <protection locked="0"/>
    </xf>
    <xf numFmtId="9" fontId="61" fillId="5" borderId="33" xfId="0" applyNumberFormat="1" applyFont="1" applyFill="1" applyBorder="1" applyAlignment="1" applyProtection="1">
      <alignment horizontal="center"/>
      <protection locked="0"/>
    </xf>
    <xf numFmtId="9" fontId="61" fillId="9" borderId="33" xfId="0" applyNumberFormat="1" applyFont="1" applyFill="1" applyBorder="1" applyAlignment="1" applyProtection="1">
      <alignment horizontal="center"/>
      <protection locked="0"/>
    </xf>
    <xf numFmtId="0" fontId="61" fillId="28" borderId="33" xfId="0" applyFont="1" applyFill="1" applyBorder="1" applyAlignment="1" applyProtection="1">
      <alignment horizontal="left"/>
      <protection locked="0"/>
    </xf>
    <xf numFmtId="0" fontId="61" fillId="13" borderId="33" xfId="0" applyFont="1" applyFill="1" applyBorder="1" applyAlignment="1" applyProtection="1">
      <alignment horizontal="left"/>
      <protection locked="0"/>
    </xf>
    <xf numFmtId="0" fontId="61" fillId="26" borderId="33" xfId="0" applyFont="1" applyFill="1" applyBorder="1" applyAlignment="1" applyProtection="1">
      <alignment horizontal="left"/>
      <protection locked="0"/>
    </xf>
    <xf numFmtId="0" fontId="61" fillId="5" borderId="33" xfId="0" applyFont="1" applyFill="1" applyBorder="1" applyAlignment="1" applyProtection="1">
      <alignment horizontal="left"/>
      <protection locked="0"/>
    </xf>
    <xf numFmtId="0" fontId="61" fillId="9" borderId="33" xfId="0" applyFont="1" applyFill="1" applyBorder="1" applyAlignment="1" applyProtection="1">
      <alignment horizontal="left"/>
      <protection locked="0"/>
    </xf>
    <xf numFmtId="0" fontId="0" fillId="0" borderId="33" xfId="0" applyBorder="1" applyAlignment="1">
      <alignment vertical="center"/>
    </xf>
    <xf numFmtId="0" fontId="0" fillId="0" borderId="84" xfId="0" applyBorder="1" applyAlignment="1" applyProtection="1">
      <alignment vertical="center"/>
      <protection locked="0"/>
    </xf>
    <xf numFmtId="0" fontId="0" fillId="0" borderId="14" xfId="0" applyBorder="1"/>
    <xf numFmtId="0" fontId="0" fillId="0" borderId="15" xfId="0" applyBorder="1"/>
    <xf numFmtId="0" fontId="0" fillId="0" borderId="16" xfId="0" applyBorder="1"/>
    <xf numFmtId="0" fontId="0" fillId="0" borderId="18" xfId="0" applyBorder="1"/>
    <xf numFmtId="0" fontId="0" fillId="0" borderId="17" xfId="0" applyBorder="1"/>
    <xf numFmtId="0" fontId="0" fillId="0" borderId="0" xfId="0" applyAlignment="1" applyProtection="1">
      <alignment vertical="center"/>
      <protection locked="0"/>
    </xf>
    <xf numFmtId="0" fontId="74" fillId="0" borderId="84" xfId="0" applyFont="1" applyBorder="1" applyAlignment="1">
      <alignment vertical="center"/>
    </xf>
    <xf numFmtId="0" fontId="74" fillId="0" borderId="84" xfId="0" applyFont="1" applyBorder="1"/>
    <xf numFmtId="0" fontId="78" fillId="0" borderId="0" xfId="0" applyFont="1" applyAlignment="1">
      <alignment horizontal="center" vertical="center"/>
    </xf>
    <xf numFmtId="0" fontId="74" fillId="0" borderId="0" xfId="0" applyFont="1" applyAlignment="1">
      <alignment vertical="center"/>
    </xf>
    <xf numFmtId="0" fontId="64" fillId="0" borderId="0" xfId="0" applyFont="1"/>
    <xf numFmtId="0" fontId="17" fillId="0" borderId="79" xfId="0" applyFont="1" applyBorder="1" applyAlignment="1">
      <alignment horizontal="center" vertical="top" wrapText="1"/>
    </xf>
    <xf numFmtId="0" fontId="1" fillId="0" borderId="0" xfId="0" applyFont="1" applyAlignment="1">
      <alignment horizontal="center" vertical="center" wrapText="1"/>
    </xf>
    <xf numFmtId="0" fontId="82" fillId="0" borderId="0" xfId="0" applyFont="1" applyAlignment="1">
      <alignment horizontal="center" vertical="top" wrapText="1"/>
    </xf>
    <xf numFmtId="0" fontId="0" fillId="0" borderId="0" xfId="0" applyAlignment="1">
      <alignment horizontal="center" vertical="center" wrapText="1"/>
    </xf>
    <xf numFmtId="0" fontId="83" fillId="0" borderId="0" xfId="0" applyFont="1" applyAlignment="1">
      <alignment vertical="top" wrapText="1"/>
    </xf>
    <xf numFmtId="9" fontId="1" fillId="0" borderId="0" xfId="0" applyNumberFormat="1" applyFont="1"/>
    <xf numFmtId="0" fontId="61" fillId="0" borderId="80" xfId="0" applyFont="1" applyBorder="1" applyAlignment="1">
      <alignment vertical="center"/>
    </xf>
    <xf numFmtId="0" fontId="61" fillId="0" borderId="33" xfId="0" applyFont="1" applyBorder="1" applyAlignment="1">
      <alignment horizontal="center" wrapText="1"/>
    </xf>
    <xf numFmtId="9" fontId="74" fillId="0" borderId="0" xfId="1" applyFont="1" applyFill="1" applyBorder="1"/>
    <xf numFmtId="0" fontId="74" fillId="0" borderId="0" xfId="1" applyNumberFormat="1" applyFont="1" applyFill="1" applyBorder="1"/>
    <xf numFmtId="0" fontId="1" fillId="13" borderId="0" xfId="0" applyFont="1" applyFill="1"/>
    <xf numFmtId="0" fontId="74" fillId="13" borderId="0" xfId="0" applyFont="1" applyFill="1"/>
    <xf numFmtId="0" fontId="80" fillId="13" borderId="33" xfId="0" applyFont="1" applyFill="1" applyBorder="1" applyAlignment="1" applyProtection="1">
      <alignment horizontal="justify" vertical="top" wrapText="1"/>
      <protection locked="0"/>
    </xf>
    <xf numFmtId="9" fontId="74" fillId="0" borderId="33" xfId="0" applyNumberFormat="1" applyFont="1" applyBorder="1" applyAlignment="1" applyProtection="1">
      <alignment horizontal="center" vertical="top" wrapText="1"/>
      <protection hidden="1"/>
    </xf>
    <xf numFmtId="0" fontId="78" fillId="0" borderId="33" xfId="0" applyFont="1" applyBorder="1" applyAlignment="1" applyProtection="1">
      <alignment horizontal="center" vertical="top"/>
      <protection hidden="1"/>
    </xf>
    <xf numFmtId="0" fontId="78" fillId="0" borderId="33" xfId="0" applyFont="1" applyBorder="1" applyAlignment="1" applyProtection="1">
      <alignment horizontal="center" vertical="top" wrapText="1"/>
      <protection hidden="1"/>
    </xf>
    <xf numFmtId="0" fontId="79" fillId="0" borderId="33" xfId="0" applyFont="1" applyBorder="1" applyAlignment="1" applyProtection="1">
      <alignment horizontal="center" vertical="top" wrapText="1"/>
      <protection locked="0"/>
    </xf>
    <xf numFmtId="0" fontId="74" fillId="0" borderId="81" xfId="0" applyFont="1" applyBorder="1" applyAlignment="1">
      <alignment horizontal="center" vertical="center"/>
    </xf>
    <xf numFmtId="0" fontId="74" fillId="0" borderId="81" xfId="0" applyFont="1" applyBorder="1" applyAlignment="1">
      <alignment horizontal="center" vertical="top"/>
    </xf>
    <xf numFmtId="0" fontId="80" fillId="0" borderId="81" xfId="0" applyFont="1" applyBorder="1" applyAlignment="1" applyProtection="1">
      <alignment horizontal="left" vertical="top" wrapText="1"/>
      <protection locked="0"/>
    </xf>
    <xf numFmtId="0" fontId="74" fillId="0" borderId="34" xfId="0" applyFont="1" applyBorder="1" applyAlignment="1">
      <alignment horizontal="center" vertical="center"/>
    </xf>
    <xf numFmtId="0" fontId="61" fillId="13" borderId="33" xfId="0" applyFont="1" applyFill="1" applyBorder="1" applyAlignment="1" applyProtection="1">
      <alignment horizontal="center" vertical="center" wrapText="1"/>
      <protection locked="0"/>
    </xf>
    <xf numFmtId="0" fontId="61" fillId="13" borderId="33" xfId="0" applyFont="1" applyFill="1" applyBorder="1" applyAlignment="1" applyProtection="1">
      <alignment horizontal="center" vertical="center"/>
      <protection locked="0"/>
    </xf>
    <xf numFmtId="0" fontId="61" fillId="0" borderId="33" xfId="0" applyFont="1" applyBorder="1" applyAlignment="1">
      <alignment horizontal="center" vertical="center"/>
    </xf>
    <xf numFmtId="0" fontId="78" fillId="27" borderId="81" xfId="0" applyFont="1" applyFill="1" applyBorder="1" applyAlignment="1">
      <alignment horizontal="center" vertical="center" wrapText="1"/>
    </xf>
    <xf numFmtId="0" fontId="61" fillId="27" borderId="33" xfId="0" applyFont="1" applyFill="1" applyBorder="1" applyAlignment="1" applyProtection="1">
      <alignment horizontal="center" vertical="center"/>
      <protection locked="0"/>
    </xf>
    <xf numFmtId="0" fontId="0" fillId="0" borderId="34" xfId="0" applyBorder="1" applyAlignment="1" applyProtection="1">
      <alignment horizontal="center" vertical="center" wrapText="1"/>
      <protection locked="0"/>
    </xf>
    <xf numFmtId="0" fontId="61" fillId="0" borderId="34" xfId="0" applyFont="1" applyBorder="1" applyAlignment="1" applyProtection="1">
      <alignment horizontal="center" vertical="center"/>
      <protection locked="0"/>
    </xf>
    <xf numFmtId="0" fontId="61" fillId="0" borderId="81"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center" wrapText="1"/>
      <protection locked="0"/>
    </xf>
    <xf numFmtId="0" fontId="0" fillId="0" borderId="33" xfId="0" applyBorder="1" applyAlignment="1" applyProtection="1">
      <alignment horizontal="center" vertical="center"/>
      <protection locked="0"/>
    </xf>
    <xf numFmtId="0" fontId="0" fillId="0" borderId="85" xfId="0" applyBorder="1" applyAlignment="1" applyProtection="1">
      <alignment horizontal="left" vertical="center" wrapText="1"/>
      <protection locked="0"/>
    </xf>
    <xf numFmtId="0" fontId="0" fillId="0" borderId="77"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57" fillId="22" borderId="87" xfId="0" applyFont="1" applyFill="1" applyBorder="1" applyAlignment="1">
      <alignment horizontal="center" vertical="top" wrapText="1"/>
    </xf>
    <xf numFmtId="0" fontId="83" fillId="27" borderId="19" xfId="0" applyFont="1" applyFill="1" applyBorder="1" applyAlignment="1">
      <alignment vertical="top" wrapText="1"/>
    </xf>
    <xf numFmtId="0" fontId="83" fillId="27" borderId="83" xfId="0" applyFont="1" applyFill="1" applyBorder="1" applyAlignment="1">
      <alignment vertical="top" wrapText="1"/>
    </xf>
    <xf numFmtId="0" fontId="58" fillId="22" borderId="87" xfId="0" applyFont="1" applyFill="1" applyBorder="1" applyAlignment="1">
      <alignment horizontal="center" vertical="top" wrapText="1"/>
    </xf>
    <xf numFmtId="0" fontId="78" fillId="27" borderId="33" xfId="0" applyFont="1" applyFill="1" applyBorder="1" applyAlignment="1">
      <alignment vertical="center" wrapText="1"/>
    </xf>
    <xf numFmtId="0" fontId="61" fillId="0" borderId="0" xfId="0" applyFont="1" applyAlignment="1" applyProtection="1">
      <alignment horizontal="left" vertical="center" wrapText="1"/>
      <protection locked="0"/>
    </xf>
    <xf numFmtId="9" fontId="0" fillId="0" borderId="0" xfId="0" applyNumberFormat="1" applyProtection="1">
      <protection locked="0"/>
    </xf>
    <xf numFmtId="9" fontId="61" fillId="28" borderId="0" xfId="0" applyNumberFormat="1" applyFont="1" applyFill="1" applyAlignment="1" applyProtection="1">
      <alignment horizontal="center"/>
      <protection locked="0"/>
    </xf>
    <xf numFmtId="9" fontId="61" fillId="13" borderId="0" xfId="0" applyNumberFormat="1" applyFont="1" applyFill="1" applyAlignment="1" applyProtection="1">
      <alignment horizontal="center"/>
      <protection locked="0"/>
    </xf>
    <xf numFmtId="9" fontId="61" fillId="26" borderId="0" xfId="0" applyNumberFormat="1" applyFont="1" applyFill="1" applyAlignment="1" applyProtection="1">
      <alignment horizontal="center"/>
      <protection locked="0"/>
    </xf>
    <xf numFmtId="9" fontId="61" fillId="5" borderId="0" xfId="0" applyNumberFormat="1" applyFont="1" applyFill="1" applyAlignment="1" applyProtection="1">
      <alignment horizontal="center"/>
      <protection locked="0"/>
    </xf>
    <xf numFmtId="9" fontId="61" fillId="9" borderId="0" xfId="0" applyNumberFormat="1" applyFont="1" applyFill="1" applyAlignment="1" applyProtection="1">
      <alignment horizontal="center"/>
      <protection locked="0"/>
    </xf>
    <xf numFmtId="164" fontId="0" fillId="0" borderId="33" xfId="0" applyNumberFormat="1" applyBorder="1" applyAlignment="1" applyProtection="1">
      <alignment vertical="center"/>
      <protection locked="0"/>
    </xf>
    <xf numFmtId="0" fontId="0" fillId="0" borderId="0" xfId="0" applyAlignment="1">
      <alignment vertical="center"/>
    </xf>
    <xf numFmtId="0" fontId="0" fillId="0" borderId="52" xfId="0" applyBorder="1" applyAlignment="1">
      <alignment vertical="center"/>
    </xf>
    <xf numFmtId="0" fontId="0" fillId="0" borderId="82" xfId="0" applyBorder="1" applyAlignment="1">
      <alignment vertical="center"/>
    </xf>
    <xf numFmtId="0" fontId="0" fillId="0" borderId="69" xfId="0" applyBorder="1" applyAlignment="1">
      <alignment vertical="center"/>
    </xf>
    <xf numFmtId="0" fontId="0" fillId="0" borderId="80" xfId="0" applyBorder="1" applyAlignment="1">
      <alignment vertical="center"/>
    </xf>
    <xf numFmtId="0" fontId="80" fillId="0" borderId="0" xfId="0" applyFont="1" applyAlignment="1" applyProtection="1">
      <alignment vertical="top" wrapText="1"/>
      <protection locked="0"/>
    </xf>
    <xf numFmtId="0" fontId="80" fillId="0" borderId="33" xfId="0" applyFont="1" applyBorder="1" applyAlignment="1" applyProtection="1">
      <alignment vertical="top" wrapText="1"/>
      <protection locked="0"/>
    </xf>
    <xf numFmtId="0" fontId="71" fillId="0" borderId="33" xfId="0" applyFont="1" applyBorder="1"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locked="0"/>
    </xf>
    <xf numFmtId="0" fontId="0" fillId="0" borderId="33" xfId="0" applyBorder="1" applyAlignment="1" applyProtection="1">
      <alignment horizontal="center" vertical="top" wrapText="1"/>
      <protection locked="0"/>
    </xf>
    <xf numFmtId="0" fontId="61" fillId="0" borderId="75" xfId="0" applyFont="1" applyBorder="1" applyAlignment="1">
      <alignment horizontal="center" vertical="center"/>
    </xf>
    <xf numFmtId="0" fontId="61" fillId="0" borderId="76" xfId="0" applyFont="1" applyBorder="1" applyAlignment="1" applyProtection="1">
      <alignment horizontal="center" vertical="center" wrapText="1"/>
      <protection locked="0"/>
    </xf>
    <xf numFmtId="0" fontId="61" fillId="0" borderId="86" xfId="0" applyFont="1" applyBorder="1" applyAlignment="1" applyProtection="1">
      <alignment horizontal="center" vertical="center" wrapText="1"/>
      <protection locked="0"/>
    </xf>
    <xf numFmtId="0" fontId="0" fillId="0" borderId="77" xfId="0" applyBorder="1" applyAlignment="1" applyProtection="1">
      <alignment horizontal="left" vertical="center" wrapText="1"/>
      <protection locked="0"/>
    </xf>
    <xf numFmtId="0" fontId="28" fillId="0" borderId="77" xfId="0" applyFont="1" applyBorder="1" applyAlignment="1" applyProtection="1">
      <alignment horizontal="left" vertical="center" wrapText="1"/>
      <protection locked="0"/>
    </xf>
    <xf numFmtId="0" fontId="0" fillId="0" borderId="77" xfId="0" applyBorder="1" applyAlignment="1" applyProtection="1">
      <alignment vertical="center" wrapText="1"/>
      <protection locked="0"/>
    </xf>
    <xf numFmtId="0" fontId="0" fillId="0" borderId="86" xfId="0" applyBorder="1" applyAlignment="1" applyProtection="1">
      <alignment vertical="center" wrapText="1"/>
      <protection locked="0"/>
    </xf>
    <xf numFmtId="0" fontId="74" fillId="0" borderId="33" xfId="0" applyFont="1" applyBorder="1" applyAlignment="1">
      <alignment horizontal="center" vertical="center" wrapText="1"/>
    </xf>
    <xf numFmtId="14" fontId="16" fillId="3" borderId="99" xfId="4" applyNumberFormat="1" applyFont="1" applyFill="1" applyBorder="1" applyAlignment="1">
      <alignment horizontal="center" vertical="center" wrapText="1"/>
    </xf>
    <xf numFmtId="0" fontId="74" fillId="0" borderId="34" xfId="0" applyFont="1" applyBorder="1" applyAlignment="1" applyProtection="1">
      <alignment horizontal="center" vertical="top" wrapText="1"/>
      <protection locked="0"/>
    </xf>
    <xf numFmtId="0" fontId="74" fillId="0" borderId="34" xfId="0" applyFont="1" applyBorder="1" applyAlignment="1" applyProtection="1">
      <alignment horizontal="center" vertical="top" textRotation="90"/>
      <protection locked="0"/>
    </xf>
    <xf numFmtId="14" fontId="74" fillId="0" borderId="84" xfId="0" applyNumberFormat="1" applyFont="1" applyBorder="1" applyAlignment="1" applyProtection="1">
      <alignment horizontal="center" vertical="top"/>
      <protection locked="0"/>
    </xf>
    <xf numFmtId="0" fontId="0" fillId="0" borderId="84" xfId="0" applyBorder="1" applyAlignment="1" applyProtection="1">
      <alignment vertical="center" wrapText="1"/>
      <protection locked="0"/>
    </xf>
    <xf numFmtId="0" fontId="0" fillId="0" borderId="34" xfId="0" applyBorder="1" applyAlignment="1" applyProtection="1">
      <alignment vertical="center"/>
      <protection locked="0"/>
    </xf>
    <xf numFmtId="14" fontId="16" fillId="3" borderId="33" xfId="4" applyNumberFormat="1" applyFont="1" applyFill="1" applyBorder="1" applyAlignment="1">
      <alignment horizontal="center" vertical="center" wrapText="1"/>
    </xf>
    <xf numFmtId="0" fontId="16" fillId="0" borderId="33" xfId="0" applyFont="1" applyBorder="1" applyAlignment="1">
      <alignment vertical="center" wrapText="1"/>
    </xf>
    <xf numFmtId="0" fontId="74" fillId="0" borderId="75" xfId="0" applyFont="1" applyBorder="1" applyAlignment="1" applyProtection="1">
      <alignment horizontal="center" vertical="top" textRotation="90"/>
      <protection locked="0"/>
    </xf>
    <xf numFmtId="0" fontId="16" fillId="0" borderId="33" xfId="0" applyFont="1" applyBorder="1" applyAlignment="1">
      <alignment horizontal="left" vertical="top" wrapText="1"/>
    </xf>
    <xf numFmtId="0" fontId="16" fillId="0" borderId="33" xfId="4" applyFont="1" applyBorder="1" applyAlignment="1">
      <alignment horizontal="center" vertical="top" wrapText="1"/>
    </xf>
    <xf numFmtId="0" fontId="16" fillId="0" borderId="33" xfId="0" applyFont="1" applyBorder="1" applyAlignment="1">
      <alignment vertical="top" wrapText="1"/>
    </xf>
    <xf numFmtId="0" fontId="16" fillId="0" borderId="99" xfId="0" applyFont="1" applyBorder="1" applyAlignment="1">
      <alignment vertical="center" wrapText="1"/>
    </xf>
    <xf numFmtId="0" fontId="16" fillId="0" borderId="33" xfId="4" applyFont="1" applyBorder="1" applyAlignment="1">
      <alignment horizontal="center" vertical="center" wrapText="1"/>
    </xf>
    <xf numFmtId="0" fontId="86" fillId="0" borderId="33" xfId="0" applyFont="1" applyBorder="1" applyAlignment="1">
      <alignment horizontal="left" vertical="top" wrapText="1"/>
    </xf>
    <xf numFmtId="0" fontId="86" fillId="0" borderId="33" xfId="0" applyFont="1" applyBorder="1" applyAlignment="1">
      <alignment vertical="center" wrapText="1"/>
    </xf>
    <xf numFmtId="165" fontId="86" fillId="29" borderId="33" xfId="0" applyNumberFormat="1" applyFont="1" applyFill="1" applyBorder="1" applyAlignment="1">
      <alignment horizontal="center" vertical="center" wrapText="1"/>
    </xf>
    <xf numFmtId="0" fontId="74" fillId="0" borderId="85" xfId="0" applyFont="1" applyBorder="1" applyAlignment="1">
      <alignment horizontal="center" vertical="top"/>
    </xf>
    <xf numFmtId="0" fontId="79" fillId="0" borderId="33" xfId="0" applyFont="1" applyBorder="1" applyAlignment="1" applyProtection="1">
      <alignment horizontal="center" vertical="top"/>
      <protection locked="0"/>
    </xf>
    <xf numFmtId="9" fontId="74" fillId="0" borderId="33" xfId="0" applyNumberFormat="1" applyFont="1" applyBorder="1" applyAlignment="1" applyProtection="1">
      <alignment horizontal="center" vertical="top" wrapText="1"/>
      <protection locked="0"/>
    </xf>
    <xf numFmtId="0" fontId="87" fillId="0" borderId="81" xfId="0" applyFont="1" applyBorder="1" applyAlignment="1" applyProtection="1">
      <alignment horizontal="justify" vertical="top" wrapText="1"/>
      <protection locked="0"/>
    </xf>
    <xf numFmtId="0" fontId="79" fillId="0" borderId="81" xfId="0" applyFont="1" applyBorder="1" applyAlignment="1" applyProtection="1">
      <alignment horizontal="center" vertical="center" wrapText="1"/>
      <protection locked="0"/>
    </xf>
    <xf numFmtId="0" fontId="74" fillId="0" borderId="81" xfId="0" applyFont="1" applyBorder="1" applyAlignment="1" applyProtection="1">
      <alignment horizontal="center" vertical="center" wrapText="1"/>
      <protection locked="0"/>
    </xf>
    <xf numFmtId="14" fontId="74" fillId="0" borderId="81" xfId="0" applyNumberFormat="1" applyFont="1" applyBorder="1" applyAlignment="1" applyProtection="1">
      <alignment horizontal="center" vertical="center"/>
      <protection locked="0"/>
    </xf>
    <xf numFmtId="0" fontId="79" fillId="0" borderId="33" xfId="0" applyFont="1" applyBorder="1" applyAlignment="1" applyProtection="1">
      <alignment horizontal="center" vertical="center" wrapText="1"/>
      <protection locked="0"/>
    </xf>
    <xf numFmtId="0" fontId="74" fillId="0" borderId="33" xfId="0" applyFont="1" applyBorder="1" applyAlignment="1" applyProtection="1">
      <alignment horizontal="center" vertical="center" wrapText="1"/>
      <protection locked="0"/>
    </xf>
    <xf numFmtId="0" fontId="78" fillId="0" borderId="33" xfId="0" applyFont="1" applyBorder="1" applyAlignment="1" applyProtection="1">
      <alignment horizontal="center" vertical="center" wrapText="1"/>
      <protection hidden="1"/>
    </xf>
    <xf numFmtId="9" fontId="74" fillId="0" borderId="33" xfId="0" applyNumberFormat="1" applyFont="1" applyBorder="1" applyAlignment="1" applyProtection="1">
      <alignment horizontal="center" vertical="center" wrapText="1"/>
      <protection hidden="1"/>
    </xf>
    <xf numFmtId="9" fontId="74" fillId="0" borderId="81" xfId="0" applyNumberFormat="1" applyFont="1" applyBorder="1" applyAlignment="1" applyProtection="1">
      <alignment horizontal="center" vertical="center" wrapText="1"/>
      <protection locked="0"/>
    </xf>
    <xf numFmtId="9" fontId="84" fillId="9" borderId="33" xfId="0" applyNumberFormat="1" applyFont="1" applyFill="1" applyBorder="1" applyAlignment="1" applyProtection="1">
      <alignment horizontal="center" vertical="center" wrapText="1"/>
      <protection hidden="1"/>
    </xf>
    <xf numFmtId="0" fontId="78" fillId="9" borderId="33" xfId="0" applyFont="1" applyFill="1" applyBorder="1" applyAlignment="1" applyProtection="1">
      <alignment horizontal="center" vertical="center" wrapText="1"/>
      <protection hidden="1"/>
    </xf>
    <xf numFmtId="0" fontId="78" fillId="0" borderId="33" xfId="0" applyFont="1" applyBorder="1" applyAlignment="1" applyProtection="1">
      <alignment horizontal="center" vertical="center"/>
      <protection hidden="1"/>
    </xf>
    <xf numFmtId="0" fontId="87" fillId="0" borderId="33" xfId="0" applyFont="1" applyBorder="1" applyAlignment="1" applyProtection="1">
      <alignment horizontal="justify" vertical="top" wrapText="1"/>
      <protection locked="0"/>
    </xf>
    <xf numFmtId="0" fontId="74" fillId="0" borderId="81" xfId="0" applyFont="1" applyBorder="1" applyAlignment="1" applyProtection="1">
      <alignment horizontal="center" vertical="center"/>
      <protection hidden="1"/>
    </xf>
    <xf numFmtId="0" fontId="79" fillId="0" borderId="33" xfId="0" applyFont="1" applyBorder="1" applyAlignment="1" applyProtection="1">
      <alignment horizontal="center" vertical="center" textRotation="90"/>
      <protection locked="0"/>
    </xf>
    <xf numFmtId="0" fontId="74" fillId="0" borderId="33" xfId="0" applyFont="1" applyBorder="1" applyAlignment="1" applyProtection="1">
      <alignment horizontal="center" vertical="center" textRotation="90"/>
      <protection locked="0"/>
    </xf>
    <xf numFmtId="9" fontId="74" fillId="0" borderId="33" xfId="0" applyNumberFormat="1" applyFont="1" applyBorder="1" applyAlignment="1" applyProtection="1">
      <alignment horizontal="center" vertical="center"/>
      <protection hidden="1"/>
    </xf>
    <xf numFmtId="164" fontId="74" fillId="0" borderId="33" xfId="1" applyNumberFormat="1" applyFont="1" applyFill="1" applyBorder="1" applyAlignment="1">
      <alignment horizontal="center" vertical="center"/>
    </xf>
    <xf numFmtId="0" fontId="78" fillId="0" borderId="33" xfId="0" applyFont="1" applyBorder="1" applyAlignment="1" applyProtection="1">
      <alignment horizontal="center" vertical="center" textRotation="90" wrapText="1"/>
      <protection hidden="1"/>
    </xf>
    <xf numFmtId="0" fontId="78" fillId="0" borderId="33" xfId="0" applyFont="1" applyBorder="1" applyAlignment="1" applyProtection="1">
      <alignment horizontal="center" vertical="center" textRotation="90"/>
      <protection hidden="1"/>
    </xf>
    <xf numFmtId="0" fontId="79" fillId="0" borderId="33" xfId="0" applyFont="1" applyBorder="1" applyAlignment="1">
      <alignment horizontal="center" vertical="center" wrapText="1"/>
    </xf>
    <xf numFmtId="14" fontId="74" fillId="0" borderId="81" xfId="0" applyNumberFormat="1" applyFont="1" applyBorder="1" applyAlignment="1" applyProtection="1">
      <alignment horizontal="center" vertical="center" wrapText="1"/>
      <protection locked="0"/>
    </xf>
    <xf numFmtId="0" fontId="74" fillId="3" borderId="33" xfId="0" applyFont="1" applyFill="1" applyBorder="1" applyAlignment="1" applyProtection="1">
      <alignment vertical="top" wrapText="1"/>
      <protection locked="0"/>
    </xf>
    <xf numFmtId="0" fontId="74" fillId="0" borderId="34" xfId="0" applyFont="1" applyBorder="1" applyAlignment="1" applyProtection="1">
      <alignment horizontal="center" vertical="center" wrapText="1"/>
      <protection locked="0"/>
    </xf>
    <xf numFmtId="0" fontId="79" fillId="0" borderId="85" xfId="0" applyFont="1" applyBorder="1" applyAlignment="1" applyProtection="1">
      <alignment vertical="center" wrapText="1"/>
      <protection locked="0"/>
    </xf>
    <xf numFmtId="0" fontId="74" fillId="0" borderId="33" xfId="0" applyFont="1" applyBorder="1" applyAlignment="1" applyProtection="1">
      <alignment horizontal="center" vertical="center"/>
      <protection locked="0"/>
    </xf>
    <xf numFmtId="9" fontId="74" fillId="0" borderId="33" xfId="0" applyNumberFormat="1" applyFont="1" applyBorder="1" applyAlignment="1" applyProtection="1">
      <alignment horizontal="center" vertical="center" wrapText="1"/>
      <protection locked="0"/>
    </xf>
    <xf numFmtId="0" fontId="79" fillId="0" borderId="33" xfId="0" applyFont="1" applyBorder="1" applyAlignment="1" applyProtection="1">
      <alignment horizontal="justify" vertical="center" wrapText="1"/>
      <protection locked="0"/>
    </xf>
    <xf numFmtId="0" fontId="74" fillId="0" borderId="33" xfId="0" applyFont="1" applyBorder="1" applyAlignment="1" applyProtection="1">
      <alignment horizontal="center" vertical="center"/>
      <protection hidden="1"/>
    </xf>
    <xf numFmtId="14" fontId="74" fillId="0" borderId="33" xfId="0" applyNumberFormat="1" applyFont="1" applyBorder="1" applyAlignment="1" applyProtection="1">
      <alignment horizontal="center" vertical="center"/>
      <protection locked="0"/>
    </xf>
    <xf numFmtId="0" fontId="88" fillId="0" borderId="33" xfId="0" applyFont="1" applyBorder="1" applyAlignment="1" applyProtection="1">
      <alignment horizontal="center" vertical="top" wrapText="1"/>
      <protection locked="0"/>
    </xf>
    <xf numFmtId="0" fontId="88" fillId="0" borderId="85" xfId="0" applyFont="1" applyBorder="1" applyAlignment="1" applyProtection="1">
      <alignment vertical="top" wrapText="1"/>
      <protection locked="0"/>
    </xf>
    <xf numFmtId="0" fontId="74" fillId="0" borderId="33" xfId="0" applyFont="1" applyBorder="1" applyAlignment="1" applyProtection="1">
      <alignment vertical="center" textRotation="90"/>
      <protection locked="0"/>
    </xf>
    <xf numFmtId="14" fontId="74" fillId="0" borderId="33" xfId="0" applyNumberFormat="1" applyFont="1" applyBorder="1" applyAlignment="1" applyProtection="1">
      <alignment horizontal="center" vertical="top" wrapText="1"/>
      <protection locked="0"/>
    </xf>
    <xf numFmtId="0" fontId="89" fillId="0" borderId="33" xfId="0" applyFont="1" applyBorder="1" applyAlignment="1" applyProtection="1">
      <alignment vertical="top" wrapText="1"/>
      <protection locked="0"/>
    </xf>
    <xf numFmtId="0" fontId="71" fillId="0" borderId="33" xfId="0" applyFont="1" applyBorder="1" applyAlignment="1" applyProtection="1">
      <alignment horizontal="center" vertical="center" wrapText="1"/>
      <protection locked="0"/>
    </xf>
    <xf numFmtId="0" fontId="28" fillId="0" borderId="33" xfId="0" applyFont="1" applyBorder="1" applyAlignment="1">
      <alignment horizontal="left" vertical="top" wrapText="1"/>
    </xf>
    <xf numFmtId="0" fontId="28" fillId="0" borderId="33" xfId="4" applyFont="1" applyBorder="1" applyAlignment="1">
      <alignment horizontal="center" vertical="center" wrapText="1"/>
    </xf>
    <xf numFmtId="0" fontId="28" fillId="0" borderId="33" xfId="0" applyFont="1" applyBorder="1" applyAlignment="1">
      <alignment vertical="center" wrapText="1"/>
    </xf>
    <xf numFmtId="14" fontId="28" fillId="3" borderId="33" xfId="4" applyNumberFormat="1" applyFont="1" applyFill="1" applyBorder="1" applyAlignment="1">
      <alignment horizontal="center" vertical="center" wrapText="1"/>
    </xf>
    <xf numFmtId="0" fontId="16" fillId="0" borderId="33" xfId="4" applyFont="1" applyBorder="1" applyAlignment="1">
      <alignment horizontal="left" vertical="top" wrapText="1"/>
    </xf>
    <xf numFmtId="0" fontId="71" fillId="13" borderId="33" xfId="4" applyFont="1" applyFill="1" applyBorder="1" applyAlignment="1">
      <alignment vertical="top" wrapText="1"/>
    </xf>
    <xf numFmtId="0" fontId="28" fillId="0" borderId="33" xfId="4" applyFont="1" applyBorder="1" applyAlignment="1">
      <alignment horizontal="left" vertical="top" wrapText="1"/>
    </xf>
    <xf numFmtId="0" fontId="86" fillId="13" borderId="33" xfId="0" applyFont="1" applyFill="1" applyBorder="1" applyAlignment="1">
      <alignment horizontal="left" vertical="top" wrapText="1"/>
    </xf>
    <xf numFmtId="0" fontId="86" fillId="13" borderId="33" xfId="0" applyFont="1" applyFill="1" applyBorder="1" applyAlignment="1">
      <alignment vertical="center" wrapText="1"/>
    </xf>
    <xf numFmtId="14" fontId="16" fillId="13" borderId="33" xfId="4" applyNumberFormat="1" applyFont="1" applyFill="1" applyBorder="1" applyAlignment="1">
      <alignment horizontal="center" vertical="center" wrapText="1"/>
    </xf>
    <xf numFmtId="165" fontId="86" fillId="31" borderId="33" xfId="0" applyNumberFormat="1" applyFont="1" applyFill="1" applyBorder="1" applyAlignment="1">
      <alignment horizontal="center" vertical="center" wrapText="1"/>
    </xf>
    <xf numFmtId="0" fontId="80" fillId="13" borderId="33" xfId="0" applyFont="1" applyFill="1" applyBorder="1" applyAlignment="1" applyProtection="1">
      <alignment vertical="top" wrapText="1"/>
      <protection locked="0"/>
    </xf>
    <xf numFmtId="0" fontId="61" fillId="27" borderId="33" xfId="0" applyFont="1" applyFill="1" applyBorder="1" applyAlignment="1" applyProtection="1">
      <alignment horizontal="center" vertical="center" wrapText="1"/>
      <protection locked="0"/>
    </xf>
    <xf numFmtId="0" fontId="0" fillId="0" borderId="12" xfId="0" applyBorder="1" applyAlignment="1">
      <alignment horizontal="center"/>
    </xf>
    <xf numFmtId="0" fontId="0" fillId="0" borderId="19"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64" fillId="0" borderId="96" xfId="0" applyFont="1" applyBorder="1" applyAlignment="1">
      <alignment horizontal="center" vertical="top" wrapText="1"/>
    </xf>
    <xf numFmtId="0" fontId="64" fillId="0" borderId="103" xfId="0" applyFont="1" applyBorder="1" applyAlignment="1">
      <alignment horizontal="center" vertical="top" wrapText="1"/>
    </xf>
    <xf numFmtId="0" fontId="64" fillId="0" borderId="100" xfId="0" applyFont="1" applyBorder="1" applyAlignment="1">
      <alignment horizontal="center" vertical="top" wrapText="1"/>
    </xf>
    <xf numFmtId="0" fontId="28" fillId="0" borderId="33" xfId="0" applyFont="1" applyBorder="1" applyAlignment="1">
      <alignment horizontal="center" wrapText="1"/>
    </xf>
    <xf numFmtId="0" fontId="0" fillId="0" borderId="33" xfId="0" applyBorder="1" applyAlignment="1">
      <alignment horizontal="center"/>
    </xf>
    <xf numFmtId="0" fontId="0" fillId="0" borderId="33" xfId="0" applyBorder="1" applyAlignment="1">
      <alignment horizontal="center" vertical="center" wrapText="1"/>
    </xf>
    <xf numFmtId="0" fontId="16" fillId="0" borderId="76" xfId="0" applyFont="1" applyBorder="1" applyAlignment="1">
      <alignment horizontal="center" vertical="center" wrapText="1"/>
    </xf>
    <xf numFmtId="0" fontId="16" fillId="0" borderId="82" xfId="0" applyFont="1" applyBorder="1" applyAlignment="1">
      <alignment horizontal="center" vertical="center" wrapText="1"/>
    </xf>
    <xf numFmtId="0" fontId="16" fillId="0" borderId="77" xfId="0" applyFont="1" applyBorder="1" applyAlignment="1">
      <alignment horizontal="center" vertical="center" wrapText="1"/>
    </xf>
    <xf numFmtId="0" fontId="16" fillId="0" borderId="78" xfId="0" applyFont="1" applyBorder="1" applyAlignment="1">
      <alignment horizontal="center" vertical="center" wrapText="1"/>
    </xf>
    <xf numFmtId="0" fontId="16" fillId="0" borderId="86" xfId="0" applyFont="1" applyBorder="1" applyAlignment="1">
      <alignment horizontal="center" vertical="center" wrapText="1"/>
    </xf>
    <xf numFmtId="0" fontId="16" fillId="0" borderId="80" xfId="0" applyFont="1" applyBorder="1" applyAlignment="1">
      <alignment horizontal="center" vertical="center" wrapText="1"/>
    </xf>
    <xf numFmtId="0" fontId="61" fillId="0" borderId="33" xfId="0" applyFont="1" applyBorder="1" applyAlignment="1">
      <alignment horizontal="center" vertical="center"/>
    </xf>
    <xf numFmtId="0" fontId="28" fillId="0" borderId="33" xfId="0" applyFont="1" applyBorder="1" applyAlignment="1">
      <alignment horizontal="center" vertical="center" wrapText="1"/>
    </xf>
    <xf numFmtId="0" fontId="28" fillId="0" borderId="75" xfId="0" applyFont="1" applyBorder="1" applyAlignment="1">
      <alignment horizontal="center" wrapText="1"/>
    </xf>
    <xf numFmtId="0" fontId="28" fillId="0" borderId="84" xfId="0" applyFont="1" applyBorder="1" applyAlignment="1">
      <alignment horizontal="center" wrapText="1"/>
    </xf>
    <xf numFmtId="0" fontId="28" fillId="0" borderId="84" xfId="0" applyFont="1" applyBorder="1" applyAlignment="1">
      <alignment horizontal="center"/>
    </xf>
    <xf numFmtId="0" fontId="28" fillId="0" borderId="76" xfId="0" applyFont="1" applyBorder="1" applyAlignment="1">
      <alignment horizontal="center" vertical="center" wrapText="1"/>
    </xf>
    <xf numFmtId="0" fontId="28" fillId="0" borderId="82" xfId="0" applyFont="1" applyBorder="1" applyAlignment="1">
      <alignment horizontal="center" vertical="center" wrapText="1"/>
    </xf>
    <xf numFmtId="0" fontId="28" fillId="0" borderId="77" xfId="0" applyFont="1" applyBorder="1" applyAlignment="1">
      <alignment horizontal="center" vertical="center" wrapText="1"/>
    </xf>
    <xf numFmtId="0" fontId="28" fillId="0" borderId="78" xfId="0" applyFont="1" applyBorder="1" applyAlignment="1">
      <alignment horizontal="center" vertical="center" wrapText="1"/>
    </xf>
    <xf numFmtId="0" fontId="28" fillId="0" borderId="86" xfId="0" applyFont="1" applyBorder="1" applyAlignment="1">
      <alignment horizontal="center" vertical="center" wrapText="1"/>
    </xf>
    <xf numFmtId="0" fontId="28" fillId="0" borderId="80" xfId="0" applyFont="1" applyBorder="1" applyAlignment="1">
      <alignment horizontal="center" vertical="center" wrapText="1"/>
    </xf>
    <xf numFmtId="0" fontId="0" fillId="0" borderId="84" xfId="0" applyBorder="1" applyAlignment="1">
      <alignment horizontal="center" wrapText="1"/>
    </xf>
    <xf numFmtId="0" fontId="0" fillId="0" borderId="75" xfId="0" applyBorder="1" applyAlignment="1">
      <alignment horizontal="center" wrapText="1"/>
    </xf>
    <xf numFmtId="0" fontId="0" fillId="0" borderId="76" xfId="0" applyBorder="1" applyAlignment="1">
      <alignment horizontal="center" vertical="center" wrapText="1"/>
    </xf>
    <xf numFmtId="0" fontId="0" fillId="0" borderId="82" xfId="0" applyBorder="1" applyAlignment="1">
      <alignment horizontal="center" vertical="center" wrapText="1"/>
    </xf>
    <xf numFmtId="0" fontId="0" fillId="0" borderId="77" xfId="0" applyBorder="1" applyAlignment="1">
      <alignment horizontal="center" vertical="center" wrapText="1"/>
    </xf>
    <xf numFmtId="0" fontId="0" fillId="0" borderId="78" xfId="0" applyBorder="1" applyAlignment="1">
      <alignment horizontal="center" vertical="center" wrapText="1"/>
    </xf>
    <xf numFmtId="0" fontId="0" fillId="0" borderId="86" xfId="0" applyBorder="1" applyAlignment="1">
      <alignment horizontal="center" vertical="center" wrapText="1"/>
    </xf>
    <xf numFmtId="0" fontId="0" fillId="0" borderId="80" xfId="0" applyBorder="1" applyAlignment="1">
      <alignment horizontal="center" vertical="center" wrapText="1"/>
    </xf>
    <xf numFmtId="0" fontId="17" fillId="13" borderId="33" xfId="0" applyFont="1" applyFill="1" applyBorder="1" applyAlignment="1">
      <alignment horizontal="center" vertical="top" wrapText="1"/>
    </xf>
    <xf numFmtId="0" fontId="16" fillId="0" borderId="33" xfId="0" applyFont="1" applyBorder="1" applyAlignment="1">
      <alignment horizontal="center" wrapText="1"/>
    </xf>
    <xf numFmtId="0" fontId="0" fillId="0" borderId="33" xfId="0" applyBorder="1" applyAlignment="1">
      <alignment horizontal="center" wrapText="1"/>
    </xf>
    <xf numFmtId="0" fontId="16" fillId="0" borderId="75" xfId="0" applyFont="1" applyBorder="1" applyAlignment="1">
      <alignment horizontal="center" vertical="center" wrapText="1"/>
    </xf>
    <xf numFmtId="0" fontId="16" fillId="0" borderId="84" xfId="0" applyFont="1" applyBorder="1" applyAlignment="1">
      <alignment horizontal="center" vertical="center" wrapText="1"/>
    </xf>
    <xf numFmtId="0" fontId="16" fillId="0" borderId="33" xfId="0" applyFont="1" applyBorder="1" applyAlignment="1">
      <alignment horizontal="center" vertical="center" wrapText="1"/>
    </xf>
    <xf numFmtId="0" fontId="28" fillId="0" borderId="0" xfId="0" applyFont="1" applyAlignment="1">
      <alignment horizontal="center" vertical="top"/>
    </xf>
    <xf numFmtId="0" fontId="28" fillId="0" borderId="33" xfId="0" applyFont="1" applyBorder="1" applyAlignment="1">
      <alignment horizontal="center"/>
    </xf>
    <xf numFmtId="0" fontId="0" fillId="0" borderId="76" xfId="0" applyBorder="1" applyAlignment="1">
      <alignment horizontal="center" wrapText="1"/>
    </xf>
    <xf numFmtId="0" fontId="0" fillId="0" borderId="82" xfId="0" applyBorder="1" applyAlignment="1">
      <alignment horizontal="center" wrapText="1"/>
    </xf>
    <xf numFmtId="0" fontId="64" fillId="22" borderId="35" xfId="0" applyFont="1" applyFill="1" applyBorder="1" applyAlignment="1">
      <alignment horizontal="center"/>
    </xf>
    <xf numFmtId="0" fontId="64" fillId="22" borderId="36" xfId="0" applyFont="1" applyFill="1" applyBorder="1" applyAlignment="1">
      <alignment horizontal="center"/>
    </xf>
    <xf numFmtId="0" fontId="64" fillId="22" borderId="47" xfId="0" applyFont="1" applyFill="1" applyBorder="1" applyAlignment="1">
      <alignment horizontal="center"/>
    </xf>
    <xf numFmtId="0" fontId="61" fillId="0" borderId="86" xfId="0" applyFont="1" applyBorder="1" applyAlignment="1">
      <alignment horizontal="center" vertical="center"/>
    </xf>
    <xf numFmtId="0" fontId="61" fillId="0" borderId="69" xfId="0" applyFont="1" applyBorder="1" applyAlignment="1">
      <alignment horizontal="center" vertical="center"/>
    </xf>
    <xf numFmtId="0" fontId="70" fillId="0" borderId="94" xfId="0" applyFont="1" applyBorder="1" applyAlignment="1">
      <alignment horizontal="center" vertical="center"/>
    </xf>
    <xf numFmtId="0" fontId="70" fillId="0" borderId="95" xfId="0" applyFont="1" applyBorder="1" applyAlignment="1">
      <alignment horizontal="center" vertical="center"/>
    </xf>
    <xf numFmtId="0" fontId="70" fillId="0" borderId="96" xfId="0" applyFont="1" applyBorder="1" applyAlignment="1">
      <alignment horizontal="center" vertical="center"/>
    </xf>
    <xf numFmtId="0" fontId="64" fillId="22" borderId="35" xfId="0" applyFont="1" applyFill="1" applyBorder="1" applyAlignment="1">
      <alignment horizontal="center" vertical="top"/>
    </xf>
    <xf numFmtId="0" fontId="64" fillId="22" borderId="36" xfId="0" applyFont="1" applyFill="1" applyBorder="1" applyAlignment="1">
      <alignment horizontal="center" vertical="top"/>
    </xf>
    <xf numFmtId="0" fontId="64" fillId="22" borderId="47" xfId="0" applyFont="1" applyFill="1" applyBorder="1" applyAlignment="1">
      <alignment horizontal="center" vertical="top"/>
    </xf>
    <xf numFmtId="0" fontId="0" fillId="0" borderId="98" xfId="0" applyBorder="1" applyAlignment="1">
      <alignment horizontal="center" vertical="top" wrapText="1"/>
    </xf>
    <xf numFmtId="0" fontId="0" fillId="0" borderId="99" xfId="0" applyBorder="1" applyAlignment="1">
      <alignment horizontal="center" vertical="top" wrapText="1"/>
    </xf>
    <xf numFmtId="0" fontId="61" fillId="0" borderId="44" xfId="0" applyFont="1" applyBorder="1" applyAlignment="1">
      <alignment horizontal="center" vertical="center"/>
    </xf>
    <xf numFmtId="0" fontId="61" fillId="0" borderId="45" xfId="0" applyFont="1" applyBorder="1" applyAlignment="1">
      <alignment horizontal="center" vertical="center"/>
    </xf>
    <xf numFmtId="0" fontId="61" fillId="0" borderId="46" xfId="0" applyFont="1" applyBorder="1" applyAlignment="1">
      <alignment horizontal="center" vertical="center"/>
    </xf>
    <xf numFmtId="0" fontId="0" fillId="0" borderId="100" xfId="0" applyBorder="1" applyAlignment="1">
      <alignment horizontal="center" vertical="top" wrapText="1"/>
    </xf>
    <xf numFmtId="0" fontId="64" fillId="0" borderId="35" xfId="0" applyFont="1" applyBorder="1" applyAlignment="1">
      <alignment horizontal="center"/>
    </xf>
    <xf numFmtId="0" fontId="64" fillId="0" borderId="36" xfId="0" applyFont="1" applyBorder="1" applyAlignment="1">
      <alignment horizontal="center"/>
    </xf>
    <xf numFmtId="0" fontId="64" fillId="0" borderId="47" xfId="0" applyFont="1" applyBorder="1" applyAlignment="1">
      <alignment horizontal="center"/>
    </xf>
    <xf numFmtId="0" fontId="0" fillId="27" borderId="33" xfId="0" applyFill="1" applyBorder="1" applyAlignment="1">
      <alignment horizontal="center" vertical="center" wrapText="1"/>
    </xf>
    <xf numFmtId="0" fontId="0" fillId="27" borderId="81" xfId="0" applyFill="1" applyBorder="1" applyAlignment="1">
      <alignment horizontal="center" vertical="center" wrapText="1"/>
    </xf>
    <xf numFmtId="0" fontId="0" fillId="27" borderId="85" xfId="0" applyFill="1" applyBorder="1" applyAlignment="1">
      <alignment horizontal="center" vertical="center" wrapText="1"/>
    </xf>
    <xf numFmtId="0" fontId="0" fillId="27" borderId="34" xfId="0" applyFill="1" applyBorder="1" applyAlignment="1">
      <alignment horizontal="center" vertical="center" wrapText="1"/>
    </xf>
    <xf numFmtId="0" fontId="17" fillId="0" borderId="33" xfId="0" applyFont="1" applyBorder="1" applyAlignment="1">
      <alignment horizontal="center" vertical="top" wrapText="1"/>
    </xf>
    <xf numFmtId="0" fontId="0" fillId="0" borderId="0" xfId="0" applyAlignment="1">
      <alignment horizontal="center" vertical="top"/>
    </xf>
    <xf numFmtId="0" fontId="55" fillId="3" borderId="58" xfId="3" applyFont="1" applyFill="1" applyBorder="1" applyAlignment="1">
      <alignment horizontal="left" vertical="top" wrapText="1" readingOrder="1"/>
    </xf>
    <xf numFmtId="0" fontId="55" fillId="3" borderId="59" xfId="3" applyFont="1" applyFill="1" applyBorder="1" applyAlignment="1">
      <alignment horizontal="left" vertical="top" wrapText="1" readingOrder="1"/>
    </xf>
    <xf numFmtId="0" fontId="56" fillId="3" borderId="60" xfId="2" applyFont="1" applyFill="1" applyBorder="1" applyAlignment="1">
      <alignment horizontal="justify" vertical="center" wrapText="1"/>
    </xf>
    <xf numFmtId="0" fontId="56" fillId="3" borderId="61" xfId="2" applyFont="1" applyFill="1" applyBorder="1" applyAlignment="1">
      <alignment horizontal="justify" vertical="center" wrapText="1"/>
    </xf>
    <xf numFmtId="0" fontId="56" fillId="3" borderId="64" xfId="2" applyFont="1" applyFill="1" applyBorder="1" applyAlignment="1">
      <alignment horizontal="justify" vertical="center" wrapText="1"/>
    </xf>
    <xf numFmtId="0" fontId="56" fillId="3" borderId="65" xfId="2" applyFont="1" applyFill="1" applyBorder="1" applyAlignment="1">
      <alignment horizontal="justify" vertical="center" wrapText="1"/>
    </xf>
    <xf numFmtId="0" fontId="55" fillId="3" borderId="62" xfId="0" applyFont="1" applyFill="1" applyBorder="1" applyAlignment="1">
      <alignment horizontal="left" vertical="center" wrapText="1"/>
    </xf>
    <xf numFmtId="0" fontId="55" fillId="3" borderId="63" xfId="0" applyFont="1" applyFill="1" applyBorder="1" applyAlignment="1">
      <alignment horizontal="left" vertical="center" wrapText="1"/>
    </xf>
    <xf numFmtId="0" fontId="55" fillId="3" borderId="71" xfId="0" applyFont="1" applyFill="1" applyBorder="1" applyAlignment="1">
      <alignment horizontal="left" vertical="center" wrapText="1"/>
    </xf>
    <xf numFmtId="0" fontId="55" fillId="3" borderId="72" xfId="0" applyFont="1" applyFill="1" applyBorder="1" applyAlignment="1">
      <alignment horizontal="left" vertical="center" wrapText="1"/>
    </xf>
    <xf numFmtId="0" fontId="55" fillId="3" borderId="73" xfId="0" applyFont="1" applyFill="1" applyBorder="1" applyAlignment="1">
      <alignment horizontal="left" vertical="center" wrapText="1"/>
    </xf>
    <xf numFmtId="0" fontId="55" fillId="3" borderId="74" xfId="0" applyFont="1" applyFill="1" applyBorder="1" applyAlignment="1">
      <alignment horizontal="left" vertical="center" wrapText="1"/>
    </xf>
    <xf numFmtId="0" fontId="56" fillId="3" borderId="66" xfId="0" applyFont="1" applyFill="1" applyBorder="1" applyAlignment="1">
      <alignment horizontal="justify" vertical="center" wrapText="1"/>
    </xf>
    <xf numFmtId="0" fontId="56" fillId="3" borderId="67" xfId="0" applyFont="1" applyFill="1" applyBorder="1" applyAlignment="1">
      <alignment horizontal="justify" vertical="center" wrapText="1"/>
    </xf>
    <xf numFmtId="0" fontId="51" fillId="27" borderId="48" xfId="2" applyFont="1" applyFill="1" applyBorder="1" applyAlignment="1">
      <alignment horizontal="center" vertical="center" wrapText="1"/>
    </xf>
    <xf numFmtId="0" fontId="51" fillId="27" borderId="49" xfId="2" applyFont="1" applyFill="1" applyBorder="1" applyAlignment="1">
      <alignment horizontal="center" vertical="center" wrapText="1"/>
    </xf>
    <xf numFmtId="0" fontId="51" fillId="27" borderId="50" xfId="2" applyFont="1" applyFill="1" applyBorder="1" applyAlignment="1">
      <alignment horizontal="center" vertical="center" wrapText="1"/>
    </xf>
    <xf numFmtId="0" fontId="50" fillId="0" borderId="14" xfId="2" quotePrefix="1" applyFont="1" applyBorder="1" applyAlignment="1">
      <alignment horizontal="left" vertical="center" wrapText="1"/>
    </xf>
    <xf numFmtId="0" fontId="50" fillId="0" borderId="0" xfId="2" quotePrefix="1" applyFont="1" applyAlignment="1">
      <alignment horizontal="left" vertical="center" wrapText="1"/>
    </xf>
    <xf numFmtId="0" fontId="50" fillId="0" borderId="15" xfId="2" quotePrefix="1" applyFont="1" applyBorder="1" applyAlignment="1">
      <alignment horizontal="left" vertical="center" wrapText="1"/>
    </xf>
    <xf numFmtId="0" fontId="50" fillId="0" borderId="68" xfId="2" quotePrefix="1" applyFont="1" applyBorder="1" applyAlignment="1">
      <alignment horizontal="left" vertical="center" wrapText="1"/>
    </xf>
    <xf numFmtId="0" fontId="50" fillId="0" borderId="69" xfId="2" quotePrefix="1" applyFont="1" applyBorder="1" applyAlignment="1">
      <alignment horizontal="left" vertical="center" wrapText="1"/>
    </xf>
    <xf numFmtId="0" fontId="50" fillId="0" borderId="70" xfId="2" quotePrefix="1" applyFont="1" applyBorder="1" applyAlignment="1">
      <alignment horizontal="left" vertical="center" wrapText="1"/>
    </xf>
    <xf numFmtId="0" fontId="52" fillId="3" borderId="51" xfId="2" quotePrefix="1" applyFont="1" applyFill="1" applyBorder="1" applyAlignment="1">
      <alignment horizontal="left" vertical="top" wrapText="1"/>
    </xf>
    <xf numFmtId="0" fontId="53" fillId="3" borderId="52" xfId="2" quotePrefix="1" applyFont="1" applyFill="1" applyBorder="1" applyAlignment="1">
      <alignment horizontal="left" vertical="top" wrapText="1"/>
    </xf>
    <xf numFmtId="0" fontId="53" fillId="3" borderId="53" xfId="2" quotePrefix="1" applyFont="1" applyFill="1" applyBorder="1" applyAlignment="1">
      <alignment horizontal="left" vertical="top" wrapText="1"/>
    </xf>
    <xf numFmtId="0" fontId="50" fillId="0" borderId="14" xfId="2" quotePrefix="1" applyFont="1" applyBorder="1" applyAlignment="1">
      <alignment horizontal="left" vertical="top" wrapText="1"/>
    </xf>
    <xf numFmtId="0" fontId="50" fillId="0" borderId="0" xfId="2" quotePrefix="1" applyFont="1" applyAlignment="1">
      <alignment horizontal="left" vertical="top" wrapText="1"/>
    </xf>
    <xf numFmtId="0" fontId="50" fillId="0" borderId="15" xfId="2" quotePrefix="1" applyFont="1" applyBorder="1" applyAlignment="1">
      <alignment horizontal="left" vertical="top" wrapText="1"/>
    </xf>
    <xf numFmtId="0" fontId="55" fillId="27" borderId="54" xfId="3" applyFont="1" applyFill="1" applyBorder="1" applyAlignment="1">
      <alignment horizontal="center" vertical="center" wrapText="1"/>
    </xf>
    <xf numFmtId="0" fontId="55" fillId="27" borderId="55" xfId="3" applyFont="1" applyFill="1" applyBorder="1" applyAlignment="1">
      <alignment horizontal="center" vertical="center" wrapText="1"/>
    </xf>
    <xf numFmtId="0" fontId="55" fillId="27" borderId="56" xfId="2" applyFont="1" applyFill="1" applyBorder="1" applyAlignment="1">
      <alignment horizontal="center" vertical="center"/>
    </xf>
    <xf numFmtId="0" fontId="55" fillId="27" borderId="57" xfId="2" applyFont="1" applyFill="1" applyBorder="1" applyAlignment="1">
      <alignment horizontal="center" vertical="center"/>
    </xf>
    <xf numFmtId="0" fontId="2" fillId="3" borderId="68" xfId="2" quotePrefix="1" applyFont="1" applyFill="1" applyBorder="1" applyAlignment="1">
      <alignment horizontal="justify" vertical="center" wrapText="1"/>
    </xf>
    <xf numFmtId="0" fontId="2" fillId="3" borderId="69" xfId="2" quotePrefix="1" applyFont="1" applyFill="1" applyBorder="1" applyAlignment="1">
      <alignment horizontal="justify" vertical="center" wrapText="1"/>
    </xf>
    <xf numFmtId="0" fontId="2" fillId="3" borderId="70" xfId="2" quotePrefix="1" applyFont="1" applyFill="1" applyBorder="1" applyAlignment="1">
      <alignment horizontal="justify" vertical="center" wrapText="1"/>
    </xf>
    <xf numFmtId="0" fontId="78" fillId="27" borderId="33" xfId="0" applyFont="1" applyFill="1" applyBorder="1" applyAlignment="1">
      <alignment horizontal="center" vertical="center"/>
    </xf>
    <xf numFmtId="0" fontId="78" fillId="27" borderId="33" xfId="0" applyFont="1" applyFill="1" applyBorder="1" applyAlignment="1">
      <alignment horizontal="center" vertical="center" wrapText="1"/>
    </xf>
    <xf numFmtId="0" fontId="78" fillId="24" borderId="33" xfId="0" applyFont="1" applyFill="1" applyBorder="1" applyAlignment="1">
      <alignment horizontal="center" vertical="center" wrapText="1"/>
    </xf>
    <xf numFmtId="0" fontId="75" fillId="27" borderId="89" xfId="0" applyFont="1" applyFill="1" applyBorder="1" applyAlignment="1">
      <alignment horizontal="center" vertical="center"/>
    </xf>
    <xf numFmtId="0" fontId="75" fillId="27" borderId="90" xfId="0" applyFont="1" applyFill="1" applyBorder="1" applyAlignment="1">
      <alignment horizontal="center" vertical="center"/>
    </xf>
    <xf numFmtId="0" fontId="75" fillId="27" borderId="91" xfId="0" applyFont="1" applyFill="1" applyBorder="1" applyAlignment="1">
      <alignment horizontal="center" vertical="center"/>
    </xf>
    <xf numFmtId="0" fontId="75" fillId="27" borderId="92" xfId="0" applyFont="1" applyFill="1" applyBorder="1" applyAlignment="1">
      <alignment horizontal="center" vertical="center"/>
    </xf>
    <xf numFmtId="0" fontId="75" fillId="27" borderId="81" xfId="0" applyFont="1" applyFill="1" applyBorder="1" applyAlignment="1">
      <alignment horizontal="center" vertical="center"/>
    </xf>
    <xf numFmtId="0" fontId="75" fillId="27" borderId="40" xfId="0" applyFont="1" applyFill="1" applyBorder="1" applyAlignment="1">
      <alignment horizontal="center" vertical="center"/>
    </xf>
    <xf numFmtId="0" fontId="75" fillId="27" borderId="41" xfId="0" applyFont="1" applyFill="1" applyBorder="1" applyAlignment="1">
      <alignment horizontal="center" vertical="center"/>
    </xf>
    <xf numFmtId="0" fontId="76" fillId="27" borderId="33" xfId="0" applyFont="1" applyFill="1" applyBorder="1" applyAlignment="1">
      <alignment horizontal="left" vertical="center"/>
    </xf>
    <xf numFmtId="0" fontId="77" fillId="22" borderId="33" xfId="0" applyFont="1" applyFill="1" applyBorder="1" applyAlignment="1" applyProtection="1">
      <alignment horizontal="left" vertical="center"/>
      <protection locked="0"/>
    </xf>
    <xf numFmtId="0" fontId="74" fillId="3" borderId="0" xfId="0" applyFont="1" applyFill="1" applyAlignment="1">
      <alignment horizontal="left" vertical="center"/>
    </xf>
    <xf numFmtId="0" fontId="78" fillId="27" borderId="81" xfId="0" applyFont="1" applyFill="1" applyBorder="1" applyAlignment="1">
      <alignment horizontal="center" vertical="center" wrapText="1"/>
    </xf>
    <xf numFmtId="0" fontId="78" fillId="27" borderId="34" xfId="0" applyFont="1" applyFill="1" applyBorder="1" applyAlignment="1">
      <alignment horizontal="center" vertical="center" wrapText="1"/>
    </xf>
    <xf numFmtId="0" fontId="78" fillId="13" borderId="33" xfId="0" applyFont="1" applyFill="1" applyBorder="1" applyAlignment="1">
      <alignment horizontal="center" vertical="center" wrapText="1"/>
    </xf>
    <xf numFmtId="0" fontId="78" fillId="24" borderId="81" xfId="0" applyFont="1" applyFill="1" applyBorder="1" applyAlignment="1">
      <alignment horizontal="center" vertical="center" wrapText="1"/>
    </xf>
    <xf numFmtId="0" fontId="78" fillId="24" borderId="34" xfId="0" applyFont="1" applyFill="1" applyBorder="1" applyAlignment="1">
      <alignment horizontal="center" vertical="center" wrapText="1"/>
    </xf>
    <xf numFmtId="0" fontId="78" fillId="27" borderId="33" xfId="0" applyFont="1" applyFill="1" applyBorder="1" applyAlignment="1">
      <alignment horizontal="center" vertical="center" textRotation="90" wrapText="1"/>
    </xf>
    <xf numFmtId="0" fontId="78" fillId="0" borderId="33" xfId="0" applyFont="1" applyBorder="1" applyAlignment="1" applyProtection="1">
      <alignment horizontal="center" vertical="top"/>
      <protection hidden="1"/>
    </xf>
    <xf numFmtId="9" fontId="74" fillId="0" borderId="33" xfId="0" applyNumberFormat="1" applyFont="1" applyBorder="1" applyAlignment="1" applyProtection="1">
      <alignment horizontal="center" vertical="top" wrapText="1"/>
      <protection hidden="1"/>
    </xf>
    <xf numFmtId="0" fontId="74" fillId="0" borderId="33" xfId="0" applyFont="1" applyBorder="1" applyAlignment="1">
      <alignment horizontal="center" vertical="top"/>
    </xf>
    <xf numFmtId="0" fontId="74" fillId="0" borderId="33" xfId="0" applyFont="1" applyBorder="1" applyAlignment="1" applyProtection="1">
      <alignment horizontal="center" vertical="top" wrapText="1"/>
      <protection locked="0"/>
    </xf>
    <xf numFmtId="0" fontId="79" fillId="0" borderId="33" xfId="0" applyFont="1" applyBorder="1" applyAlignment="1" applyProtection="1">
      <alignment horizontal="center" vertical="top" wrapText="1"/>
      <protection locked="0"/>
    </xf>
    <xf numFmtId="0" fontId="74" fillId="0" borderId="33" xfId="0" applyFont="1" applyBorder="1" applyAlignment="1" applyProtection="1">
      <alignment horizontal="center" vertical="top"/>
      <protection locked="0"/>
    </xf>
    <xf numFmtId="0" fontId="78" fillId="0" borderId="33" xfId="0" applyFont="1" applyBorder="1" applyAlignment="1" applyProtection="1">
      <alignment horizontal="center" vertical="top" wrapText="1"/>
      <protection hidden="1"/>
    </xf>
    <xf numFmtId="0" fontId="74" fillId="0" borderId="81" xfId="0" applyFont="1" applyBorder="1" applyAlignment="1" applyProtection="1">
      <alignment horizontal="center" vertical="top"/>
      <protection locked="0"/>
    </xf>
    <xf numFmtId="0" fontId="74" fillId="0" borderId="34" xfId="0" applyFont="1" applyBorder="1" applyAlignment="1" applyProtection="1">
      <alignment horizontal="center" vertical="top"/>
      <protection locked="0"/>
    </xf>
    <xf numFmtId="0" fontId="0" fillId="0" borderId="33" xfId="0" applyBorder="1" applyAlignment="1" applyProtection="1">
      <alignment horizontal="center"/>
      <protection locked="0"/>
    </xf>
    <xf numFmtId="0" fontId="78" fillId="27" borderId="75" xfId="0" applyFont="1" applyFill="1" applyBorder="1" applyAlignment="1">
      <alignment horizontal="center" vertical="center" wrapText="1"/>
    </xf>
    <xf numFmtId="0" fontId="78" fillId="27" borderId="83" xfId="0" applyFont="1" applyFill="1" applyBorder="1" applyAlignment="1">
      <alignment horizontal="center" vertical="center" wrapText="1"/>
    </xf>
    <xf numFmtId="0" fontId="78" fillId="27" borderId="84" xfId="0" applyFont="1" applyFill="1" applyBorder="1" applyAlignment="1">
      <alignment horizontal="center" vertical="center" wrapText="1"/>
    </xf>
    <xf numFmtId="0" fontId="1" fillId="0" borderId="0" xfId="0" applyFont="1" applyAlignment="1">
      <alignment horizontal="center"/>
    </xf>
    <xf numFmtId="0" fontId="76" fillId="24" borderId="89" xfId="0" applyFont="1" applyFill="1" applyBorder="1" applyAlignment="1">
      <alignment horizontal="center" vertical="center"/>
    </xf>
    <xf numFmtId="0" fontId="76" fillId="24" borderId="90" xfId="0" applyFont="1" applyFill="1" applyBorder="1" applyAlignment="1">
      <alignment horizontal="center" vertical="center"/>
    </xf>
    <xf numFmtId="0" fontId="76" fillId="0" borderId="0" xfId="0" applyFont="1" applyAlignment="1">
      <alignment horizontal="center" vertical="center"/>
    </xf>
    <xf numFmtId="0" fontId="76" fillId="0" borderId="78" xfId="0" applyFont="1" applyBorder="1" applyAlignment="1">
      <alignment horizontal="center" vertical="center"/>
    </xf>
    <xf numFmtId="0" fontId="61" fillId="0" borderId="0" xfId="0" applyFont="1" applyAlignment="1" applyProtection="1">
      <alignment horizontal="center" vertical="center" wrapText="1"/>
      <protection locked="0"/>
    </xf>
    <xf numFmtId="0" fontId="61" fillId="0" borderId="33" xfId="0" applyFont="1" applyBorder="1" applyAlignment="1" applyProtection="1">
      <alignment horizontal="center" vertical="center"/>
      <protection locked="0"/>
    </xf>
    <xf numFmtId="0" fontId="1" fillId="0" borderId="33" xfId="0" applyFont="1" applyBorder="1" applyAlignment="1">
      <alignment horizontal="center"/>
    </xf>
    <xf numFmtId="0" fontId="78" fillId="0" borderId="33" xfId="0" applyFont="1" applyBorder="1" applyAlignment="1">
      <alignment horizontal="center" vertical="center"/>
    </xf>
    <xf numFmtId="0" fontId="1" fillId="0" borderId="75" xfId="0" applyFont="1" applyBorder="1" applyAlignment="1">
      <alignment horizontal="center"/>
    </xf>
    <xf numFmtId="0" fontId="1" fillId="0" borderId="84" xfId="0" applyFont="1" applyBorder="1" applyAlignment="1">
      <alignment horizontal="center"/>
    </xf>
    <xf numFmtId="0" fontId="61" fillId="0" borderId="75" xfId="0" applyFont="1" applyBorder="1" applyAlignment="1" applyProtection="1">
      <alignment horizontal="center" vertical="center"/>
      <protection locked="0"/>
    </xf>
    <xf numFmtId="0" fontId="61" fillId="0" borderId="84" xfId="0" applyFont="1" applyBorder="1" applyAlignment="1" applyProtection="1">
      <alignment horizontal="center" vertical="center"/>
      <protection locked="0"/>
    </xf>
    <xf numFmtId="0" fontId="78" fillId="0" borderId="75" xfId="0" applyFont="1" applyBorder="1" applyAlignment="1">
      <alignment horizontal="center" vertical="center"/>
    </xf>
    <xf numFmtId="0" fontId="78" fillId="0" borderId="84" xfId="0" applyFont="1" applyBorder="1" applyAlignment="1">
      <alignment horizontal="center" vertical="center"/>
    </xf>
    <xf numFmtId="0" fontId="8" fillId="3" borderId="6"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7" xfId="0" applyFont="1" applyFill="1" applyBorder="1" applyAlignment="1" applyProtection="1">
      <alignment horizontal="left" vertical="center"/>
      <protection locked="0"/>
    </xf>
    <xf numFmtId="0" fontId="1" fillId="3" borderId="0" xfId="0" applyFont="1" applyFill="1" applyAlignment="1">
      <alignment horizontal="left" vertical="center"/>
    </xf>
    <xf numFmtId="0" fontId="26" fillId="2" borderId="28"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30"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31" xfId="0" applyFont="1" applyFill="1" applyBorder="1" applyAlignment="1">
      <alignment horizontal="center" vertical="center"/>
    </xf>
    <xf numFmtId="0" fontId="26"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7" xfId="0" applyFont="1" applyFill="1" applyBorder="1" applyAlignment="1">
      <alignment horizontal="center" vertical="center"/>
    </xf>
    <xf numFmtId="0" fontId="1" fillId="0" borderId="6" xfId="0" applyFont="1" applyBorder="1" applyAlignment="1">
      <alignment horizontal="left" vertical="center" wrapText="1"/>
    </xf>
    <xf numFmtId="0" fontId="1" fillId="0" borderId="10" xfId="0" applyFont="1" applyBorder="1" applyAlignment="1">
      <alignment horizontal="left" vertical="center" wrapText="1"/>
    </xf>
    <xf numFmtId="0" fontId="1" fillId="0" borderId="7" xfId="0" applyFont="1" applyBorder="1" applyAlignment="1">
      <alignment horizontal="left" vertical="center" wrapText="1"/>
    </xf>
    <xf numFmtId="9" fontId="1" fillId="0" borderId="4" xfId="0" applyNumberFormat="1" applyFont="1" applyBorder="1" applyAlignment="1" applyProtection="1">
      <alignment horizontal="center" vertical="top" wrapText="1"/>
      <protection hidden="1"/>
    </xf>
    <xf numFmtId="9" fontId="1" fillId="0" borderId="8" xfId="0" applyNumberFormat="1" applyFont="1" applyBorder="1" applyAlignment="1" applyProtection="1">
      <alignment horizontal="center" vertical="top" wrapText="1"/>
      <protection hidden="1"/>
    </xf>
    <xf numFmtId="9" fontId="1" fillId="0" borderId="5" xfId="0" applyNumberFormat="1" applyFont="1" applyBorder="1" applyAlignment="1" applyProtection="1">
      <alignment horizontal="center" vertical="top" wrapText="1"/>
      <protection hidden="1"/>
    </xf>
    <xf numFmtId="0" fontId="4" fillId="0" borderId="4" xfId="0" applyFont="1" applyBorder="1" applyAlignment="1" applyProtection="1">
      <alignment horizontal="center" vertical="top"/>
      <protection hidden="1"/>
    </xf>
    <xf numFmtId="0" fontId="4" fillId="0" borderId="8" xfId="0" applyFont="1" applyBorder="1" applyAlignment="1" applyProtection="1">
      <alignment horizontal="center" vertical="top"/>
      <protection hidden="1"/>
    </xf>
    <xf numFmtId="0" fontId="4" fillId="0" borderId="5" xfId="0" applyFont="1" applyBorder="1" applyAlignment="1" applyProtection="1">
      <alignment horizontal="center" vertical="top"/>
      <protection hidden="1"/>
    </xf>
    <xf numFmtId="0" fontId="1" fillId="0" borderId="4" xfId="0" applyFont="1" applyBorder="1" applyAlignment="1">
      <alignment horizontal="center" vertical="top"/>
    </xf>
    <xf numFmtId="0" fontId="1" fillId="0" borderId="8" xfId="0" applyFont="1" applyBorder="1" applyAlignment="1">
      <alignment horizontal="center" vertical="top"/>
    </xf>
    <xf numFmtId="0" fontId="1" fillId="0" borderId="5" xfId="0" applyFont="1" applyBorder="1" applyAlignment="1">
      <alignment horizontal="center" vertical="top"/>
    </xf>
    <xf numFmtId="0" fontId="1" fillId="0" borderId="4" xfId="0" applyFont="1" applyBorder="1" applyAlignment="1" applyProtection="1">
      <alignment horizontal="center" vertical="top" wrapText="1"/>
      <protection locked="0"/>
    </xf>
    <xf numFmtId="0" fontId="1" fillId="0" borderId="8" xfId="0" applyFont="1" applyBorder="1" applyAlignment="1" applyProtection="1">
      <alignment horizontal="center" vertical="top" wrapText="1"/>
      <protection locked="0"/>
    </xf>
    <xf numFmtId="0" fontId="1" fillId="0" borderId="5"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2" fillId="0" borderId="8" xfId="0" applyFont="1" applyBorder="1" applyAlignment="1" applyProtection="1">
      <alignment horizontal="center" vertical="top" wrapText="1"/>
      <protection locked="0"/>
    </xf>
    <xf numFmtId="0" fontId="2" fillId="0" borderId="5" xfId="0" applyFont="1" applyBorder="1" applyAlignment="1" applyProtection="1">
      <alignment horizontal="center" vertical="top" wrapText="1"/>
      <protection locked="0"/>
    </xf>
    <xf numFmtId="0" fontId="1" fillId="0" borderId="4" xfId="0" applyFont="1" applyBorder="1" applyAlignment="1" applyProtection="1">
      <alignment horizontal="center" vertical="top"/>
      <protection locked="0"/>
    </xf>
    <xf numFmtId="0" fontId="1" fillId="0" borderId="8" xfId="0" applyFont="1" applyBorder="1" applyAlignment="1" applyProtection="1">
      <alignment horizontal="center" vertical="top"/>
      <protection locked="0"/>
    </xf>
    <xf numFmtId="0" fontId="1" fillId="0" borderId="5" xfId="0" applyFont="1" applyBorder="1" applyAlignment="1" applyProtection="1">
      <alignment horizontal="center" vertical="top"/>
      <protection locked="0"/>
    </xf>
    <xf numFmtId="0" fontId="4" fillId="0" borderId="4" xfId="0" applyFont="1" applyBorder="1" applyAlignment="1" applyProtection="1">
      <alignment horizontal="center" vertical="top" wrapText="1"/>
      <protection hidden="1"/>
    </xf>
    <xf numFmtId="0" fontId="4" fillId="0" borderId="8" xfId="0" applyFont="1" applyBorder="1" applyAlignment="1" applyProtection="1">
      <alignment horizontal="center" vertical="top" wrapText="1"/>
      <protection hidden="1"/>
    </xf>
    <xf numFmtId="0" fontId="4" fillId="0" borderId="5" xfId="0" applyFont="1" applyBorder="1" applyAlignment="1" applyProtection="1">
      <alignment horizontal="center" vertical="top" wrapText="1"/>
      <protection hidden="1"/>
    </xf>
    <xf numFmtId="9" fontId="1" fillId="0" borderId="4" xfId="0" applyNumberFormat="1" applyFont="1" applyBorder="1" applyAlignment="1" applyProtection="1">
      <alignment horizontal="center" vertical="top" wrapText="1"/>
      <protection locked="0"/>
    </xf>
    <xf numFmtId="9" fontId="1" fillId="0" borderId="8" xfId="0" applyNumberFormat="1" applyFont="1" applyBorder="1" applyAlignment="1" applyProtection="1">
      <alignment horizontal="center" vertical="top" wrapText="1"/>
      <protection locked="0"/>
    </xf>
    <xf numFmtId="9" fontId="1" fillId="0" borderId="5" xfId="0" applyNumberFormat="1" applyFont="1" applyBorder="1" applyAlignment="1" applyProtection="1">
      <alignment horizontal="center" vertical="top" wrapText="1"/>
      <protection locked="0"/>
    </xf>
    <xf numFmtId="0" fontId="4" fillId="2" borderId="2" xfId="0" applyFont="1" applyFill="1" applyBorder="1" applyAlignment="1">
      <alignment horizontal="center" vertical="center" wrapText="1"/>
    </xf>
    <xf numFmtId="0" fontId="25" fillId="2" borderId="6" xfId="0" applyFont="1" applyFill="1" applyBorder="1" applyAlignment="1">
      <alignment horizontal="left" vertical="center"/>
    </xf>
    <xf numFmtId="0" fontId="25" fillId="2" borderId="7" xfId="0" applyFont="1" applyFill="1" applyBorder="1" applyAlignment="1">
      <alignment horizontal="left" vertical="center"/>
    </xf>
    <xf numFmtId="0" fontId="27" fillId="2" borderId="4" xfId="0" applyFont="1" applyFill="1" applyBorder="1" applyAlignment="1">
      <alignment horizontal="center" vertical="center" textRotation="90"/>
    </xf>
    <xf numFmtId="0" fontId="27" fillId="2" borderId="5" xfId="0" applyFont="1" applyFill="1" applyBorder="1" applyAlignment="1">
      <alignment horizontal="center" vertical="center" textRotation="90"/>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textRotation="90" wrapText="1"/>
    </xf>
    <xf numFmtId="0" fontId="4" fillId="2" borderId="5" xfId="0" applyFont="1" applyFill="1" applyBorder="1" applyAlignment="1">
      <alignment horizontal="center" vertical="center" textRotation="90" wrapText="1"/>
    </xf>
    <xf numFmtId="0" fontId="8" fillId="3" borderId="6"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left" vertical="center" wrapText="1"/>
      <protection locked="0"/>
    </xf>
    <xf numFmtId="0" fontId="8" fillId="3" borderId="7" xfId="0" applyFont="1" applyFill="1" applyBorder="1" applyAlignment="1" applyProtection="1">
      <alignment horizontal="left" vertical="center" wrapText="1"/>
      <protection locked="0"/>
    </xf>
    <xf numFmtId="0" fontId="4" fillId="2" borderId="2" xfId="0" applyFont="1" applyFill="1" applyBorder="1" applyAlignment="1">
      <alignment horizontal="center" vertical="center" textRotation="90"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9" xfId="0" applyFont="1" applyFill="1" applyBorder="1" applyAlignment="1">
      <alignment horizontal="center" vertical="center" wrapText="1"/>
    </xf>
    <xf numFmtId="14" fontId="74" fillId="0" borderId="81" xfId="0" applyNumberFormat="1" applyFont="1" applyBorder="1" applyAlignment="1" applyProtection="1">
      <alignment horizontal="center" vertical="center" wrapText="1"/>
      <protection locked="0"/>
    </xf>
    <xf numFmtId="14" fontId="74" fillId="0" borderId="85" xfId="0" applyNumberFormat="1" applyFont="1" applyBorder="1" applyAlignment="1" applyProtection="1">
      <alignment horizontal="center" vertical="center" wrapText="1"/>
      <protection locked="0"/>
    </xf>
    <xf numFmtId="14" fontId="74" fillId="0" borderId="34" xfId="0" applyNumberFormat="1" applyFont="1" applyBorder="1" applyAlignment="1" applyProtection="1">
      <alignment horizontal="center" vertical="center" wrapText="1"/>
      <protection locked="0"/>
    </xf>
    <xf numFmtId="164" fontId="74" fillId="0" borderId="33" xfId="1" applyNumberFormat="1" applyFont="1" applyFill="1" applyBorder="1" applyAlignment="1">
      <alignment horizontal="center" vertical="center"/>
    </xf>
    <xf numFmtId="0" fontId="78" fillId="0" borderId="33" xfId="0" applyFont="1" applyBorder="1" applyAlignment="1" applyProtection="1">
      <alignment horizontal="center" vertical="center" textRotation="90" wrapText="1"/>
      <protection hidden="1"/>
    </xf>
    <xf numFmtId="9" fontId="74" fillId="0" borderId="33" xfId="0" applyNumberFormat="1" applyFont="1" applyBorder="1" applyAlignment="1" applyProtection="1">
      <alignment horizontal="center" vertical="center"/>
      <protection hidden="1"/>
    </xf>
    <xf numFmtId="0" fontId="78" fillId="0" borderId="33" xfId="0" applyFont="1" applyBorder="1" applyAlignment="1" applyProtection="1">
      <alignment horizontal="center" vertical="center" textRotation="90"/>
      <protection hidden="1"/>
    </xf>
    <xf numFmtId="0" fontId="74" fillId="0" borderId="33" xfId="0" applyFont="1" applyBorder="1" applyAlignment="1" applyProtection="1">
      <alignment horizontal="center" vertical="center" textRotation="90"/>
      <protection locked="0"/>
    </xf>
    <xf numFmtId="0" fontId="74" fillId="0" borderId="33" xfId="0" applyFont="1" applyBorder="1" applyAlignment="1" applyProtection="1">
      <alignment horizontal="center" vertical="center" wrapText="1"/>
      <protection locked="0"/>
    </xf>
    <xf numFmtId="14" fontId="74" fillId="0" borderId="33" xfId="0" applyNumberFormat="1" applyFont="1" applyBorder="1" applyAlignment="1" applyProtection="1">
      <alignment horizontal="center" vertical="center"/>
      <protection locked="0"/>
    </xf>
    <xf numFmtId="0" fontId="74" fillId="0" borderId="81" xfId="0" applyFont="1" applyBorder="1" applyAlignment="1">
      <alignment horizontal="center" vertical="center"/>
    </xf>
    <xf numFmtId="0" fontId="74" fillId="0" borderId="85" xfId="0" applyFont="1" applyBorder="1" applyAlignment="1">
      <alignment horizontal="center" vertical="center"/>
    </xf>
    <xf numFmtId="0" fontId="48" fillId="30" borderId="81" xfId="0" applyFont="1" applyFill="1" applyBorder="1" applyAlignment="1">
      <alignment horizontal="center" vertical="center" wrapText="1"/>
    </xf>
    <xf numFmtId="0" fontId="48" fillId="30" borderId="85" xfId="0" applyFont="1" applyFill="1" applyBorder="1" applyAlignment="1">
      <alignment horizontal="center" vertical="center" wrapText="1"/>
    </xf>
    <xf numFmtId="0" fontId="48" fillId="30" borderId="34" xfId="0" applyFont="1" applyFill="1" applyBorder="1" applyAlignment="1">
      <alignment horizontal="center" vertical="center" wrapText="1"/>
    </xf>
    <xf numFmtId="0" fontId="74" fillId="0" borderId="33" xfId="0" applyFont="1" applyBorder="1" applyAlignment="1" applyProtection="1">
      <alignment horizontal="center" vertical="center"/>
      <protection hidden="1"/>
    </xf>
    <xf numFmtId="0" fontId="78" fillId="24" borderId="33" xfId="0" applyFont="1" applyFill="1" applyBorder="1" applyAlignment="1">
      <alignment horizontal="center" vertical="center"/>
    </xf>
    <xf numFmtId="0" fontId="79" fillId="0" borderId="33" xfId="0" applyFont="1" applyBorder="1" applyAlignment="1" applyProtection="1">
      <alignment horizontal="center" vertical="center" wrapText="1"/>
      <protection locked="0"/>
    </xf>
    <xf numFmtId="0" fontId="74" fillId="0" borderId="81" xfId="0" applyFont="1" applyBorder="1" applyAlignment="1">
      <alignment horizontal="center" vertical="top"/>
    </xf>
    <xf numFmtId="0" fontId="74" fillId="0" borderId="85" xfId="0" applyFont="1" applyBorder="1" applyAlignment="1">
      <alignment horizontal="center" vertical="top"/>
    </xf>
    <xf numFmtId="0" fontId="74" fillId="0" borderId="34" xfId="0" applyFont="1" applyBorder="1" applyAlignment="1">
      <alignment horizontal="center" vertical="top"/>
    </xf>
    <xf numFmtId="0" fontId="78" fillId="0" borderId="81" xfId="0" applyFont="1" applyBorder="1" applyAlignment="1" applyProtection="1">
      <alignment horizontal="center" vertical="center"/>
      <protection hidden="1"/>
    </xf>
    <xf numFmtId="0" fontId="78" fillId="0" borderId="85" xfId="0" applyFont="1" applyBorder="1" applyAlignment="1" applyProtection="1">
      <alignment horizontal="center" vertical="center"/>
      <protection hidden="1"/>
    </xf>
    <xf numFmtId="0" fontId="78" fillId="0" borderId="34" xfId="0" applyFont="1" applyBorder="1" applyAlignment="1" applyProtection="1">
      <alignment horizontal="center" vertical="center"/>
      <protection hidden="1"/>
    </xf>
    <xf numFmtId="9" fontId="74" fillId="0" borderId="81" xfId="0" applyNumberFormat="1" applyFont="1" applyBorder="1" applyAlignment="1" applyProtection="1">
      <alignment horizontal="center" vertical="center" wrapText="1"/>
      <protection hidden="1"/>
    </xf>
    <xf numFmtId="9" fontId="74" fillId="0" borderId="85" xfId="0" applyNumberFormat="1" applyFont="1" applyBorder="1" applyAlignment="1" applyProtection="1">
      <alignment horizontal="center" vertical="center" wrapText="1"/>
      <protection hidden="1"/>
    </xf>
    <xf numFmtId="9" fontId="74" fillId="0" borderId="34" xfId="0" applyNumberFormat="1" applyFont="1" applyBorder="1" applyAlignment="1" applyProtection="1">
      <alignment horizontal="center" vertical="center" wrapText="1"/>
      <protection hidden="1"/>
    </xf>
    <xf numFmtId="0" fontId="78" fillId="0" borderId="81" xfId="0" applyFont="1" applyBorder="1" applyAlignment="1" applyProtection="1">
      <alignment horizontal="center" vertical="center" wrapText="1"/>
      <protection hidden="1"/>
    </xf>
    <xf numFmtId="0" fontId="78" fillId="0" borderId="85" xfId="0" applyFont="1" applyBorder="1" applyAlignment="1" applyProtection="1">
      <alignment horizontal="center" vertical="center" wrapText="1"/>
      <protection hidden="1"/>
    </xf>
    <xf numFmtId="0" fontId="78" fillId="0" borderId="34" xfId="0" applyFont="1" applyBorder="1" applyAlignment="1" applyProtection="1">
      <alignment horizontal="center" vertical="center" wrapText="1"/>
      <protection hidden="1"/>
    </xf>
    <xf numFmtId="9" fontId="74" fillId="0" borderId="81" xfId="0" applyNumberFormat="1" applyFont="1" applyBorder="1" applyAlignment="1" applyProtection="1">
      <alignment horizontal="center" vertical="center" wrapText="1"/>
      <protection locked="0"/>
    </xf>
    <xf numFmtId="9" fontId="74" fillId="0" borderId="85" xfId="0" applyNumberFormat="1" applyFont="1" applyBorder="1" applyAlignment="1" applyProtection="1">
      <alignment horizontal="center" vertical="center" wrapText="1"/>
      <protection locked="0"/>
    </xf>
    <xf numFmtId="9" fontId="74" fillId="0" borderId="34" xfId="0" applyNumberFormat="1" applyFont="1" applyBorder="1" applyAlignment="1" applyProtection="1">
      <alignment horizontal="center" vertical="center" wrapText="1"/>
      <protection locked="0"/>
    </xf>
    <xf numFmtId="0" fontId="78" fillId="0" borderId="33" xfId="0" applyFont="1" applyBorder="1" applyAlignment="1">
      <alignment horizontal="center" vertical="center" wrapText="1"/>
    </xf>
    <xf numFmtId="0" fontId="75" fillId="27" borderId="39" xfId="0" applyFont="1" applyFill="1" applyBorder="1" applyAlignment="1">
      <alignment horizontal="center" vertical="center"/>
    </xf>
    <xf numFmtId="0" fontId="76" fillId="27" borderId="81" xfId="0" applyFont="1" applyFill="1" applyBorder="1" applyAlignment="1">
      <alignment horizontal="left" vertical="center"/>
    </xf>
    <xf numFmtId="0" fontId="77" fillId="22" borderId="81" xfId="0" applyFont="1" applyFill="1" applyBorder="1" applyAlignment="1" applyProtection="1">
      <alignment horizontal="left" vertical="center" wrapText="1"/>
      <protection locked="0"/>
    </xf>
    <xf numFmtId="0" fontId="73" fillId="27" borderId="33" xfId="0" applyFont="1" applyFill="1" applyBorder="1" applyAlignment="1">
      <alignment horizontal="center" vertical="center" textRotation="90"/>
    </xf>
    <xf numFmtId="0" fontId="78" fillId="24" borderId="75" xfId="0" applyFont="1" applyFill="1" applyBorder="1" applyAlignment="1">
      <alignment horizontal="center" vertical="center"/>
    </xf>
    <xf numFmtId="0" fontId="78" fillId="24" borderId="83" xfId="0" applyFont="1" applyFill="1" applyBorder="1" applyAlignment="1">
      <alignment horizontal="center" vertical="center"/>
    </xf>
    <xf numFmtId="0" fontId="78" fillId="24" borderId="84" xfId="0" applyFont="1" applyFill="1" applyBorder="1" applyAlignment="1">
      <alignment horizontal="center" vertical="center"/>
    </xf>
    <xf numFmtId="0" fontId="74" fillId="0" borderId="81" xfId="0" applyFont="1" applyBorder="1" applyAlignment="1" applyProtection="1">
      <alignment horizontal="center" vertical="center"/>
      <protection locked="0"/>
    </xf>
    <xf numFmtId="0" fontId="74" fillId="0" borderId="85" xfId="0" applyFont="1" applyBorder="1" applyAlignment="1" applyProtection="1">
      <alignment horizontal="center" vertical="center"/>
      <protection locked="0"/>
    </xf>
    <xf numFmtId="0" fontId="74" fillId="0" borderId="34" xfId="0" applyFont="1" applyBorder="1" applyAlignment="1" applyProtection="1">
      <alignment horizontal="center" vertical="center"/>
      <protection locked="0"/>
    </xf>
    <xf numFmtId="0" fontId="74" fillId="0" borderId="81" xfId="0" applyFont="1" applyBorder="1" applyAlignment="1" applyProtection="1">
      <alignment horizontal="center" vertical="center" wrapText="1"/>
      <protection locked="0"/>
    </xf>
    <xf numFmtId="0" fontId="74" fillId="0" borderId="85" xfId="0" applyFont="1" applyBorder="1" applyAlignment="1" applyProtection="1">
      <alignment horizontal="center" vertical="center" wrapText="1"/>
      <protection locked="0"/>
    </xf>
    <xf numFmtId="0" fontId="74" fillId="0" borderId="34" xfId="0" applyFont="1" applyBorder="1" applyAlignment="1" applyProtection="1">
      <alignment horizontal="center" vertical="center" wrapText="1"/>
      <protection locked="0"/>
    </xf>
    <xf numFmtId="0" fontId="74" fillId="13" borderId="33" xfId="0" applyFont="1" applyFill="1" applyBorder="1" applyAlignment="1" applyProtection="1">
      <alignment horizontal="center" vertical="top" wrapText="1"/>
      <protection locked="0"/>
    </xf>
    <xf numFmtId="0" fontId="79" fillId="13" borderId="33" xfId="0" applyFont="1" applyFill="1" applyBorder="1" applyAlignment="1" applyProtection="1">
      <alignment horizontal="center" vertical="top" wrapText="1"/>
      <protection locked="0"/>
    </xf>
    <xf numFmtId="0" fontId="88" fillId="0" borderId="33" xfId="0" applyFont="1" applyBorder="1" applyAlignment="1" applyProtection="1">
      <alignment horizontal="center" vertical="center" wrapText="1"/>
      <protection locked="0"/>
    </xf>
    <xf numFmtId="9" fontId="74" fillId="0" borderId="33" xfId="0" applyNumberFormat="1" applyFont="1" applyBorder="1" applyAlignment="1" applyProtection="1">
      <alignment horizontal="center" vertical="top" wrapText="1"/>
      <protection locked="0"/>
    </xf>
    <xf numFmtId="0" fontId="74" fillId="0" borderId="81" xfId="0" applyFont="1" applyBorder="1" applyAlignment="1" applyProtection="1">
      <alignment horizontal="center" vertical="top" wrapText="1"/>
      <protection locked="0"/>
    </xf>
    <xf numFmtId="0" fontId="74" fillId="0" borderId="34" xfId="0" applyFont="1" applyBorder="1" applyAlignment="1" applyProtection="1">
      <alignment horizontal="center" vertical="top" wrapText="1"/>
      <protection locked="0"/>
    </xf>
    <xf numFmtId="14" fontId="74" fillId="0" borderId="81" xfId="0" applyNumberFormat="1" applyFont="1" applyBorder="1" applyAlignment="1" applyProtection="1">
      <alignment horizontal="center" vertical="top"/>
      <protection locked="0"/>
    </xf>
    <xf numFmtId="14" fontId="74" fillId="0" borderId="34" xfId="0" applyNumberFormat="1" applyFont="1" applyBorder="1" applyAlignment="1" applyProtection="1">
      <alignment horizontal="center" vertical="top"/>
      <protection locked="0"/>
    </xf>
    <xf numFmtId="0" fontId="48" fillId="0" borderId="81" xfId="0" applyFont="1" applyBorder="1" applyAlignment="1" applyProtection="1">
      <alignment horizontal="left" vertical="top" wrapText="1"/>
      <protection locked="0"/>
    </xf>
    <xf numFmtId="0" fontId="48" fillId="0" borderId="34" xfId="0" applyFont="1" applyBorder="1" applyAlignment="1" applyProtection="1">
      <alignment horizontal="left" vertical="top" wrapText="1"/>
      <protection locked="0"/>
    </xf>
    <xf numFmtId="164" fontId="74" fillId="0" borderId="81" xfId="1" applyNumberFormat="1" applyFont="1" applyFill="1" applyBorder="1" applyAlignment="1">
      <alignment horizontal="center" vertical="top"/>
    </xf>
    <xf numFmtId="164" fontId="74" fillId="0" borderId="34" xfId="1" applyNumberFormat="1" applyFont="1" applyFill="1" applyBorder="1" applyAlignment="1">
      <alignment horizontal="center" vertical="top"/>
    </xf>
    <xf numFmtId="0" fontId="79" fillId="0" borderId="33" xfId="0" applyFont="1" applyBorder="1" applyAlignment="1" applyProtection="1">
      <alignment horizontal="center" vertical="top"/>
      <protection locked="0"/>
    </xf>
    <xf numFmtId="9" fontId="85" fillId="0" borderId="33" xfId="0" applyNumberFormat="1" applyFont="1" applyBorder="1" applyAlignment="1" applyProtection="1">
      <alignment horizontal="center" vertical="top" wrapText="1"/>
      <protection locked="0"/>
    </xf>
    <xf numFmtId="0" fontId="85" fillId="0" borderId="33" xfId="0" applyFont="1" applyBorder="1" applyAlignment="1" applyProtection="1">
      <alignment horizontal="center" vertical="top" wrapText="1"/>
      <protection locked="0"/>
    </xf>
    <xf numFmtId="9" fontId="74" fillId="0" borderId="81" xfId="0" applyNumberFormat="1" applyFont="1" applyBorder="1" applyAlignment="1" applyProtection="1">
      <alignment horizontal="center" vertical="top"/>
      <protection hidden="1"/>
    </xf>
    <xf numFmtId="9" fontId="74" fillId="0" borderId="34" xfId="0" applyNumberFormat="1" applyFont="1" applyBorder="1" applyAlignment="1" applyProtection="1">
      <alignment horizontal="center" vertical="top"/>
      <protection hidden="1"/>
    </xf>
    <xf numFmtId="0" fontId="78" fillId="0" borderId="81" xfId="0" applyFont="1" applyBorder="1" applyAlignment="1" applyProtection="1">
      <alignment horizontal="center" vertical="top" textRotation="90" wrapText="1"/>
      <protection hidden="1"/>
    </xf>
    <xf numFmtId="0" fontId="78" fillId="0" borderId="34" xfId="0" applyFont="1" applyBorder="1" applyAlignment="1" applyProtection="1">
      <alignment horizontal="center" vertical="top" textRotation="90" wrapText="1"/>
      <protection hidden="1"/>
    </xf>
    <xf numFmtId="0" fontId="78" fillId="0" borderId="81" xfId="0" applyFont="1" applyBorder="1" applyAlignment="1" applyProtection="1">
      <alignment horizontal="center" vertical="top" textRotation="90"/>
      <protection hidden="1"/>
    </xf>
    <xf numFmtId="0" fontId="78" fillId="0" borderId="34" xfId="0" applyFont="1" applyBorder="1" applyAlignment="1" applyProtection="1">
      <alignment horizontal="center" vertical="top" textRotation="90"/>
      <protection hidden="1"/>
    </xf>
    <xf numFmtId="0" fontId="74" fillId="0" borderId="81" xfId="0" applyFont="1" applyBorder="1" applyAlignment="1" applyProtection="1">
      <alignment horizontal="center" vertical="top"/>
      <protection hidden="1"/>
    </xf>
    <xf numFmtId="0" fontId="74" fillId="0" borderId="34" xfId="0" applyFont="1" applyBorder="1" applyAlignment="1" applyProtection="1">
      <alignment horizontal="center" vertical="top"/>
      <protection hidden="1"/>
    </xf>
    <xf numFmtId="0" fontId="79" fillId="0" borderId="81" xfId="0" applyFont="1" applyBorder="1" applyAlignment="1" applyProtection="1">
      <alignment horizontal="center" vertical="top" textRotation="90"/>
      <protection locked="0"/>
    </xf>
    <xf numFmtId="0" fontId="79" fillId="0" borderId="34" xfId="0" applyFont="1" applyBorder="1" applyAlignment="1" applyProtection="1">
      <alignment horizontal="center" vertical="top" textRotation="90"/>
      <protection locked="0"/>
    </xf>
    <xf numFmtId="0" fontId="74" fillId="0" borderId="81" xfId="0" applyFont="1" applyBorder="1" applyAlignment="1" applyProtection="1">
      <alignment horizontal="center" vertical="top" textRotation="90"/>
      <protection locked="0"/>
    </xf>
    <xf numFmtId="0" fontId="74" fillId="0" borderId="34" xfId="0" applyFont="1" applyBorder="1" applyAlignment="1" applyProtection="1">
      <alignment horizontal="center" vertical="top" textRotation="90"/>
      <protection locked="0"/>
    </xf>
    <xf numFmtId="0" fontId="61" fillId="0" borderId="33" xfId="0" applyFont="1" applyBorder="1" applyAlignment="1" applyProtection="1">
      <alignment horizontal="center"/>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0" fillId="0" borderId="0" xfId="0" applyAlignment="1" applyProtection="1">
      <alignment horizontal="center" wrapText="1"/>
      <protection locked="0"/>
    </xf>
    <xf numFmtId="0" fontId="0" fillId="0" borderId="0" xfId="0" applyAlignment="1" applyProtection="1">
      <alignment horizontal="left" vertical="top" wrapText="1"/>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0" fillId="0" borderId="0" xfId="0" applyAlignment="1" applyProtection="1">
      <alignment horizontal="left" vertical="center" wrapText="1"/>
      <protection locked="0"/>
    </xf>
    <xf numFmtId="0" fontId="0" fillId="0" borderId="0" xfId="0" applyAlignment="1" applyProtection="1">
      <alignment horizontal="left" vertical="center"/>
      <protection locked="0"/>
    </xf>
    <xf numFmtId="0" fontId="61" fillId="0" borderId="0" xfId="0" applyFont="1" applyAlignment="1" applyProtection="1">
      <alignment horizontal="center" wrapText="1"/>
      <protection locked="0"/>
    </xf>
    <xf numFmtId="0" fontId="61" fillId="21" borderId="33" xfId="0" applyFont="1" applyFill="1" applyBorder="1" applyAlignment="1" applyProtection="1">
      <alignment horizontal="center"/>
      <protection locked="0"/>
    </xf>
    <xf numFmtId="0" fontId="61" fillId="0" borderId="0" xfId="0" applyFont="1" applyAlignment="1" applyProtection="1">
      <alignment horizontal="center"/>
      <protection locked="0"/>
    </xf>
    <xf numFmtId="0" fontId="61" fillId="0" borderId="81" xfId="0" applyFont="1" applyBorder="1" applyAlignment="1" applyProtection="1">
      <alignment horizontal="center" vertical="center"/>
      <protection locked="0"/>
    </xf>
    <xf numFmtId="0" fontId="61" fillId="0" borderId="34" xfId="0" applyFont="1" applyBorder="1" applyAlignment="1" applyProtection="1">
      <alignment horizontal="center" vertical="center"/>
      <protection locked="0"/>
    </xf>
    <xf numFmtId="0" fontId="61" fillId="0" borderId="81" xfId="0"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61" fillId="0" borderId="0" xfId="0" applyFont="1" applyAlignment="1" applyProtection="1">
      <alignment horizontal="center" vertical="center"/>
      <protection locked="0"/>
    </xf>
    <xf numFmtId="0" fontId="78" fillId="27" borderId="85" xfId="0" applyFont="1" applyFill="1" applyBorder="1" applyAlignment="1">
      <alignment horizontal="center" vertical="center" wrapText="1"/>
    </xf>
    <xf numFmtId="0" fontId="0" fillId="0" borderId="81" xfId="0" applyBorder="1" applyAlignment="1" applyProtection="1">
      <alignment horizontal="center" vertical="center"/>
      <protection locked="0"/>
    </xf>
    <xf numFmtId="0" fontId="0" fillId="0" borderId="85" xfId="0" applyBorder="1" applyAlignment="1" applyProtection="1">
      <alignment horizontal="center" vertical="center"/>
      <protection locked="0"/>
    </xf>
    <xf numFmtId="9" fontId="78" fillId="0" borderId="81" xfId="0" applyNumberFormat="1" applyFont="1" applyBorder="1" applyAlignment="1">
      <alignment horizontal="center" vertical="center" wrapText="1"/>
    </xf>
    <xf numFmtId="9" fontId="78" fillId="0" borderId="85" xfId="0" applyNumberFormat="1" applyFont="1" applyBorder="1" applyAlignment="1">
      <alignment horizontal="center" vertical="center" wrapText="1"/>
    </xf>
    <xf numFmtId="9" fontId="78" fillId="0" borderId="34" xfId="0" applyNumberFormat="1" applyFont="1" applyBorder="1" applyAlignment="1">
      <alignment horizontal="center" vertical="center" wrapText="1"/>
    </xf>
    <xf numFmtId="9" fontId="61" fillId="0" borderId="81" xfId="1" applyFont="1" applyBorder="1" applyAlignment="1" applyProtection="1">
      <alignment horizontal="center" vertical="center"/>
      <protection locked="0"/>
    </xf>
    <xf numFmtId="9" fontId="61" fillId="0" borderId="85" xfId="1" applyFont="1" applyBorder="1" applyAlignment="1" applyProtection="1">
      <alignment horizontal="center" vertical="center"/>
      <protection locked="0"/>
    </xf>
    <xf numFmtId="9" fontId="61" fillId="0" borderId="34" xfId="1" applyFont="1" applyBorder="1" applyAlignment="1" applyProtection="1">
      <alignment horizontal="center" vertical="center"/>
      <protection locked="0"/>
    </xf>
    <xf numFmtId="0" fontId="78" fillId="27" borderId="81" xfId="0" applyFont="1" applyFill="1" applyBorder="1" applyAlignment="1">
      <alignment horizontal="center" vertical="center" textRotation="90" wrapText="1"/>
    </xf>
    <xf numFmtId="0" fontId="0" fillId="0" borderId="33" xfId="0" applyBorder="1" applyAlignment="1" applyProtection="1">
      <alignment horizontal="center" vertical="center" wrapText="1"/>
      <protection locked="0"/>
    </xf>
    <xf numFmtId="0" fontId="75" fillId="24" borderId="77" xfId="0" applyFont="1" applyFill="1" applyBorder="1" applyAlignment="1">
      <alignment horizontal="center" vertical="center"/>
    </xf>
    <xf numFmtId="0" fontId="75" fillId="24" borderId="0" xfId="0" applyFont="1" applyFill="1" applyAlignment="1">
      <alignment horizontal="center" vertical="center"/>
    </xf>
    <xf numFmtId="0" fontId="61" fillId="27" borderId="33" xfId="0" applyFont="1" applyFill="1" applyBorder="1" applyAlignment="1" applyProtection="1">
      <alignment horizontal="center" vertical="center"/>
      <protection locked="0"/>
    </xf>
    <xf numFmtId="0" fontId="61" fillId="27" borderId="75" xfId="0" applyFont="1" applyFill="1" applyBorder="1" applyAlignment="1" applyProtection="1">
      <alignment horizontal="center" vertical="center"/>
      <protection locked="0"/>
    </xf>
    <xf numFmtId="0" fontId="61" fillId="27" borderId="83" xfId="0" applyFont="1" applyFill="1" applyBorder="1" applyAlignment="1" applyProtection="1">
      <alignment horizontal="center" vertical="center"/>
      <protection locked="0"/>
    </xf>
    <xf numFmtId="0" fontId="61" fillId="27" borderId="84" xfId="0" applyFont="1" applyFill="1" applyBorder="1" applyAlignment="1" applyProtection="1">
      <alignment horizontal="center" vertical="center"/>
      <protection locked="0"/>
    </xf>
    <xf numFmtId="0" fontId="0" fillId="0" borderId="76" xfId="0" applyBorder="1" applyAlignment="1" applyProtection="1">
      <alignment horizontal="center" vertical="center" wrapText="1"/>
      <protection locked="0"/>
    </xf>
    <xf numFmtId="0" fontId="0" fillId="0" borderId="82"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0" fillId="0" borderId="78"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0" xfId="0" applyBorder="1" applyAlignment="1" applyProtection="1">
      <alignment horizontal="center" vertical="center" wrapText="1"/>
      <protection locked="0"/>
    </xf>
    <xf numFmtId="0" fontId="61" fillId="0" borderId="85" xfId="0" applyFont="1" applyBorder="1" applyAlignment="1" applyProtection="1">
      <alignment horizontal="center" vertical="center" wrapText="1"/>
      <protection locked="0"/>
    </xf>
    <xf numFmtId="0" fontId="74" fillId="0" borderId="81" xfId="0" applyFont="1" applyBorder="1" applyAlignment="1">
      <alignment horizontal="center" vertical="center" wrapText="1"/>
    </xf>
    <xf numFmtId="0" fontId="74" fillId="0" borderId="85" xfId="0" applyFont="1" applyBorder="1" applyAlignment="1">
      <alignment horizontal="center" vertical="center" wrapText="1"/>
    </xf>
    <xf numFmtId="0" fontId="74" fillId="0" borderId="34" xfId="0" applyFont="1" applyBorder="1" applyAlignment="1">
      <alignment horizontal="center" vertical="center" wrapText="1"/>
    </xf>
    <xf numFmtId="0" fontId="61" fillId="0" borderId="34" xfId="0" applyFont="1" applyBorder="1" applyAlignment="1" applyProtection="1">
      <alignment horizontal="left" vertical="center" wrapText="1"/>
      <protection locked="0"/>
    </xf>
    <xf numFmtId="0" fontId="0" fillId="0" borderId="34" xfId="0" applyBorder="1" applyAlignment="1" applyProtection="1">
      <alignment horizontal="center" vertical="center"/>
      <protection locked="0"/>
    </xf>
    <xf numFmtId="0" fontId="75" fillId="24" borderId="78" xfId="0" applyFont="1" applyFill="1" applyBorder="1" applyAlignment="1">
      <alignment horizontal="center" vertical="center"/>
    </xf>
    <xf numFmtId="0" fontId="16" fillId="0" borderId="33" xfId="4" applyFont="1" applyBorder="1" applyAlignment="1">
      <alignment horizontal="center" vertical="top" wrapText="1"/>
    </xf>
    <xf numFmtId="0" fontId="76" fillId="27" borderId="44" xfId="0" applyFont="1" applyFill="1" applyBorder="1" applyAlignment="1">
      <alignment horizontal="center" vertical="center"/>
    </xf>
    <xf numFmtId="0" fontId="76" fillId="27" borderId="45" xfId="0" applyFont="1" applyFill="1" applyBorder="1" applyAlignment="1">
      <alignment horizontal="center" vertical="center"/>
    </xf>
    <xf numFmtId="0" fontId="76" fillId="27" borderId="104" xfId="0" applyFont="1" applyFill="1" applyBorder="1" applyAlignment="1">
      <alignment horizontal="center" vertical="center"/>
    </xf>
    <xf numFmtId="0" fontId="76" fillId="27" borderId="46" xfId="0" applyFont="1" applyFill="1" applyBorder="1" applyAlignment="1">
      <alignment horizontal="center" vertical="center"/>
    </xf>
    <xf numFmtId="0" fontId="77" fillId="22" borderId="35" xfId="0" applyFont="1" applyFill="1" applyBorder="1" applyAlignment="1" applyProtection="1">
      <alignment horizontal="left" vertical="center"/>
      <protection locked="0"/>
    </xf>
    <xf numFmtId="0" fontId="77" fillId="22" borderId="36" xfId="0" applyFont="1" applyFill="1" applyBorder="1" applyAlignment="1" applyProtection="1">
      <alignment horizontal="left" vertical="center"/>
      <protection locked="0"/>
    </xf>
    <xf numFmtId="0" fontId="77" fillId="22" borderId="47" xfId="0" applyFont="1" applyFill="1" applyBorder="1" applyAlignment="1" applyProtection="1">
      <alignment horizontal="left" vertical="center"/>
      <protection locked="0"/>
    </xf>
    <xf numFmtId="0" fontId="74" fillId="3" borderId="80" xfId="0" applyFont="1" applyFill="1" applyBorder="1" applyAlignment="1">
      <alignment horizontal="left" vertical="center"/>
    </xf>
    <xf numFmtId="0" fontId="74" fillId="3" borderId="34" xfId="0" applyFont="1" applyFill="1" applyBorder="1" applyAlignment="1">
      <alignment horizontal="left" vertical="center"/>
    </xf>
    <xf numFmtId="0" fontId="0" fillId="0" borderId="76" xfId="0" applyBorder="1" applyAlignment="1" applyProtection="1">
      <alignment horizontal="center" vertical="top" wrapText="1"/>
      <protection locked="0"/>
    </xf>
    <xf numFmtId="0" fontId="0" fillId="0" borderId="82" xfId="0" applyBorder="1" applyAlignment="1" applyProtection="1">
      <alignment horizontal="center" vertical="top" wrapText="1"/>
      <protection locked="0"/>
    </xf>
    <xf numFmtId="0" fontId="0" fillId="0" borderId="86" xfId="0" applyBorder="1" applyAlignment="1" applyProtection="1">
      <alignment horizontal="center" vertical="top" wrapText="1"/>
      <protection locked="0"/>
    </xf>
    <xf numFmtId="0" fontId="0" fillId="0" borderId="80" xfId="0" applyBorder="1" applyAlignment="1" applyProtection="1">
      <alignment horizontal="center" vertical="top" wrapText="1"/>
      <protection locked="0"/>
    </xf>
    <xf numFmtId="0" fontId="0" fillId="0" borderId="76" xfId="0" applyBorder="1" applyAlignment="1" applyProtection="1">
      <alignment horizontal="center" vertical="top"/>
      <protection locked="0"/>
    </xf>
    <xf numFmtId="0" fontId="0" fillId="0" borderId="82" xfId="0" applyBorder="1" applyAlignment="1" applyProtection="1">
      <alignment horizontal="center" vertical="top"/>
      <protection locked="0"/>
    </xf>
    <xf numFmtId="0" fontId="0" fillId="0" borderId="86" xfId="0" applyBorder="1" applyAlignment="1" applyProtection="1">
      <alignment horizontal="center" vertical="top"/>
      <protection locked="0"/>
    </xf>
    <xf numFmtId="0" fontId="0" fillId="0" borderId="80" xfId="0" applyBorder="1" applyAlignment="1" applyProtection="1">
      <alignment horizontal="center" vertical="top"/>
      <protection locked="0"/>
    </xf>
    <xf numFmtId="0" fontId="0" fillId="0" borderId="82"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0" borderId="81"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81" xfId="0" applyBorder="1" applyAlignment="1" applyProtection="1">
      <alignment horizontal="center" vertical="top" wrapText="1"/>
      <protection locked="0"/>
    </xf>
    <xf numFmtId="0" fontId="0" fillId="0" borderId="34" xfId="0" applyBorder="1" applyAlignment="1" applyProtection="1">
      <alignment horizontal="center" vertical="top" wrapText="1"/>
      <protection locked="0"/>
    </xf>
    <xf numFmtId="0" fontId="61" fillId="21" borderId="75" xfId="0" applyFont="1" applyFill="1" applyBorder="1" applyAlignment="1" applyProtection="1">
      <alignment horizontal="center"/>
      <protection locked="0"/>
    </xf>
    <xf numFmtId="0" fontId="28" fillId="0" borderId="81" xfId="0" applyFont="1" applyBorder="1" applyAlignment="1" applyProtection="1">
      <alignment horizontal="center" vertical="top" wrapText="1"/>
      <protection locked="0"/>
    </xf>
    <xf numFmtId="0" fontId="28" fillId="0" borderId="34" xfId="0" applyFont="1" applyBorder="1" applyAlignment="1" applyProtection="1">
      <alignment horizontal="center" vertical="top" wrapText="1"/>
      <protection locked="0"/>
    </xf>
    <xf numFmtId="0" fontId="85" fillId="0" borderId="81" xfId="0" applyFont="1" applyBorder="1" applyAlignment="1">
      <alignment horizontal="center" vertical="center" wrapText="1"/>
    </xf>
    <xf numFmtId="0" fontId="85" fillId="0" borderId="34" xfId="0" applyFont="1" applyBorder="1" applyAlignment="1">
      <alignment horizontal="center" vertical="center" wrapText="1"/>
    </xf>
    <xf numFmtId="0" fontId="80" fillId="0" borderId="33" xfId="0" applyFont="1" applyBorder="1" applyAlignment="1" applyProtection="1">
      <alignment horizontal="center" vertical="top" wrapText="1"/>
      <protection locked="0"/>
    </xf>
    <xf numFmtId="0" fontId="0" fillId="0" borderId="33" xfId="0" applyBorder="1" applyAlignment="1" applyProtection="1">
      <alignment horizontal="center" vertical="top" wrapText="1"/>
      <protection locked="0"/>
    </xf>
    <xf numFmtId="0" fontId="0" fillId="0" borderId="75" xfId="0" applyBorder="1" applyAlignment="1" applyProtection="1">
      <alignment horizontal="center" vertical="top" wrapText="1"/>
      <protection locked="0"/>
    </xf>
    <xf numFmtId="0" fontId="0" fillId="0" borderId="84" xfId="0" applyBorder="1" applyAlignment="1" applyProtection="1">
      <alignment horizontal="center" vertical="top" wrapText="1"/>
      <protection locked="0"/>
    </xf>
    <xf numFmtId="0" fontId="61" fillId="27" borderId="81" xfId="0" applyFont="1" applyFill="1" applyBorder="1" applyAlignment="1" applyProtection="1">
      <alignment horizontal="center" vertical="center"/>
      <protection locked="0"/>
    </xf>
    <xf numFmtId="0" fontId="61" fillId="27" borderId="34" xfId="0" applyFont="1" applyFill="1" applyBorder="1" applyAlignment="1" applyProtection="1">
      <alignment horizontal="center" vertical="center"/>
      <protection locked="0"/>
    </xf>
    <xf numFmtId="0" fontId="61" fillId="27" borderId="81" xfId="0" applyFont="1" applyFill="1" applyBorder="1" applyAlignment="1" applyProtection="1">
      <alignment horizontal="center" vertical="center" wrapText="1"/>
      <protection locked="0"/>
    </xf>
    <xf numFmtId="0" fontId="61" fillId="27" borderId="34" xfId="0" applyFont="1" applyFill="1" applyBorder="1" applyAlignment="1" applyProtection="1">
      <alignment horizontal="center" vertical="center" wrapText="1"/>
      <protection locked="0"/>
    </xf>
    <xf numFmtId="0" fontId="77" fillId="22" borderId="81" xfId="0" applyFont="1" applyFill="1" applyBorder="1" applyAlignment="1" applyProtection="1">
      <alignment horizontal="left" vertical="center"/>
      <protection locked="0"/>
    </xf>
    <xf numFmtId="0" fontId="0" fillId="3" borderId="12" xfId="0" applyFill="1" applyBorder="1" applyAlignment="1">
      <alignment horizontal="center" vertical="center"/>
    </xf>
    <xf numFmtId="0" fontId="0" fillId="3" borderId="19" xfId="0" applyFill="1" applyBorder="1" applyAlignment="1">
      <alignment horizontal="center" vertical="center"/>
    </xf>
    <xf numFmtId="0" fontId="0" fillId="3" borderId="16" xfId="0" applyFill="1" applyBorder="1" applyAlignment="1">
      <alignment horizontal="center" vertical="center"/>
    </xf>
    <xf numFmtId="0" fontId="0" fillId="3" borderId="18" xfId="0" applyFill="1" applyBorder="1" applyAlignment="1">
      <alignment horizontal="center" vertical="center"/>
    </xf>
    <xf numFmtId="0" fontId="48" fillId="3" borderId="44" xfId="0" applyFont="1" applyFill="1" applyBorder="1" applyAlignment="1">
      <alignment horizontal="center" vertical="center"/>
    </xf>
    <xf numFmtId="0" fontId="48" fillId="3" borderId="45" xfId="0" applyFont="1" applyFill="1" applyBorder="1" applyAlignment="1">
      <alignment horizontal="center" vertical="center"/>
    </xf>
    <xf numFmtId="0" fontId="48" fillId="3" borderId="46" xfId="0" applyFont="1" applyFill="1" applyBorder="1" applyAlignment="1">
      <alignment horizontal="center" vertical="center"/>
    </xf>
    <xf numFmtId="0" fontId="48" fillId="3" borderId="16"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62" fillId="17" borderId="35" xfId="0" applyFont="1" applyFill="1" applyBorder="1" applyAlignment="1">
      <alignment horizontal="center" vertical="center"/>
    </xf>
    <xf numFmtId="0" fontId="62" fillId="17" borderId="36" xfId="0" applyFont="1" applyFill="1" applyBorder="1" applyAlignment="1">
      <alignment horizontal="center" vertical="center"/>
    </xf>
    <xf numFmtId="0" fontId="48" fillId="3" borderId="45" xfId="0" applyFont="1" applyFill="1" applyBorder="1" applyAlignment="1">
      <alignment horizontal="center" vertical="center" wrapText="1"/>
    </xf>
    <xf numFmtId="0" fontId="48" fillId="3" borderId="46" xfId="0" applyFont="1" applyFill="1" applyBorder="1" applyAlignment="1">
      <alignment horizontal="center" vertical="center" wrapText="1"/>
    </xf>
    <xf numFmtId="0" fontId="62" fillId="17" borderId="47" xfId="0" applyFont="1" applyFill="1" applyBorder="1" applyAlignment="1">
      <alignment horizontal="center" vertical="center"/>
    </xf>
    <xf numFmtId="0" fontId="48" fillId="3" borderId="35" xfId="0" applyFont="1" applyFill="1" applyBorder="1" applyAlignment="1">
      <alignment horizontal="center" vertical="center" wrapText="1"/>
    </xf>
    <xf numFmtId="0" fontId="48" fillId="3" borderId="36" xfId="0" applyFont="1" applyFill="1" applyBorder="1" applyAlignment="1">
      <alignment horizontal="center" vertical="center" wrapText="1"/>
    </xf>
    <xf numFmtId="0" fontId="48" fillId="3" borderId="47" xfId="0" applyFont="1" applyFill="1" applyBorder="1" applyAlignment="1">
      <alignment horizontal="center" vertical="center" wrapText="1"/>
    </xf>
    <xf numFmtId="0" fontId="76" fillId="27" borderId="44" xfId="0" applyFont="1" applyFill="1" applyBorder="1" applyAlignment="1">
      <alignment horizontal="left" vertical="center"/>
    </xf>
    <xf numFmtId="0" fontId="76" fillId="27" borderId="46" xfId="0" applyFont="1" applyFill="1" applyBorder="1" applyAlignment="1">
      <alignment horizontal="left" vertical="center"/>
    </xf>
    <xf numFmtId="0" fontId="75" fillId="27" borderId="12" xfId="0" applyFont="1" applyFill="1" applyBorder="1" applyAlignment="1">
      <alignment horizontal="center" vertical="center"/>
    </xf>
    <xf numFmtId="0" fontId="75" fillId="27" borderId="19" xfId="0" applyFont="1" applyFill="1" applyBorder="1" applyAlignment="1">
      <alignment horizontal="center" vertical="center"/>
    </xf>
    <xf numFmtId="0" fontId="75" fillId="27" borderId="101" xfId="0" applyFont="1" applyFill="1" applyBorder="1" applyAlignment="1">
      <alignment horizontal="center" vertical="center"/>
    </xf>
    <xf numFmtId="0" fontId="75" fillId="27" borderId="16" xfId="0" applyFont="1" applyFill="1" applyBorder="1" applyAlignment="1">
      <alignment horizontal="center" vertical="center"/>
    </xf>
    <xf numFmtId="0" fontId="75" fillId="27" borderId="18" xfId="0" applyFont="1" applyFill="1" applyBorder="1" applyAlignment="1">
      <alignment horizontal="center" vertical="center"/>
    </xf>
    <xf numFmtId="0" fontId="75" fillId="27" borderId="102" xfId="0" applyFont="1" applyFill="1" applyBorder="1" applyAlignment="1">
      <alignment horizontal="center" vertical="center"/>
    </xf>
    <xf numFmtId="0" fontId="77" fillId="22" borderId="16" xfId="0" applyFont="1" applyFill="1" applyBorder="1" applyAlignment="1" applyProtection="1">
      <alignment horizontal="left" vertical="center"/>
      <protection locked="0"/>
    </xf>
    <xf numFmtId="0" fontId="77" fillId="22" borderId="18" xfId="0" applyFont="1" applyFill="1" applyBorder="1" applyAlignment="1" applyProtection="1">
      <alignment horizontal="left" vertical="center"/>
      <protection locked="0"/>
    </xf>
    <xf numFmtId="0" fontId="77" fillId="22" borderId="17" xfId="0" applyFont="1" applyFill="1" applyBorder="1" applyAlignment="1" applyProtection="1">
      <alignment horizontal="left" vertical="center"/>
      <protection locked="0"/>
    </xf>
    <xf numFmtId="0" fontId="61" fillId="27" borderId="33" xfId="0" applyFont="1" applyFill="1" applyBorder="1" applyAlignment="1" applyProtection="1">
      <alignment horizontal="center"/>
      <protection locked="0"/>
    </xf>
    <xf numFmtId="0" fontId="61" fillId="18" borderId="33" xfId="0" applyFont="1" applyFill="1" applyBorder="1" applyAlignment="1" applyProtection="1">
      <alignment horizontal="center"/>
      <protection locked="0"/>
    </xf>
    <xf numFmtId="0" fontId="61" fillId="19" borderId="33" xfId="0" applyFont="1" applyFill="1"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85" xfId="0" applyBorder="1" applyAlignment="1" applyProtection="1">
      <alignment horizontal="center" vertical="center" wrapText="1"/>
      <protection locked="0"/>
    </xf>
    <xf numFmtId="0" fontId="0" fillId="0" borderId="52"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78" xfId="0"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0" fillId="0" borderId="75" xfId="0" applyBorder="1" applyAlignment="1" applyProtection="1">
      <alignment horizontal="left" vertical="center" wrapText="1"/>
      <protection locked="0"/>
    </xf>
    <xf numFmtId="0" fontId="0" fillId="0" borderId="83" xfId="0" applyBorder="1"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33" xfId="0" applyBorder="1" applyAlignment="1" applyProtection="1">
      <alignment horizontal="left" vertical="center"/>
      <protection locked="0"/>
    </xf>
    <xf numFmtId="0" fontId="0" fillId="0" borderId="33" xfId="0" applyBorder="1" applyAlignment="1" applyProtection="1">
      <alignment horizontal="left" vertical="center" wrapText="1"/>
      <protection locked="0"/>
    </xf>
    <xf numFmtId="0" fontId="0" fillId="0" borderId="85" xfId="0" applyBorder="1" applyAlignment="1" applyProtection="1">
      <alignment horizontal="center" vertical="top" wrapText="1"/>
      <protection locked="0"/>
    </xf>
    <xf numFmtId="0" fontId="61" fillId="16" borderId="77" xfId="0" applyFont="1" applyFill="1" applyBorder="1" applyAlignment="1" applyProtection="1">
      <alignment horizontal="center"/>
      <protection locked="0"/>
    </xf>
    <xf numFmtId="0" fontId="61" fillId="16" borderId="0" xfId="0" applyFont="1" applyFill="1" applyAlignment="1" applyProtection="1">
      <alignment horizontal="center"/>
      <protection locked="0"/>
    </xf>
    <xf numFmtId="0" fontId="61" fillId="2" borderId="33" xfId="0" applyFont="1" applyFill="1" applyBorder="1" applyAlignment="1" applyProtection="1">
      <alignment horizontal="center" vertical="center"/>
      <protection locked="0"/>
    </xf>
    <xf numFmtId="0" fontId="61" fillId="14" borderId="75" xfId="0" applyFont="1" applyFill="1" applyBorder="1" applyAlignment="1" applyProtection="1">
      <alignment horizontal="center" vertical="center"/>
      <protection locked="0"/>
    </xf>
    <xf numFmtId="0" fontId="61" fillId="14" borderId="83" xfId="0" applyFont="1" applyFill="1" applyBorder="1" applyAlignment="1" applyProtection="1">
      <alignment horizontal="center" vertical="center"/>
      <protection locked="0"/>
    </xf>
    <xf numFmtId="0" fontId="61" fillId="14" borderId="84" xfId="0" applyFont="1" applyFill="1" applyBorder="1" applyAlignment="1" applyProtection="1">
      <alignment horizontal="center" vertical="center"/>
      <protection locked="0"/>
    </xf>
    <xf numFmtId="0" fontId="61" fillId="2" borderId="76" xfId="0" applyFont="1" applyFill="1" applyBorder="1" applyAlignment="1" applyProtection="1">
      <alignment horizontal="center" vertical="center"/>
      <protection locked="0"/>
    </xf>
    <xf numFmtId="0" fontId="61" fillId="2" borderId="52" xfId="0" applyFont="1" applyFill="1" applyBorder="1" applyAlignment="1" applyProtection="1">
      <alignment horizontal="center" vertical="center"/>
      <protection locked="0"/>
    </xf>
    <xf numFmtId="0" fontId="61" fillId="2" borderId="82" xfId="0" applyFont="1" applyFill="1" applyBorder="1" applyAlignment="1" applyProtection="1">
      <alignment horizontal="center" vertical="center"/>
      <protection locked="0"/>
    </xf>
    <xf numFmtId="0" fontId="61" fillId="2" borderId="86" xfId="0" applyFont="1" applyFill="1" applyBorder="1" applyAlignment="1" applyProtection="1">
      <alignment horizontal="center" vertical="center"/>
      <protection locked="0"/>
    </xf>
    <xf numFmtId="0" fontId="61" fillId="2" borderId="69" xfId="0" applyFont="1" applyFill="1" applyBorder="1" applyAlignment="1" applyProtection="1">
      <alignment horizontal="center" vertical="center"/>
      <protection locked="0"/>
    </xf>
    <xf numFmtId="0" fontId="61" fillId="2" borderId="80" xfId="0" applyFont="1" applyFill="1" applyBorder="1" applyAlignment="1" applyProtection="1">
      <alignment horizontal="center" vertical="center"/>
      <protection locked="0"/>
    </xf>
    <xf numFmtId="0" fontId="61" fillId="16" borderId="33" xfId="0" applyFont="1" applyFill="1" applyBorder="1" applyAlignment="1" applyProtection="1">
      <alignment horizontal="center"/>
      <protection locked="0"/>
    </xf>
    <xf numFmtId="0" fontId="61" fillId="2" borderId="84" xfId="0" applyFont="1" applyFill="1" applyBorder="1" applyAlignment="1" applyProtection="1">
      <alignment horizontal="center" vertical="center"/>
      <protection locked="0"/>
    </xf>
    <xf numFmtId="0" fontId="61" fillId="2" borderId="33" xfId="0" applyFont="1" applyFill="1" applyBorder="1" applyAlignment="1" applyProtection="1">
      <alignment horizontal="center" wrapText="1"/>
      <protection locked="0"/>
    </xf>
    <xf numFmtId="0" fontId="61" fillId="2" borderId="75" xfId="0" applyFont="1" applyFill="1" applyBorder="1" applyAlignment="1" applyProtection="1">
      <alignment horizontal="center" wrapText="1"/>
      <protection locked="0"/>
    </xf>
    <xf numFmtId="0" fontId="61" fillId="2" borderId="83" xfId="0" applyFont="1" applyFill="1" applyBorder="1" applyAlignment="1" applyProtection="1">
      <alignment horizontal="center" wrapText="1"/>
      <protection locked="0"/>
    </xf>
    <xf numFmtId="0" fontId="61" fillId="2" borderId="84" xfId="0" applyFont="1" applyFill="1" applyBorder="1" applyAlignment="1" applyProtection="1">
      <alignment horizontal="center" wrapText="1"/>
      <protection locked="0"/>
    </xf>
    <xf numFmtId="0" fontId="61" fillId="2" borderId="33" xfId="0" applyFont="1" applyFill="1" applyBorder="1" applyAlignment="1" applyProtection="1">
      <alignment horizontal="center" vertical="center" wrapText="1"/>
      <protection locked="0"/>
    </xf>
    <xf numFmtId="0" fontId="61" fillId="0" borderId="33" xfId="0" applyFont="1" applyBorder="1" applyAlignment="1" applyProtection="1">
      <alignment horizontal="center" vertical="center" wrapText="1"/>
      <protection locked="0"/>
    </xf>
    <xf numFmtId="0" fontId="0" fillId="0" borderId="81" xfId="0" applyBorder="1" applyAlignment="1" applyProtection="1">
      <alignment horizontal="left" vertical="center" wrapText="1"/>
      <protection locked="0"/>
    </xf>
    <xf numFmtId="0" fontId="0" fillId="0" borderId="85"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20" borderId="33" xfId="0" applyFill="1" applyBorder="1" applyAlignment="1">
      <alignment horizontal="center" vertical="center"/>
    </xf>
    <xf numFmtId="0" fontId="61" fillId="2" borderId="76" xfId="0" applyFont="1" applyFill="1" applyBorder="1" applyAlignment="1" applyProtection="1">
      <alignment horizontal="center" vertical="center" wrapText="1"/>
      <protection locked="0"/>
    </xf>
    <xf numFmtId="0" fontId="61" fillId="2" borderId="82" xfId="0" applyFont="1" applyFill="1" applyBorder="1" applyAlignment="1" applyProtection="1">
      <alignment horizontal="center" vertical="center" wrapText="1"/>
      <protection locked="0"/>
    </xf>
    <xf numFmtId="0" fontId="61" fillId="2" borderId="86" xfId="0" applyFont="1" applyFill="1" applyBorder="1" applyAlignment="1" applyProtection="1">
      <alignment horizontal="center" vertical="center" wrapText="1"/>
      <protection locked="0"/>
    </xf>
    <xf numFmtId="0" fontId="61" fillId="2" borderId="80" xfId="0" applyFont="1" applyFill="1" applyBorder="1" applyAlignment="1" applyProtection="1">
      <alignment horizontal="center" vertical="center" wrapText="1"/>
      <protection locked="0"/>
    </xf>
    <xf numFmtId="0" fontId="61" fillId="0" borderId="76" xfId="0" applyFont="1" applyBorder="1" applyAlignment="1" applyProtection="1">
      <alignment horizontal="center"/>
      <protection locked="0"/>
    </xf>
    <xf numFmtId="0" fontId="61" fillId="0" borderId="82" xfId="0" applyFont="1" applyBorder="1" applyAlignment="1" applyProtection="1">
      <alignment horizontal="center"/>
      <protection locked="0"/>
    </xf>
    <xf numFmtId="0" fontId="0" fillId="0" borderId="76" xfId="0" applyBorder="1" applyAlignment="1" applyProtection="1">
      <alignment horizontal="center" vertical="center"/>
      <protection locked="0"/>
    </xf>
    <xf numFmtId="0" fontId="0" fillId="20" borderId="81" xfId="0" applyFill="1" applyBorder="1" applyAlignment="1">
      <alignment horizontal="center" vertical="center"/>
    </xf>
    <xf numFmtId="0" fontId="0" fillId="20" borderId="85" xfId="0" applyFill="1" applyBorder="1" applyAlignment="1">
      <alignment horizontal="center" vertical="center"/>
    </xf>
    <xf numFmtId="0" fontId="0" fillId="20" borderId="34" xfId="0" applyFill="1" applyBorder="1" applyAlignment="1">
      <alignment horizontal="center" vertical="center"/>
    </xf>
    <xf numFmtId="0" fontId="61" fillId="21" borderId="0" xfId="0" applyFont="1" applyFill="1" applyAlignment="1" applyProtection="1">
      <alignment horizontal="center" wrapText="1"/>
      <protection locked="0"/>
    </xf>
    <xf numFmtId="0" fontId="61" fillId="21" borderId="69" xfId="0" applyFont="1" applyFill="1" applyBorder="1" applyAlignment="1" applyProtection="1">
      <alignment horizontal="center" wrapText="1"/>
      <protection locked="0"/>
    </xf>
    <xf numFmtId="0" fontId="61" fillId="21" borderId="83" xfId="0" applyFont="1" applyFill="1" applyBorder="1" applyAlignment="1" applyProtection="1">
      <alignment horizontal="center"/>
      <protection locked="0"/>
    </xf>
    <xf numFmtId="0" fontId="61" fillId="21" borderId="84" xfId="0" applyFont="1" applyFill="1" applyBorder="1" applyAlignment="1" applyProtection="1">
      <alignment horizontal="center"/>
      <protection locked="0"/>
    </xf>
    <xf numFmtId="0" fontId="0" fillId="0" borderId="81" xfId="0" applyBorder="1" applyAlignment="1" applyProtection="1">
      <alignment horizontal="left" vertical="center"/>
      <protection locked="0"/>
    </xf>
    <xf numFmtId="0" fontId="0" fillId="0" borderId="85"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81" xfId="0" applyBorder="1" applyAlignment="1" applyProtection="1">
      <alignment horizontal="left" vertical="top" wrapText="1"/>
      <protection locked="0"/>
    </xf>
    <xf numFmtId="0" fontId="0" fillId="0" borderId="85"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0" fillId="0" borderId="33" xfId="0" applyBorder="1" applyAlignment="1" applyProtection="1">
      <alignment horizontal="left" vertical="top" wrapText="1"/>
      <protection locked="0"/>
    </xf>
    <xf numFmtId="0" fontId="5" fillId="0" borderId="5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0" fillId="20" borderId="75" xfId="0" applyFill="1" applyBorder="1" applyAlignment="1">
      <alignment horizontal="center"/>
    </xf>
    <xf numFmtId="0" fontId="0" fillId="20" borderId="83" xfId="0" applyFill="1" applyBorder="1" applyAlignment="1">
      <alignment horizontal="center"/>
    </xf>
    <xf numFmtId="0" fontId="0" fillId="20" borderId="84" xfId="0" applyFill="1" applyBorder="1" applyAlignment="1">
      <alignment horizontal="center"/>
    </xf>
    <xf numFmtId="0" fontId="73" fillId="0" borderId="86"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protection locked="0"/>
    </xf>
    <xf numFmtId="0" fontId="73" fillId="0" borderId="69" xfId="0" applyFont="1" applyBorder="1" applyAlignment="1" applyProtection="1">
      <alignment horizontal="center" vertical="center"/>
      <protection locked="0"/>
    </xf>
    <xf numFmtId="0" fontId="73" fillId="0" borderId="34" xfId="0" applyFont="1" applyBorder="1" applyAlignment="1" applyProtection="1">
      <alignment horizontal="center" vertical="center"/>
      <protection locked="0"/>
    </xf>
    <xf numFmtId="0" fontId="0" fillId="0" borderId="38" xfId="0" applyBorder="1" applyAlignment="1">
      <alignment horizontal="center"/>
    </xf>
    <xf numFmtId="0" fontId="0" fillId="0" borderId="97" xfId="0" applyBorder="1" applyAlignment="1">
      <alignment horizontal="center"/>
    </xf>
    <xf numFmtId="0" fontId="0" fillId="0" borderId="88"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75" xfId="0" applyBorder="1" applyAlignment="1">
      <alignment horizontal="center"/>
    </xf>
    <xf numFmtId="0" fontId="0" fillId="0" borderId="84" xfId="0" applyBorder="1" applyAlignment="1">
      <alignment horizontal="center"/>
    </xf>
    <xf numFmtId="0" fontId="75" fillId="27" borderId="13" xfId="0" applyFont="1" applyFill="1" applyBorder="1" applyAlignment="1">
      <alignment horizontal="center" vertical="center"/>
    </xf>
    <xf numFmtId="0" fontId="75" fillId="27" borderId="17" xfId="0" applyFont="1" applyFill="1" applyBorder="1" applyAlignment="1">
      <alignment horizontal="center" vertical="center"/>
    </xf>
    <xf numFmtId="0" fontId="72" fillId="19" borderId="35" xfId="0" applyFont="1" applyFill="1" applyBorder="1" applyAlignment="1" applyProtection="1">
      <alignment horizontal="center" vertical="center"/>
      <protection locked="0"/>
    </xf>
    <xf numFmtId="0" fontId="72" fillId="19" borderId="36" xfId="0" applyFont="1" applyFill="1" applyBorder="1" applyAlignment="1" applyProtection="1">
      <alignment horizontal="center" vertical="center"/>
      <protection locked="0"/>
    </xf>
    <xf numFmtId="0" fontId="72" fillId="19" borderId="47" xfId="0" applyFont="1" applyFill="1" applyBorder="1" applyAlignment="1" applyProtection="1">
      <alignment horizontal="center" vertical="center"/>
      <protection locked="0"/>
    </xf>
    <xf numFmtId="0" fontId="73" fillId="0" borderId="43" xfId="0" applyFont="1" applyBorder="1" applyAlignment="1" applyProtection="1">
      <alignment horizontal="center" vertical="center"/>
      <protection locked="0"/>
    </xf>
    <xf numFmtId="0" fontId="61" fillId="0" borderId="12" xfId="0" applyFont="1" applyBorder="1" applyAlignment="1">
      <alignment horizontal="center"/>
    </xf>
    <xf numFmtId="0" fontId="61" fillId="0" borderId="13" xfId="0" applyFont="1" applyBorder="1" applyAlignment="1">
      <alignment horizontal="center"/>
    </xf>
    <xf numFmtId="0" fontId="74" fillId="0" borderId="35" xfId="0" applyFont="1" applyBorder="1" applyAlignment="1">
      <alignment horizontal="center"/>
    </xf>
    <xf numFmtId="0" fontId="74" fillId="0" borderId="36" xfId="0" applyFont="1" applyBorder="1" applyAlignment="1">
      <alignment horizontal="center"/>
    </xf>
    <xf numFmtId="0" fontId="74" fillId="0" borderId="47" xfId="0" applyFont="1" applyBorder="1" applyAlignment="1">
      <alignment horizontal="center"/>
    </xf>
    <xf numFmtId="0" fontId="44" fillId="24" borderId="35" xfId="0" applyFont="1" applyFill="1" applyBorder="1" applyAlignment="1">
      <alignment horizontal="center"/>
    </xf>
    <xf numFmtId="0" fontId="44" fillId="24" borderId="36" xfId="0" applyFont="1" applyFill="1" applyBorder="1" applyAlignment="1">
      <alignment horizontal="center"/>
    </xf>
    <xf numFmtId="0" fontId="44" fillId="24" borderId="47"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47" xfId="0" applyBorder="1" applyAlignment="1">
      <alignment horizontal="center"/>
    </xf>
    <xf numFmtId="0" fontId="44" fillId="24" borderId="12" xfId="0" applyFont="1" applyFill="1" applyBorder="1" applyAlignment="1">
      <alignment horizontal="center"/>
    </xf>
    <xf numFmtId="0" fontId="44" fillId="24" borderId="19" xfId="0" applyFont="1" applyFill="1" applyBorder="1" applyAlignment="1">
      <alignment horizontal="center"/>
    </xf>
    <xf numFmtId="0" fontId="44" fillId="24" borderId="13" xfId="0" applyFont="1" applyFill="1" applyBorder="1" applyAlignment="1">
      <alignment horizontal="center"/>
    </xf>
    <xf numFmtId="0" fontId="61" fillId="0" borderId="44" xfId="0" applyFont="1" applyBorder="1" applyAlignment="1">
      <alignment horizontal="center" vertical="top" wrapText="1"/>
    </xf>
    <xf numFmtId="0" fontId="61" fillId="0" borderId="45" xfId="0" applyFont="1" applyBorder="1" applyAlignment="1">
      <alignment horizontal="center" vertical="top" wrapText="1"/>
    </xf>
    <xf numFmtId="0" fontId="61" fillId="0" borderId="46" xfId="0" applyFont="1" applyBorder="1" applyAlignment="1">
      <alignment horizontal="center" vertical="top" wrapText="1"/>
    </xf>
    <xf numFmtId="0" fontId="25" fillId="0" borderId="0" xfId="0" applyFont="1" applyAlignment="1">
      <alignment horizontal="center" vertical="center"/>
    </xf>
    <xf numFmtId="0" fontId="46" fillId="0" borderId="0" xfId="0" applyFont="1" applyAlignment="1">
      <alignment horizontal="center" vertical="center"/>
    </xf>
    <xf numFmtId="0" fontId="41" fillId="15" borderId="35" xfId="0" applyFont="1" applyFill="1" applyBorder="1" applyAlignment="1">
      <alignment horizontal="center" vertical="center" wrapText="1" readingOrder="1"/>
    </xf>
    <xf numFmtId="0" fontId="41" fillId="15" borderId="36" xfId="0" applyFont="1" applyFill="1" applyBorder="1" applyAlignment="1">
      <alignment horizontal="center" vertical="center" wrapText="1" readingOrder="1"/>
    </xf>
    <xf numFmtId="0" fontId="41" fillId="15" borderId="47" xfId="0" applyFont="1" applyFill="1" applyBorder="1" applyAlignment="1">
      <alignment horizontal="center" vertical="center" wrapText="1" readingOrder="1"/>
    </xf>
    <xf numFmtId="0" fontId="36" fillId="3" borderId="0" xfId="0" applyFont="1" applyFill="1" applyAlignment="1">
      <alignment horizontal="justify" vertical="center" wrapText="1"/>
    </xf>
    <xf numFmtId="0" fontId="38" fillId="15" borderId="44" xfId="0" applyFont="1" applyFill="1" applyBorder="1" applyAlignment="1">
      <alignment horizontal="center" vertical="center" wrapText="1" readingOrder="1"/>
    </xf>
    <xf numFmtId="0" fontId="38" fillId="15" borderId="45" xfId="0" applyFont="1" applyFill="1" applyBorder="1" applyAlignment="1">
      <alignment horizontal="center" vertical="center" wrapText="1" readingOrder="1"/>
    </xf>
    <xf numFmtId="0" fontId="38" fillId="3" borderId="42" xfId="0" applyFont="1" applyFill="1" applyBorder="1" applyAlignment="1">
      <alignment horizontal="center" vertical="center" wrapText="1" readingOrder="1"/>
    </xf>
    <xf numFmtId="0" fontId="38" fillId="3" borderId="37" xfId="0" applyFont="1" applyFill="1" applyBorder="1" applyAlignment="1">
      <alignment horizontal="center" vertical="center" wrapText="1" readingOrder="1"/>
    </xf>
    <xf numFmtId="0" fontId="38" fillId="3" borderId="34" xfId="0" applyFont="1" applyFill="1" applyBorder="1" applyAlignment="1">
      <alignment horizontal="center" vertical="center" wrapText="1" readingOrder="1"/>
    </xf>
    <xf numFmtId="0" fontId="38" fillId="3" borderId="33" xfId="0" applyFont="1" applyFill="1" applyBorder="1" applyAlignment="1">
      <alignment horizontal="center" vertical="center" wrapText="1" readingOrder="1"/>
    </xf>
    <xf numFmtId="0" fontId="38" fillId="3" borderId="39" xfId="0" applyFont="1" applyFill="1" applyBorder="1" applyAlignment="1">
      <alignment horizontal="center" vertical="center" wrapText="1" readingOrder="1"/>
    </xf>
    <xf numFmtId="0" fontId="38" fillId="3" borderId="40" xfId="0" applyFont="1" applyFill="1" applyBorder="1" applyAlignment="1">
      <alignment horizontal="center" vertical="center" wrapText="1" readingOrder="1"/>
    </xf>
    <xf numFmtId="0" fontId="67" fillId="11" borderId="14" xfId="0" applyFont="1" applyFill="1" applyBorder="1" applyAlignment="1" applyProtection="1">
      <alignment horizontal="center" vertical="center" wrapText="1" readingOrder="1"/>
      <protection hidden="1"/>
    </xf>
    <xf numFmtId="0" fontId="67" fillId="11" borderId="0" xfId="0" applyFont="1" applyFill="1" applyAlignment="1" applyProtection="1">
      <alignment horizontal="center" vertical="center" wrapText="1" readingOrder="1"/>
      <protection hidden="1"/>
    </xf>
    <xf numFmtId="0" fontId="67" fillId="11" borderId="16" xfId="0" applyFont="1" applyFill="1" applyBorder="1" applyAlignment="1" applyProtection="1">
      <alignment horizontal="center" vertical="center" wrapText="1" readingOrder="1"/>
      <protection hidden="1"/>
    </xf>
    <xf numFmtId="0" fontId="67" fillId="11" borderId="18" xfId="0" applyFont="1" applyFill="1" applyBorder="1" applyAlignment="1" applyProtection="1">
      <alignment horizontal="center" vertical="center" wrapText="1" readingOrder="1"/>
      <protection hidden="1"/>
    </xf>
    <xf numFmtId="0" fontId="67" fillId="11" borderId="15" xfId="0" applyFont="1" applyFill="1" applyBorder="1" applyAlignment="1" applyProtection="1">
      <alignment horizontal="center" vertical="center" wrapText="1" readingOrder="1"/>
      <protection hidden="1"/>
    </xf>
    <xf numFmtId="0" fontId="67" fillId="11" borderId="17" xfId="0" applyFont="1" applyFill="1" applyBorder="1" applyAlignment="1" applyProtection="1">
      <alignment horizontal="center" vertical="center" wrapText="1" readingOrder="1"/>
      <protection hidden="1"/>
    </xf>
    <xf numFmtId="0" fontId="64" fillId="0" borderId="12" xfId="0" applyFont="1" applyBorder="1" applyAlignment="1">
      <alignment horizontal="center" vertical="center" wrapText="1"/>
    </xf>
    <xf numFmtId="0" fontId="64" fillId="0" borderId="19" xfId="0" applyFont="1" applyBorder="1" applyAlignment="1">
      <alignment horizontal="center" vertical="center"/>
    </xf>
    <xf numFmtId="0" fontId="64" fillId="0" borderId="13" xfId="0" applyFont="1" applyBorder="1" applyAlignment="1">
      <alignment horizontal="center" vertical="center"/>
    </xf>
    <xf numFmtId="0" fontId="64" fillId="0" borderId="14" xfId="0" applyFont="1" applyBorder="1" applyAlignment="1">
      <alignment horizontal="center" vertical="center"/>
    </xf>
    <xf numFmtId="0" fontId="64" fillId="0" borderId="0" xfId="0" applyFont="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4" fillId="0" borderId="18" xfId="0" applyFont="1" applyBorder="1" applyAlignment="1">
      <alignment horizontal="center" vertical="center"/>
    </xf>
    <xf numFmtId="0" fontId="64" fillId="0" borderId="17" xfId="0" applyFont="1" applyBorder="1" applyAlignment="1">
      <alignment horizontal="center" vertical="center"/>
    </xf>
    <xf numFmtId="0" fontId="64" fillId="0" borderId="19" xfId="0" applyFont="1" applyBorder="1" applyAlignment="1">
      <alignment horizontal="center" vertical="center" wrapText="1"/>
    </xf>
    <xf numFmtId="0" fontId="66" fillId="10" borderId="0" xfId="0" applyFont="1" applyFill="1" applyAlignment="1">
      <alignment horizontal="center" vertical="center" wrapText="1" readingOrder="1"/>
    </xf>
    <xf numFmtId="0" fontId="66" fillId="10" borderId="0" xfId="0" applyFont="1" applyFill="1" applyAlignment="1">
      <alignment horizontal="center" vertical="center" textRotation="90" wrapText="1" readingOrder="1"/>
    </xf>
    <xf numFmtId="0" fontId="66" fillId="10" borderId="15" xfId="0" applyFont="1" applyFill="1" applyBorder="1" applyAlignment="1">
      <alignment horizontal="center" vertical="center" textRotation="90" wrapText="1" readingOrder="1"/>
    </xf>
    <xf numFmtId="0" fontId="66" fillId="12" borderId="20" xfId="0" applyFont="1" applyFill="1" applyBorder="1" applyAlignment="1">
      <alignment horizontal="center" vertical="center" wrapText="1" readingOrder="1"/>
    </xf>
    <xf numFmtId="0" fontId="66" fillId="12" borderId="21" xfId="0" applyFont="1" applyFill="1" applyBorder="1" applyAlignment="1">
      <alignment horizontal="center" vertical="center" wrapText="1" readingOrder="1"/>
    </xf>
    <xf numFmtId="0" fontId="66" fillId="12" borderId="22" xfId="0" applyFont="1" applyFill="1" applyBorder="1" applyAlignment="1">
      <alignment horizontal="center" vertical="center" wrapText="1" readingOrder="1"/>
    </xf>
    <xf numFmtId="0" fontId="66" fillId="12" borderId="23" xfId="0" applyFont="1" applyFill="1" applyBorder="1" applyAlignment="1">
      <alignment horizontal="center" vertical="center" wrapText="1" readingOrder="1"/>
    </xf>
    <xf numFmtId="0" fontId="66" fillId="12" borderId="0" xfId="0" applyFont="1" applyFill="1" applyAlignment="1">
      <alignment horizontal="center" vertical="center" wrapText="1" readingOrder="1"/>
    </xf>
    <xf numFmtId="0" fontId="66" fillId="12" borderId="24" xfId="0" applyFont="1" applyFill="1" applyBorder="1" applyAlignment="1">
      <alignment horizontal="center" vertical="center" wrapText="1" readingOrder="1"/>
    </xf>
    <xf numFmtId="0" fontId="66" fillId="12" borderId="25" xfId="0" applyFont="1" applyFill="1" applyBorder="1" applyAlignment="1">
      <alignment horizontal="center" vertical="center" wrapText="1" readingOrder="1"/>
    </xf>
    <xf numFmtId="0" fontId="66" fillId="12" borderId="26" xfId="0" applyFont="1" applyFill="1" applyBorder="1" applyAlignment="1">
      <alignment horizontal="center" vertical="center" wrapText="1" readingOrder="1"/>
    </xf>
    <xf numFmtId="0" fontId="66" fillId="12" borderId="27" xfId="0" applyFont="1" applyFill="1" applyBorder="1" applyAlignment="1">
      <alignment horizontal="center" vertical="center" wrapText="1" readingOrder="1"/>
    </xf>
    <xf numFmtId="0" fontId="64" fillId="0" borderId="14" xfId="0" applyFont="1" applyBorder="1" applyAlignment="1">
      <alignment horizontal="center" vertical="center" wrapText="1"/>
    </xf>
    <xf numFmtId="0" fontId="66" fillId="11" borderId="20" xfId="0" applyFont="1" applyFill="1" applyBorder="1" applyAlignment="1">
      <alignment horizontal="center" vertical="center" wrapText="1" readingOrder="1"/>
    </xf>
    <xf numFmtId="0" fontId="66" fillId="11" borderId="21" xfId="0" applyFont="1" applyFill="1" applyBorder="1" applyAlignment="1">
      <alignment horizontal="center" vertical="center" wrapText="1" readingOrder="1"/>
    </xf>
    <xf numFmtId="0" fontId="66" fillId="11" borderId="22" xfId="0" applyFont="1" applyFill="1" applyBorder="1" applyAlignment="1">
      <alignment horizontal="center" vertical="center" wrapText="1" readingOrder="1"/>
    </xf>
    <xf numFmtId="0" fontId="66" fillId="11" borderId="23" xfId="0" applyFont="1" applyFill="1" applyBorder="1" applyAlignment="1">
      <alignment horizontal="center" vertical="center" wrapText="1" readingOrder="1"/>
    </xf>
    <xf numFmtId="0" fontId="66" fillId="11" borderId="0" xfId="0" applyFont="1" applyFill="1" applyAlignment="1">
      <alignment horizontal="center" vertical="center" wrapText="1" readingOrder="1"/>
    </xf>
    <xf numFmtId="0" fontId="66" fillId="11" borderId="24" xfId="0" applyFont="1" applyFill="1" applyBorder="1" applyAlignment="1">
      <alignment horizontal="center" vertical="center" wrapText="1" readingOrder="1"/>
    </xf>
    <xf numFmtId="0" fontId="66" fillId="11" borderId="25" xfId="0" applyFont="1" applyFill="1" applyBorder="1" applyAlignment="1">
      <alignment horizontal="center" vertical="center" wrapText="1" readingOrder="1"/>
    </xf>
    <xf numFmtId="0" fontId="66" fillId="11" borderId="26" xfId="0" applyFont="1" applyFill="1" applyBorder="1" applyAlignment="1">
      <alignment horizontal="center" vertical="center" wrapText="1" readingOrder="1"/>
    </xf>
    <xf numFmtId="0" fontId="66" fillId="11" borderId="27" xfId="0" applyFont="1" applyFill="1" applyBorder="1" applyAlignment="1">
      <alignment horizontal="center" vertical="center" wrapText="1" readingOrder="1"/>
    </xf>
    <xf numFmtId="0" fontId="66" fillId="13" borderId="20" xfId="0" applyFont="1" applyFill="1" applyBorder="1" applyAlignment="1">
      <alignment horizontal="center" vertical="center" wrapText="1" readingOrder="1"/>
    </xf>
    <xf numFmtId="0" fontId="66" fillId="13" borderId="21" xfId="0" applyFont="1" applyFill="1" applyBorder="1" applyAlignment="1">
      <alignment horizontal="center" vertical="center" wrapText="1" readingOrder="1"/>
    </xf>
    <xf numFmtId="0" fontId="66" fillId="13" borderId="22" xfId="0" applyFont="1" applyFill="1" applyBorder="1" applyAlignment="1">
      <alignment horizontal="center" vertical="center" wrapText="1" readingOrder="1"/>
    </xf>
    <xf numFmtId="0" fontId="66" fillId="13" borderId="23" xfId="0" applyFont="1" applyFill="1" applyBorder="1" applyAlignment="1">
      <alignment horizontal="center" vertical="center" wrapText="1" readingOrder="1"/>
    </xf>
    <xf numFmtId="0" fontId="66" fillId="13" borderId="0" xfId="0" applyFont="1" applyFill="1" applyAlignment="1">
      <alignment horizontal="center" vertical="center" wrapText="1" readingOrder="1"/>
    </xf>
    <xf numFmtId="0" fontId="66" fillId="13" borderId="24" xfId="0" applyFont="1" applyFill="1" applyBorder="1" applyAlignment="1">
      <alignment horizontal="center" vertical="center" wrapText="1" readingOrder="1"/>
    </xf>
    <xf numFmtId="0" fontId="66" fillId="13" borderId="25" xfId="0" applyFont="1" applyFill="1" applyBorder="1" applyAlignment="1">
      <alignment horizontal="center" vertical="center" wrapText="1" readingOrder="1"/>
    </xf>
    <xf numFmtId="0" fontId="66" fillId="13" borderId="26" xfId="0" applyFont="1" applyFill="1" applyBorder="1" applyAlignment="1">
      <alignment horizontal="center" vertical="center" wrapText="1" readingOrder="1"/>
    </xf>
    <xf numFmtId="0" fontId="66" fillId="13" borderId="27" xfId="0" applyFont="1" applyFill="1" applyBorder="1" applyAlignment="1">
      <alignment horizontal="center" vertical="center" wrapText="1" readingOrder="1"/>
    </xf>
    <xf numFmtId="0" fontId="66" fillId="5" borderId="20" xfId="0" applyFont="1" applyFill="1" applyBorder="1" applyAlignment="1">
      <alignment horizontal="center" vertical="center" wrapText="1" readingOrder="1"/>
    </xf>
    <xf numFmtId="0" fontId="66" fillId="5" borderId="21" xfId="0" applyFont="1" applyFill="1" applyBorder="1" applyAlignment="1">
      <alignment horizontal="center" vertical="center" wrapText="1" readingOrder="1"/>
    </xf>
    <xf numFmtId="0" fontId="66" fillId="5" borderId="22" xfId="0" applyFont="1" applyFill="1" applyBorder="1" applyAlignment="1">
      <alignment horizontal="center" vertical="center" wrapText="1" readingOrder="1"/>
    </xf>
    <xf numFmtId="0" fontId="66" fillId="5" borderId="23" xfId="0" applyFont="1" applyFill="1" applyBorder="1" applyAlignment="1">
      <alignment horizontal="center" vertical="center" wrapText="1" readingOrder="1"/>
    </xf>
    <xf numFmtId="0" fontId="66" fillId="5" borderId="0" xfId="0" applyFont="1" applyFill="1" applyAlignment="1">
      <alignment horizontal="center" vertical="center" wrapText="1" readingOrder="1"/>
    </xf>
    <xf numFmtId="0" fontId="66" fillId="5" borderId="24" xfId="0" applyFont="1" applyFill="1" applyBorder="1" applyAlignment="1">
      <alignment horizontal="center" vertical="center" wrapText="1" readingOrder="1"/>
    </xf>
    <xf numFmtId="0" fontId="66" fillId="5" borderId="25" xfId="0" applyFont="1" applyFill="1" applyBorder="1" applyAlignment="1">
      <alignment horizontal="center" vertical="center" wrapText="1" readingOrder="1"/>
    </xf>
    <xf numFmtId="0" fontId="66" fillId="5" borderId="26" xfId="0" applyFont="1" applyFill="1" applyBorder="1" applyAlignment="1">
      <alignment horizontal="center" vertical="center" wrapText="1" readingOrder="1"/>
    </xf>
    <xf numFmtId="0" fontId="66" fillId="5" borderId="27" xfId="0" applyFont="1" applyFill="1" applyBorder="1" applyAlignment="1">
      <alignment horizontal="center" vertical="center" wrapText="1" readingOrder="1"/>
    </xf>
    <xf numFmtId="0" fontId="68" fillId="0" borderId="12" xfId="0" applyFont="1" applyBorder="1" applyAlignment="1">
      <alignment horizontal="center" vertical="center" wrapText="1"/>
    </xf>
    <xf numFmtId="0" fontId="68" fillId="0" borderId="19" xfId="0" applyFont="1" applyBorder="1" applyAlignment="1">
      <alignment horizontal="center" vertical="center"/>
    </xf>
    <xf numFmtId="0" fontId="68" fillId="0" borderId="13" xfId="0" applyFont="1" applyBorder="1" applyAlignment="1">
      <alignment horizontal="center" vertical="center"/>
    </xf>
    <xf numFmtId="0" fontId="68" fillId="0" borderId="14" xfId="0" applyFont="1" applyBorder="1" applyAlignment="1">
      <alignment horizontal="center" vertical="center"/>
    </xf>
    <xf numFmtId="0" fontId="68" fillId="0" borderId="0" xfId="0" applyFont="1" applyAlignment="1">
      <alignment horizontal="center" vertical="center"/>
    </xf>
    <xf numFmtId="0" fontId="68" fillId="0" borderId="15" xfId="0" applyFont="1" applyBorder="1" applyAlignment="1">
      <alignment horizontal="center" vertical="center"/>
    </xf>
    <xf numFmtId="0" fontId="68" fillId="0" borderId="16" xfId="0" applyFont="1" applyBorder="1" applyAlignment="1">
      <alignment horizontal="center" vertical="center"/>
    </xf>
    <xf numFmtId="0" fontId="68" fillId="0" borderId="18" xfId="0" applyFont="1" applyBorder="1" applyAlignment="1">
      <alignment horizontal="center" vertical="center"/>
    </xf>
    <xf numFmtId="0" fontId="68" fillId="0" borderId="17" xfId="0" applyFont="1" applyBorder="1" applyAlignment="1">
      <alignment horizontal="center" vertical="center"/>
    </xf>
    <xf numFmtId="0" fontId="68" fillId="0" borderId="19" xfId="0" applyFont="1" applyBorder="1" applyAlignment="1">
      <alignment horizontal="center" vertical="center" wrapText="1"/>
    </xf>
    <xf numFmtId="0" fontId="27" fillId="0" borderId="0" xfId="0" applyFont="1" applyAlignment="1">
      <alignment horizontal="center" vertical="center" wrapText="1"/>
    </xf>
    <xf numFmtId="0" fontId="67" fillId="12" borderId="14" xfId="0" applyFont="1" applyFill="1" applyBorder="1" applyAlignment="1" applyProtection="1">
      <alignment horizontal="center" wrapText="1" readingOrder="1"/>
      <protection hidden="1"/>
    </xf>
    <xf numFmtId="0" fontId="67" fillId="12" borderId="0" xfId="0" applyFont="1" applyFill="1" applyAlignment="1" applyProtection="1">
      <alignment horizontal="center" wrapText="1" readingOrder="1"/>
      <protection hidden="1"/>
    </xf>
    <xf numFmtId="0" fontId="67" fillId="12" borderId="16" xfId="0" applyFont="1" applyFill="1" applyBorder="1" applyAlignment="1" applyProtection="1">
      <alignment horizontal="center" wrapText="1" readingOrder="1"/>
      <protection hidden="1"/>
    </xf>
    <xf numFmtId="0" fontId="67" fillId="12" borderId="18" xfId="0" applyFont="1" applyFill="1" applyBorder="1" applyAlignment="1" applyProtection="1">
      <alignment horizontal="center" wrapText="1" readingOrder="1"/>
      <protection hidden="1"/>
    </xf>
    <xf numFmtId="0" fontId="67" fillId="12" borderId="15" xfId="0" applyFont="1" applyFill="1" applyBorder="1" applyAlignment="1" applyProtection="1">
      <alignment horizontal="center" wrapText="1" readingOrder="1"/>
      <protection hidden="1"/>
    </xf>
    <xf numFmtId="0" fontId="67" fillId="12" borderId="17" xfId="0" applyFont="1" applyFill="1" applyBorder="1" applyAlignment="1" applyProtection="1">
      <alignment horizontal="center" wrapText="1" readingOrder="1"/>
      <protection hidden="1"/>
    </xf>
    <xf numFmtId="0" fontId="67" fillId="13" borderId="0" xfId="0" applyFont="1" applyFill="1" applyAlignment="1" applyProtection="1">
      <alignment horizontal="center" wrapText="1" readingOrder="1"/>
      <protection hidden="1"/>
    </xf>
    <xf numFmtId="0" fontId="67" fillId="13" borderId="15" xfId="0" applyFont="1" applyFill="1" applyBorder="1" applyAlignment="1" applyProtection="1">
      <alignment horizontal="center" wrapText="1" readingOrder="1"/>
      <protection hidden="1"/>
    </xf>
    <xf numFmtId="0" fontId="67" fillId="5" borderId="14" xfId="0" applyFont="1" applyFill="1" applyBorder="1" applyAlignment="1" applyProtection="1">
      <alignment horizontal="center" wrapText="1" readingOrder="1"/>
      <protection hidden="1"/>
    </xf>
    <xf numFmtId="0" fontId="67" fillId="5" borderId="0" xfId="0" applyFont="1" applyFill="1" applyAlignment="1" applyProtection="1">
      <alignment horizontal="center" wrapText="1" readingOrder="1"/>
      <protection hidden="1"/>
    </xf>
    <xf numFmtId="0" fontId="67" fillId="5" borderId="16" xfId="0" applyFont="1" applyFill="1" applyBorder="1" applyAlignment="1" applyProtection="1">
      <alignment horizontal="center" wrapText="1" readingOrder="1"/>
      <protection hidden="1"/>
    </xf>
    <xf numFmtId="0" fontId="67" fillId="5" borderId="18" xfId="0" applyFont="1" applyFill="1" applyBorder="1" applyAlignment="1" applyProtection="1">
      <alignment horizontal="center" wrapText="1" readingOrder="1"/>
      <protection hidden="1"/>
    </xf>
    <xf numFmtId="0" fontId="67" fillId="5" borderId="15" xfId="0" applyFont="1" applyFill="1" applyBorder="1" applyAlignment="1" applyProtection="1">
      <alignment horizontal="center" wrapText="1" readingOrder="1"/>
      <protection hidden="1"/>
    </xf>
    <xf numFmtId="0" fontId="67" fillId="5" borderId="17" xfId="0" applyFont="1" applyFill="1" applyBorder="1" applyAlignment="1" applyProtection="1">
      <alignment horizontal="center" wrapText="1" readingOrder="1"/>
      <protection hidden="1"/>
    </xf>
    <xf numFmtId="0" fontId="67" fillId="13" borderId="14" xfId="0" applyFont="1" applyFill="1" applyBorder="1" applyAlignment="1" applyProtection="1">
      <alignment horizontal="center" wrapText="1" readingOrder="1"/>
      <protection hidden="1"/>
    </xf>
    <xf numFmtId="0" fontId="67" fillId="13" borderId="16" xfId="0" applyFont="1" applyFill="1" applyBorder="1" applyAlignment="1" applyProtection="1">
      <alignment horizontal="center" wrapText="1" readingOrder="1"/>
      <protection hidden="1"/>
    </xf>
    <xf numFmtId="0" fontId="67" fillId="13" borderId="18" xfId="0" applyFont="1" applyFill="1" applyBorder="1" applyAlignment="1" applyProtection="1">
      <alignment horizontal="center" wrapText="1" readingOrder="1"/>
      <protection hidden="1"/>
    </xf>
    <xf numFmtId="0" fontId="67" fillId="13" borderId="17" xfId="0" applyFont="1" applyFill="1" applyBorder="1" applyAlignment="1" applyProtection="1">
      <alignment horizontal="center" wrapText="1" readingOrder="1"/>
      <protection hidden="1"/>
    </xf>
    <xf numFmtId="0" fontId="67" fillId="12" borderId="12" xfId="0" applyFont="1" applyFill="1" applyBorder="1" applyAlignment="1" applyProtection="1">
      <alignment horizontal="center" wrapText="1" readingOrder="1"/>
      <protection hidden="1"/>
    </xf>
    <xf numFmtId="0" fontId="67" fillId="12" borderId="19" xfId="0" applyFont="1" applyFill="1" applyBorder="1" applyAlignment="1" applyProtection="1">
      <alignment horizontal="center" wrapText="1" readingOrder="1"/>
      <protection hidden="1"/>
    </xf>
    <xf numFmtId="0" fontId="67" fillId="12" borderId="13" xfId="0" applyFont="1" applyFill="1" applyBorder="1" applyAlignment="1" applyProtection="1">
      <alignment horizontal="center" wrapText="1" readingOrder="1"/>
      <protection hidden="1"/>
    </xf>
    <xf numFmtId="0" fontId="67" fillId="13" borderId="12" xfId="0" applyFont="1" applyFill="1" applyBorder="1" applyAlignment="1" applyProtection="1">
      <alignment horizontal="center" wrapText="1" readingOrder="1"/>
      <protection hidden="1"/>
    </xf>
    <xf numFmtId="0" fontId="67" fillId="13" borderId="19" xfId="0" applyFont="1" applyFill="1" applyBorder="1" applyAlignment="1" applyProtection="1">
      <alignment horizontal="center" wrapText="1" readingOrder="1"/>
      <protection hidden="1"/>
    </xf>
    <xf numFmtId="0" fontId="67" fillId="13" borderId="13" xfId="0" applyFont="1" applyFill="1" applyBorder="1" applyAlignment="1" applyProtection="1">
      <alignment horizontal="center" wrapText="1" readingOrder="1"/>
      <protection hidden="1"/>
    </xf>
    <xf numFmtId="0" fontId="67" fillId="11" borderId="12" xfId="0" applyFont="1" applyFill="1" applyBorder="1" applyAlignment="1" applyProtection="1">
      <alignment horizontal="center" vertical="center" wrapText="1" readingOrder="1"/>
      <protection hidden="1"/>
    </xf>
    <xf numFmtId="0" fontId="67" fillId="11" borderId="19" xfId="0" applyFont="1" applyFill="1" applyBorder="1" applyAlignment="1" applyProtection="1">
      <alignment horizontal="center" vertical="center" wrapText="1" readingOrder="1"/>
      <protection hidden="1"/>
    </xf>
    <xf numFmtId="0" fontId="67" fillId="11" borderId="13" xfId="0" applyFont="1" applyFill="1" applyBorder="1" applyAlignment="1" applyProtection="1">
      <alignment horizontal="center" vertical="center" wrapText="1" readingOrder="1"/>
      <protection hidden="1"/>
    </xf>
    <xf numFmtId="0" fontId="67" fillId="5" borderId="12" xfId="0" applyFont="1" applyFill="1" applyBorder="1" applyAlignment="1" applyProtection="1">
      <alignment horizontal="center" wrapText="1" readingOrder="1"/>
      <protection hidden="1"/>
    </xf>
    <xf numFmtId="0" fontId="67" fillId="5" borderId="19" xfId="0" applyFont="1" applyFill="1" applyBorder="1" applyAlignment="1" applyProtection="1">
      <alignment horizontal="center" wrapText="1" readingOrder="1"/>
      <protection hidden="1"/>
    </xf>
    <xf numFmtId="0" fontId="67" fillId="5" borderId="13" xfId="0" applyFont="1" applyFill="1" applyBorder="1" applyAlignment="1" applyProtection="1">
      <alignment horizontal="center" wrapText="1" readingOrder="1"/>
      <protection hidden="1"/>
    </xf>
    <xf numFmtId="0" fontId="67" fillId="5" borderId="20" xfId="0" applyFont="1" applyFill="1" applyBorder="1" applyAlignment="1">
      <alignment horizontal="center" vertical="center" wrapText="1" readingOrder="1"/>
    </xf>
    <xf numFmtId="0" fontId="67" fillId="5" borderId="21" xfId="0" applyFont="1" applyFill="1" applyBorder="1" applyAlignment="1">
      <alignment horizontal="center" vertical="center" wrapText="1" readingOrder="1"/>
    </xf>
    <xf numFmtId="0" fontId="67" fillId="5" borderId="22" xfId="0" applyFont="1" applyFill="1" applyBorder="1" applyAlignment="1">
      <alignment horizontal="center" vertical="center" wrapText="1" readingOrder="1"/>
    </xf>
    <xf numFmtId="0" fontId="67" fillId="5" borderId="23" xfId="0" applyFont="1" applyFill="1" applyBorder="1" applyAlignment="1">
      <alignment horizontal="center" vertical="center" wrapText="1" readingOrder="1"/>
    </xf>
    <xf numFmtId="0" fontId="67" fillId="5" borderId="0" xfId="0" applyFont="1" applyFill="1" applyAlignment="1">
      <alignment horizontal="center" vertical="center" wrapText="1" readingOrder="1"/>
    </xf>
    <xf numFmtId="0" fontId="67" fillId="5" borderId="24" xfId="0" applyFont="1" applyFill="1" applyBorder="1" applyAlignment="1">
      <alignment horizontal="center" vertical="center" wrapText="1" readingOrder="1"/>
    </xf>
    <xf numFmtId="0" fontId="67" fillId="5" borderId="25" xfId="0" applyFont="1" applyFill="1" applyBorder="1" applyAlignment="1">
      <alignment horizontal="center" vertical="center" wrapText="1" readingOrder="1"/>
    </xf>
    <xf numFmtId="0" fontId="67" fillId="5" borderId="26" xfId="0" applyFont="1" applyFill="1" applyBorder="1" applyAlignment="1">
      <alignment horizontal="center" vertical="center" wrapText="1" readingOrder="1"/>
    </xf>
    <xf numFmtId="0" fontId="67" fillId="5" borderId="27" xfId="0" applyFont="1" applyFill="1" applyBorder="1" applyAlignment="1">
      <alignment horizontal="center" vertical="center" wrapText="1" readingOrder="1"/>
    </xf>
    <xf numFmtId="0" fontId="67" fillId="13" borderId="20" xfId="0" applyFont="1" applyFill="1" applyBorder="1" applyAlignment="1">
      <alignment horizontal="center" vertical="center" wrapText="1" readingOrder="1"/>
    </xf>
    <xf numFmtId="0" fontId="67" fillId="13" borderId="21" xfId="0" applyFont="1" applyFill="1" applyBorder="1" applyAlignment="1">
      <alignment horizontal="center" vertical="center" wrapText="1" readingOrder="1"/>
    </xf>
    <xf numFmtId="0" fontId="67" fillId="13" borderId="22" xfId="0" applyFont="1" applyFill="1" applyBorder="1" applyAlignment="1">
      <alignment horizontal="center" vertical="center" wrapText="1" readingOrder="1"/>
    </xf>
    <xf numFmtId="0" fontId="67" fillId="13" borderId="23" xfId="0" applyFont="1" applyFill="1" applyBorder="1" applyAlignment="1">
      <alignment horizontal="center" vertical="center" wrapText="1" readingOrder="1"/>
    </xf>
    <xf numFmtId="0" fontId="67" fillId="13" borderId="0" xfId="0" applyFont="1" applyFill="1" applyAlignment="1">
      <alignment horizontal="center" vertical="center" wrapText="1" readingOrder="1"/>
    </xf>
    <xf numFmtId="0" fontId="67" fillId="13" borderId="24" xfId="0" applyFont="1" applyFill="1" applyBorder="1" applyAlignment="1">
      <alignment horizontal="center" vertical="center" wrapText="1" readingOrder="1"/>
    </xf>
    <xf numFmtId="0" fontId="67" fillId="13" borderId="25" xfId="0" applyFont="1" applyFill="1" applyBorder="1" applyAlignment="1">
      <alignment horizontal="center" vertical="center" wrapText="1" readingOrder="1"/>
    </xf>
    <xf numFmtId="0" fontId="67" fillId="13" borderId="26" xfId="0" applyFont="1" applyFill="1" applyBorder="1" applyAlignment="1">
      <alignment horizontal="center" vertical="center" wrapText="1" readingOrder="1"/>
    </xf>
    <xf numFmtId="0" fontId="67" fillId="13" borderId="27" xfId="0" applyFont="1" applyFill="1" applyBorder="1" applyAlignment="1">
      <alignment horizontal="center" vertical="center" wrapText="1" readingOrder="1"/>
    </xf>
    <xf numFmtId="0" fontId="67" fillId="11" borderId="20" xfId="0" applyFont="1" applyFill="1" applyBorder="1" applyAlignment="1">
      <alignment horizontal="center" vertical="center" wrapText="1" readingOrder="1"/>
    </xf>
    <xf numFmtId="0" fontId="67" fillId="11" borderId="21" xfId="0" applyFont="1" applyFill="1" applyBorder="1" applyAlignment="1">
      <alignment horizontal="center" vertical="center" wrapText="1" readingOrder="1"/>
    </xf>
    <xf numFmtId="0" fontId="67" fillId="11" borderId="22" xfId="0" applyFont="1" applyFill="1" applyBorder="1" applyAlignment="1">
      <alignment horizontal="center" vertical="center" wrapText="1" readingOrder="1"/>
    </xf>
    <xf numFmtId="0" fontId="67" fillId="11" borderId="23" xfId="0" applyFont="1" applyFill="1" applyBorder="1" applyAlignment="1">
      <alignment horizontal="center" vertical="center" wrapText="1" readingOrder="1"/>
    </xf>
    <xf numFmtId="0" fontId="67" fillId="11" borderId="0" xfId="0" applyFont="1" applyFill="1" applyAlignment="1">
      <alignment horizontal="center" vertical="center" wrapText="1" readingOrder="1"/>
    </xf>
    <xf numFmtId="0" fontId="67" fillId="11" borderId="24" xfId="0" applyFont="1" applyFill="1" applyBorder="1" applyAlignment="1">
      <alignment horizontal="center" vertical="center" wrapText="1" readingOrder="1"/>
    </xf>
    <xf numFmtId="0" fontId="67" fillId="11" borderId="25" xfId="0" applyFont="1" applyFill="1" applyBorder="1" applyAlignment="1">
      <alignment horizontal="center" vertical="center" wrapText="1" readingOrder="1"/>
    </xf>
    <xf numFmtId="0" fontId="67" fillId="11" borderId="26" xfId="0" applyFont="1" applyFill="1" applyBorder="1" applyAlignment="1">
      <alignment horizontal="center" vertical="center" wrapText="1" readingOrder="1"/>
    </xf>
    <xf numFmtId="0" fontId="67" fillId="11" borderId="27" xfId="0" applyFont="1" applyFill="1" applyBorder="1" applyAlignment="1">
      <alignment horizontal="center" vertical="center" wrapText="1" readingOrder="1"/>
    </xf>
    <xf numFmtId="0" fontId="67" fillId="12" borderId="20" xfId="0" applyFont="1" applyFill="1" applyBorder="1" applyAlignment="1">
      <alignment horizontal="center" vertical="center" wrapText="1" readingOrder="1"/>
    </xf>
    <xf numFmtId="0" fontId="67" fillId="12" borderId="21" xfId="0" applyFont="1" applyFill="1" applyBorder="1" applyAlignment="1">
      <alignment horizontal="center" vertical="center" wrapText="1" readingOrder="1"/>
    </xf>
    <xf numFmtId="0" fontId="67" fillId="12" borderId="22" xfId="0" applyFont="1" applyFill="1" applyBorder="1" applyAlignment="1">
      <alignment horizontal="center" vertical="center" wrapText="1" readingOrder="1"/>
    </xf>
    <xf numFmtId="0" fontId="67" fillId="12" borderId="23" xfId="0" applyFont="1" applyFill="1" applyBorder="1" applyAlignment="1">
      <alignment horizontal="center" vertical="center" wrapText="1" readingOrder="1"/>
    </xf>
    <xf numFmtId="0" fontId="67" fillId="12" borderId="0" xfId="0" applyFont="1" applyFill="1" applyAlignment="1">
      <alignment horizontal="center" vertical="center" wrapText="1" readingOrder="1"/>
    </xf>
    <xf numFmtId="0" fontId="67" fillId="12" borderId="24" xfId="0" applyFont="1" applyFill="1" applyBorder="1" applyAlignment="1">
      <alignment horizontal="center" vertical="center" wrapText="1" readingOrder="1"/>
    </xf>
    <xf numFmtId="0" fontId="67" fillId="12" borderId="25" xfId="0" applyFont="1" applyFill="1" applyBorder="1" applyAlignment="1">
      <alignment horizontal="center" vertical="center" wrapText="1" readingOrder="1"/>
    </xf>
    <xf numFmtId="0" fontId="67" fillId="12" borderId="26" xfId="0" applyFont="1" applyFill="1" applyBorder="1" applyAlignment="1">
      <alignment horizontal="center" vertical="center" wrapText="1" readingOrder="1"/>
    </xf>
    <xf numFmtId="0" fontId="67" fillId="12" borderId="27" xfId="0" applyFont="1" applyFill="1" applyBorder="1" applyAlignment="1">
      <alignment horizontal="center" vertical="center" wrapText="1" readingOrder="1"/>
    </xf>
    <xf numFmtId="0" fontId="8" fillId="0" borderId="0" xfId="0" applyFont="1" applyAlignment="1">
      <alignment horizontal="center" vertical="center" wrapText="1"/>
    </xf>
    <xf numFmtId="0" fontId="67" fillId="10" borderId="0" xfId="0" applyFont="1" applyFill="1" applyAlignment="1">
      <alignment horizontal="center" vertical="center" wrapText="1" readingOrder="1"/>
    </xf>
    <xf numFmtId="0" fontId="67" fillId="10" borderId="0" xfId="0" applyFont="1" applyFill="1" applyAlignment="1">
      <alignment horizontal="center" vertical="center" textRotation="90" wrapText="1" readingOrder="1"/>
    </xf>
    <xf numFmtId="0" fontId="67" fillId="10" borderId="15" xfId="0" applyFont="1" applyFill="1" applyBorder="1" applyAlignment="1">
      <alignment horizontal="center" vertical="center" textRotation="90" wrapText="1" readingOrder="1"/>
    </xf>
    <xf numFmtId="0" fontId="19" fillId="10" borderId="0" xfId="0" applyFont="1" applyFill="1" applyAlignment="1">
      <alignment horizontal="center" vertical="center" textRotation="90" wrapText="1" readingOrder="1"/>
    </xf>
    <xf numFmtId="0" fontId="19" fillId="10" borderId="15" xfId="0" applyFont="1" applyFill="1" applyBorder="1" applyAlignment="1">
      <alignment horizontal="center" vertical="center" textRotation="90" wrapText="1" readingOrder="1"/>
    </xf>
    <xf numFmtId="0" fontId="22" fillId="12" borderId="20" xfId="0" applyFont="1" applyFill="1" applyBorder="1" applyAlignment="1">
      <alignment horizontal="center" vertical="center" wrapText="1" readingOrder="1"/>
    </xf>
    <xf numFmtId="0" fontId="22" fillId="12" borderId="21" xfId="0" applyFont="1" applyFill="1" applyBorder="1" applyAlignment="1">
      <alignment horizontal="center" vertical="center" wrapText="1" readingOrder="1"/>
    </xf>
    <xf numFmtId="0" fontId="22" fillId="12" borderId="22" xfId="0" applyFont="1" applyFill="1" applyBorder="1" applyAlignment="1">
      <alignment horizontal="center" vertical="center" wrapText="1" readingOrder="1"/>
    </xf>
    <xf numFmtId="0" fontId="22" fillId="12" borderId="23" xfId="0" applyFont="1" applyFill="1" applyBorder="1" applyAlignment="1">
      <alignment horizontal="center" vertical="center" wrapText="1" readingOrder="1"/>
    </xf>
    <xf numFmtId="0" fontId="22" fillId="12" borderId="0" xfId="0" applyFont="1" applyFill="1" applyAlignment="1">
      <alignment horizontal="center" vertical="center" wrapText="1" readingOrder="1"/>
    </xf>
    <xf numFmtId="0" fontId="22" fillId="12" borderId="24" xfId="0" applyFont="1" applyFill="1" applyBorder="1" applyAlignment="1">
      <alignment horizontal="center" vertical="center" wrapText="1" readingOrder="1"/>
    </xf>
    <xf numFmtId="0" fontId="22" fillId="12" borderId="25" xfId="0" applyFont="1" applyFill="1" applyBorder="1" applyAlignment="1">
      <alignment horizontal="center" vertical="center" wrapText="1" readingOrder="1"/>
    </xf>
    <xf numFmtId="0" fontId="22" fillId="12" borderId="26" xfId="0" applyFont="1" applyFill="1" applyBorder="1" applyAlignment="1">
      <alignment horizontal="center" vertical="center" wrapText="1" readingOrder="1"/>
    </xf>
    <xf numFmtId="0" fontId="22" fillId="12" borderId="27" xfId="0" applyFont="1" applyFill="1" applyBorder="1" applyAlignment="1">
      <alignment horizontal="center" vertical="center" wrapText="1" readingOrder="1"/>
    </xf>
    <xf numFmtId="0" fontId="22" fillId="11" borderId="20" xfId="0" applyFont="1" applyFill="1" applyBorder="1" applyAlignment="1">
      <alignment horizontal="center" vertical="center" wrapText="1" readingOrder="1"/>
    </xf>
    <xf numFmtId="0" fontId="22" fillId="11" borderId="21" xfId="0" applyFont="1" applyFill="1" applyBorder="1" applyAlignment="1">
      <alignment horizontal="center" vertical="center" wrapText="1" readingOrder="1"/>
    </xf>
    <xf numFmtId="0" fontId="22" fillId="11" borderId="22" xfId="0" applyFont="1" applyFill="1" applyBorder="1" applyAlignment="1">
      <alignment horizontal="center" vertical="center" wrapText="1" readingOrder="1"/>
    </xf>
    <xf numFmtId="0" fontId="22" fillId="11" borderId="23" xfId="0" applyFont="1" applyFill="1" applyBorder="1" applyAlignment="1">
      <alignment horizontal="center" vertical="center" wrapText="1" readingOrder="1"/>
    </xf>
    <xf numFmtId="0" fontId="22" fillId="11" borderId="0" xfId="0" applyFont="1" applyFill="1" applyAlignment="1">
      <alignment horizontal="center" vertical="center" wrapText="1" readingOrder="1"/>
    </xf>
    <xf numFmtId="0" fontId="22" fillId="11" borderId="24" xfId="0" applyFont="1" applyFill="1" applyBorder="1" applyAlignment="1">
      <alignment horizontal="center" vertical="center" wrapText="1" readingOrder="1"/>
    </xf>
    <xf numFmtId="0" fontId="22" fillId="11" borderId="25" xfId="0" applyFont="1" applyFill="1" applyBorder="1" applyAlignment="1">
      <alignment horizontal="center" vertical="center" wrapText="1" readingOrder="1"/>
    </xf>
    <xf numFmtId="0" fontId="22" fillId="11" borderId="26" xfId="0" applyFont="1" applyFill="1" applyBorder="1" applyAlignment="1">
      <alignment horizontal="center" vertical="center" wrapText="1" readingOrder="1"/>
    </xf>
    <xf numFmtId="0" fontId="22" fillId="11" borderId="27" xfId="0" applyFont="1" applyFill="1" applyBorder="1" applyAlignment="1">
      <alignment horizontal="center" vertical="center" wrapText="1" readingOrder="1"/>
    </xf>
    <xf numFmtId="0" fontId="22" fillId="13" borderId="20" xfId="0" applyFont="1" applyFill="1" applyBorder="1" applyAlignment="1">
      <alignment horizontal="center" vertical="center" wrapText="1" readingOrder="1"/>
    </xf>
    <xf numFmtId="0" fontId="22" fillId="13" borderId="21" xfId="0" applyFont="1" applyFill="1" applyBorder="1" applyAlignment="1">
      <alignment horizontal="center" vertical="center" wrapText="1" readingOrder="1"/>
    </xf>
    <xf numFmtId="0" fontId="22" fillId="13" borderId="22" xfId="0" applyFont="1" applyFill="1" applyBorder="1" applyAlignment="1">
      <alignment horizontal="center" vertical="center" wrapText="1" readingOrder="1"/>
    </xf>
    <xf numFmtId="0" fontId="22" fillId="13" borderId="23" xfId="0" applyFont="1" applyFill="1" applyBorder="1" applyAlignment="1">
      <alignment horizontal="center" vertical="center" wrapText="1" readingOrder="1"/>
    </xf>
    <xf numFmtId="0" fontId="22" fillId="13" borderId="0" xfId="0" applyFont="1" applyFill="1" applyAlignment="1">
      <alignment horizontal="center" vertical="center" wrapText="1" readingOrder="1"/>
    </xf>
    <xf numFmtId="0" fontId="22" fillId="13" borderId="24" xfId="0" applyFont="1" applyFill="1" applyBorder="1" applyAlignment="1">
      <alignment horizontal="center" vertical="center" wrapText="1" readingOrder="1"/>
    </xf>
    <xf numFmtId="0" fontId="22" fillId="13" borderId="25" xfId="0" applyFont="1" applyFill="1" applyBorder="1" applyAlignment="1">
      <alignment horizontal="center" vertical="center" wrapText="1" readingOrder="1"/>
    </xf>
    <xf numFmtId="0" fontId="22" fillId="13" borderId="26" xfId="0" applyFont="1" applyFill="1" applyBorder="1" applyAlignment="1">
      <alignment horizontal="center" vertical="center" wrapText="1" readingOrder="1"/>
    </xf>
    <xf numFmtId="0" fontId="22" fillId="13" borderId="27" xfId="0" applyFont="1" applyFill="1" applyBorder="1" applyAlignment="1">
      <alignment horizontal="center" vertical="center" wrapText="1" readingOrder="1"/>
    </xf>
    <xf numFmtId="0" fontId="22" fillId="5" borderId="20" xfId="0" applyFont="1" applyFill="1" applyBorder="1" applyAlignment="1">
      <alignment horizontal="center" vertical="center" wrapText="1" readingOrder="1"/>
    </xf>
    <xf numFmtId="0" fontId="22" fillId="5" borderId="21"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22" fillId="5" borderId="0" xfId="0" applyFont="1" applyFill="1" applyAlignment="1">
      <alignment horizontal="center" vertical="center" wrapText="1" readingOrder="1"/>
    </xf>
    <xf numFmtId="0" fontId="22" fillId="5" borderId="24" xfId="0" applyFont="1" applyFill="1" applyBorder="1" applyAlignment="1">
      <alignment horizontal="center" vertical="center" wrapText="1" readingOrder="1"/>
    </xf>
    <xf numFmtId="0" fontId="22" fillId="5" borderId="25" xfId="0" applyFont="1" applyFill="1" applyBorder="1" applyAlignment="1">
      <alignment horizontal="center" vertical="center" wrapText="1" readingOrder="1"/>
    </xf>
    <xf numFmtId="0" fontId="22" fillId="5" borderId="26" xfId="0" applyFont="1" applyFill="1" applyBorder="1" applyAlignment="1">
      <alignment horizontal="center" vertical="center" wrapText="1" readingOrder="1"/>
    </xf>
    <xf numFmtId="0" fontId="22" fillId="5" borderId="27" xfId="0" applyFont="1" applyFill="1" applyBorder="1" applyAlignment="1">
      <alignment horizontal="center" vertical="center" wrapText="1" readingOrder="1"/>
    </xf>
    <xf numFmtId="0" fontId="18" fillId="0" borderId="12" xfId="0" applyFont="1" applyBorder="1" applyAlignment="1">
      <alignment horizontal="center" vertical="center" wrapText="1"/>
    </xf>
    <xf numFmtId="0" fontId="18" fillId="0" borderId="19"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18" fillId="0" borderId="0" xfId="0" applyFont="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17" xfId="0" applyFont="1" applyBorder="1" applyAlignment="1">
      <alignment horizontal="center" vertical="center"/>
    </xf>
    <xf numFmtId="0" fontId="21" fillId="11" borderId="0" xfId="0" applyFont="1" applyFill="1" applyAlignment="1" applyProtection="1">
      <alignment horizontal="center" vertical="center" wrapText="1" readingOrder="1"/>
      <protection hidden="1"/>
    </xf>
    <xf numFmtId="0" fontId="21" fillId="11" borderId="15" xfId="0" applyFont="1" applyFill="1" applyBorder="1" applyAlignment="1" applyProtection="1">
      <alignment horizontal="center" vertical="center" wrapText="1" readingOrder="1"/>
      <protection hidden="1"/>
    </xf>
    <xf numFmtId="0" fontId="21" fillId="11" borderId="12" xfId="0" applyFont="1" applyFill="1" applyBorder="1" applyAlignment="1" applyProtection="1">
      <alignment horizontal="center" vertical="center" wrapText="1" readingOrder="1"/>
      <protection hidden="1"/>
    </xf>
    <xf numFmtId="0" fontId="21" fillId="11" borderId="19" xfId="0" applyFont="1" applyFill="1" applyBorder="1" applyAlignment="1" applyProtection="1">
      <alignment horizontal="center" vertical="center" wrapText="1" readingOrder="1"/>
      <protection hidden="1"/>
    </xf>
    <xf numFmtId="0" fontId="21" fillId="11" borderId="14" xfId="0" applyFont="1" applyFill="1" applyBorder="1" applyAlignment="1" applyProtection="1">
      <alignment horizontal="center" vertical="center" wrapText="1" readingOrder="1"/>
      <protection hidden="1"/>
    </xf>
    <xf numFmtId="0" fontId="21" fillId="11" borderId="13" xfId="0" applyFont="1" applyFill="1" applyBorder="1" applyAlignment="1" applyProtection="1">
      <alignment horizontal="center" vertical="center" wrapText="1" readingOrder="1"/>
      <protection hidden="1"/>
    </xf>
    <xf numFmtId="0" fontId="19" fillId="10" borderId="0" xfId="0" applyFont="1" applyFill="1" applyAlignment="1">
      <alignment horizontal="center" vertical="center" wrapText="1" readingOrder="1"/>
    </xf>
    <xf numFmtId="0" fontId="18" fillId="0" borderId="19" xfId="0" applyFont="1" applyBorder="1" applyAlignment="1">
      <alignment horizontal="center" vertical="center" wrapText="1"/>
    </xf>
    <xf numFmtId="0" fontId="21" fillId="11" borderId="16" xfId="0" applyFont="1" applyFill="1" applyBorder="1" applyAlignment="1" applyProtection="1">
      <alignment horizontal="center" vertical="center" wrapText="1" readingOrder="1"/>
      <protection hidden="1"/>
    </xf>
    <xf numFmtId="0" fontId="21" fillId="11" borderId="18" xfId="0" applyFont="1" applyFill="1" applyBorder="1" applyAlignment="1" applyProtection="1">
      <alignment horizontal="center" vertical="center" wrapText="1" readingOrder="1"/>
      <protection hidden="1"/>
    </xf>
    <xf numFmtId="0" fontId="21" fillId="11" borderId="17" xfId="0" applyFont="1" applyFill="1" applyBorder="1" applyAlignment="1" applyProtection="1">
      <alignment horizontal="center" vertical="center" wrapText="1" readingOrder="1"/>
      <protection hidden="1"/>
    </xf>
    <xf numFmtId="0" fontId="21" fillId="12" borderId="14" xfId="0" applyFont="1" applyFill="1" applyBorder="1" applyAlignment="1" applyProtection="1">
      <alignment horizontal="center" wrapText="1" readingOrder="1"/>
      <protection hidden="1"/>
    </xf>
    <xf numFmtId="0" fontId="21" fillId="12" borderId="0" xfId="0" applyFont="1" applyFill="1" applyAlignment="1" applyProtection="1">
      <alignment horizontal="center" wrapText="1" readingOrder="1"/>
      <protection hidden="1"/>
    </xf>
    <xf numFmtId="0" fontId="21" fillId="12" borderId="15" xfId="0" applyFont="1" applyFill="1" applyBorder="1" applyAlignment="1" applyProtection="1">
      <alignment horizontal="center" wrapText="1" readingOrder="1"/>
      <protection hidden="1"/>
    </xf>
    <xf numFmtId="0" fontId="21" fillId="12" borderId="16" xfId="0" applyFont="1" applyFill="1" applyBorder="1" applyAlignment="1" applyProtection="1">
      <alignment horizontal="center" wrapText="1" readingOrder="1"/>
      <protection hidden="1"/>
    </xf>
    <xf numFmtId="0" fontId="21" fillId="12" borderId="18" xfId="0" applyFont="1" applyFill="1" applyBorder="1" applyAlignment="1" applyProtection="1">
      <alignment horizontal="center" wrapText="1" readingOrder="1"/>
      <protection hidden="1"/>
    </xf>
    <xf numFmtId="0" fontId="21" fillId="12" borderId="17" xfId="0" applyFont="1" applyFill="1" applyBorder="1" applyAlignment="1" applyProtection="1">
      <alignment horizontal="center" wrapText="1" readingOrder="1"/>
      <protection hidden="1"/>
    </xf>
    <xf numFmtId="0" fontId="21" fillId="12" borderId="12" xfId="0" applyFont="1" applyFill="1" applyBorder="1" applyAlignment="1" applyProtection="1">
      <alignment horizontal="center" wrapText="1" readingOrder="1"/>
      <protection hidden="1"/>
    </xf>
    <xf numFmtId="0" fontId="21" fillId="12" borderId="19" xfId="0" applyFont="1" applyFill="1" applyBorder="1" applyAlignment="1" applyProtection="1">
      <alignment horizontal="center" wrapText="1" readingOrder="1"/>
      <protection hidden="1"/>
    </xf>
    <xf numFmtId="0" fontId="21" fillId="12" borderId="13" xfId="0" applyFont="1" applyFill="1" applyBorder="1" applyAlignment="1" applyProtection="1">
      <alignment horizontal="center" wrapText="1" readingOrder="1"/>
      <protection hidden="1"/>
    </xf>
    <xf numFmtId="0" fontId="21" fillId="13" borderId="14" xfId="0" applyFont="1" applyFill="1" applyBorder="1" applyAlignment="1" applyProtection="1">
      <alignment horizontal="center" wrapText="1" readingOrder="1"/>
      <protection hidden="1"/>
    </xf>
    <xf numFmtId="0" fontId="21" fillId="13" borderId="0" xfId="0" applyFont="1" applyFill="1" applyAlignment="1" applyProtection="1">
      <alignment horizontal="center" wrapText="1" readingOrder="1"/>
      <protection hidden="1"/>
    </xf>
    <xf numFmtId="0" fontId="21" fillId="13" borderId="15" xfId="0" applyFont="1" applyFill="1" applyBorder="1" applyAlignment="1" applyProtection="1">
      <alignment horizontal="center" wrapText="1" readingOrder="1"/>
      <protection hidden="1"/>
    </xf>
    <xf numFmtId="0" fontId="21" fillId="13" borderId="16" xfId="0" applyFont="1" applyFill="1" applyBorder="1" applyAlignment="1" applyProtection="1">
      <alignment horizontal="center" wrapText="1" readingOrder="1"/>
      <protection hidden="1"/>
    </xf>
    <xf numFmtId="0" fontId="21" fillId="13" borderId="18" xfId="0" applyFont="1" applyFill="1" applyBorder="1" applyAlignment="1" applyProtection="1">
      <alignment horizontal="center" wrapText="1" readingOrder="1"/>
      <protection hidden="1"/>
    </xf>
    <xf numFmtId="0" fontId="21" fillId="13" borderId="17" xfId="0" applyFont="1" applyFill="1" applyBorder="1" applyAlignment="1" applyProtection="1">
      <alignment horizontal="center" wrapText="1" readingOrder="1"/>
      <protection hidden="1"/>
    </xf>
    <xf numFmtId="0" fontId="21" fillId="13" borderId="12" xfId="0" applyFont="1" applyFill="1" applyBorder="1" applyAlignment="1" applyProtection="1">
      <alignment horizontal="center" wrapText="1" readingOrder="1"/>
      <protection hidden="1"/>
    </xf>
    <xf numFmtId="0" fontId="21" fillId="13" borderId="19" xfId="0" applyFont="1" applyFill="1" applyBorder="1" applyAlignment="1" applyProtection="1">
      <alignment horizontal="center" wrapText="1" readingOrder="1"/>
      <protection hidden="1"/>
    </xf>
    <xf numFmtId="0" fontId="21" fillId="13" borderId="13" xfId="0" applyFont="1" applyFill="1" applyBorder="1" applyAlignment="1" applyProtection="1">
      <alignment horizontal="center" wrapText="1" readingOrder="1"/>
      <protection hidden="1"/>
    </xf>
    <xf numFmtId="0" fontId="21" fillId="5" borderId="0" xfId="0" applyFont="1" applyFill="1" applyAlignment="1" applyProtection="1">
      <alignment horizontal="center" wrapText="1" readingOrder="1"/>
      <protection hidden="1"/>
    </xf>
    <xf numFmtId="0" fontId="21" fillId="5" borderId="15" xfId="0" applyFont="1" applyFill="1" applyBorder="1" applyAlignment="1" applyProtection="1">
      <alignment horizontal="center" wrapText="1" readingOrder="1"/>
      <protection hidden="1"/>
    </xf>
    <xf numFmtId="0" fontId="21" fillId="5" borderId="14" xfId="0" applyFont="1" applyFill="1" applyBorder="1" applyAlignment="1" applyProtection="1">
      <alignment horizontal="center" wrapText="1" readingOrder="1"/>
      <protection hidden="1"/>
    </xf>
    <xf numFmtId="0" fontId="21" fillId="5" borderId="16" xfId="0" applyFont="1" applyFill="1" applyBorder="1" applyAlignment="1" applyProtection="1">
      <alignment horizontal="center" wrapText="1" readingOrder="1"/>
      <protection hidden="1"/>
    </xf>
    <xf numFmtId="0" fontId="21" fillId="5" borderId="18" xfId="0" applyFont="1" applyFill="1" applyBorder="1" applyAlignment="1" applyProtection="1">
      <alignment horizontal="center" wrapText="1" readingOrder="1"/>
      <protection hidden="1"/>
    </xf>
    <xf numFmtId="0" fontId="21" fillId="5" borderId="17" xfId="0" applyFont="1" applyFill="1" applyBorder="1" applyAlignment="1" applyProtection="1">
      <alignment horizontal="center" wrapText="1" readingOrder="1"/>
      <protection hidden="1"/>
    </xf>
    <xf numFmtId="0" fontId="21" fillId="5" borderId="12" xfId="0" applyFont="1" applyFill="1" applyBorder="1" applyAlignment="1" applyProtection="1">
      <alignment horizontal="center" wrapText="1" readingOrder="1"/>
      <protection hidden="1"/>
    </xf>
    <xf numFmtId="0" fontId="21" fillId="5" borderId="19" xfId="0" applyFont="1" applyFill="1" applyBorder="1" applyAlignment="1" applyProtection="1">
      <alignment horizontal="center" wrapText="1" readingOrder="1"/>
      <protection hidden="1"/>
    </xf>
    <xf numFmtId="0" fontId="21" fillId="5" borderId="13" xfId="0" applyFont="1" applyFill="1" applyBorder="1" applyAlignment="1" applyProtection="1">
      <alignment horizontal="center" wrapText="1" readingOrder="1"/>
      <protection hidden="1"/>
    </xf>
    <xf numFmtId="0" fontId="26" fillId="0" borderId="0" xfId="0" applyFont="1" applyAlignment="1">
      <alignment horizontal="center" vertical="center" wrapText="1"/>
    </xf>
    <xf numFmtId="0" fontId="43" fillId="11" borderId="20" xfId="0" applyFont="1" applyFill="1" applyBorder="1" applyAlignment="1">
      <alignment horizontal="center" vertical="center" wrapText="1" readingOrder="1"/>
    </xf>
    <xf numFmtId="0" fontId="43" fillId="11" borderId="21" xfId="0" applyFont="1" applyFill="1" applyBorder="1" applyAlignment="1">
      <alignment horizontal="center" vertical="center" wrapText="1" readingOrder="1"/>
    </xf>
    <xf numFmtId="0" fontId="43" fillId="11" borderId="22" xfId="0" applyFont="1" applyFill="1" applyBorder="1" applyAlignment="1">
      <alignment horizontal="center" vertical="center" wrapText="1" readingOrder="1"/>
    </xf>
    <xf numFmtId="0" fontId="43" fillId="11" borderId="23" xfId="0" applyFont="1" applyFill="1" applyBorder="1" applyAlignment="1">
      <alignment horizontal="center" vertical="center" wrapText="1" readingOrder="1"/>
    </xf>
    <xf numFmtId="0" fontId="43" fillId="11" borderId="0" xfId="0" applyFont="1" applyFill="1" applyAlignment="1">
      <alignment horizontal="center" vertical="center" wrapText="1" readingOrder="1"/>
    </xf>
    <xf numFmtId="0" fontId="43" fillId="11" borderId="24" xfId="0" applyFont="1" applyFill="1" applyBorder="1" applyAlignment="1">
      <alignment horizontal="center" vertical="center" wrapText="1" readingOrder="1"/>
    </xf>
    <xf numFmtId="0" fontId="43" fillId="11" borderId="25" xfId="0" applyFont="1" applyFill="1" applyBorder="1" applyAlignment="1">
      <alignment horizontal="center" vertical="center" wrapText="1" readingOrder="1"/>
    </xf>
    <xf numFmtId="0" fontId="43" fillId="11" borderId="26" xfId="0" applyFont="1" applyFill="1" applyBorder="1" applyAlignment="1">
      <alignment horizontal="center" vertical="center" wrapText="1" readingOrder="1"/>
    </xf>
    <xf numFmtId="0" fontId="43" fillId="11" borderId="27" xfId="0" applyFont="1" applyFill="1" applyBorder="1" applyAlignment="1">
      <alignment horizontal="center" vertical="center" wrapText="1" readingOrder="1"/>
    </xf>
    <xf numFmtId="0" fontId="44" fillId="0" borderId="12" xfId="0" applyFont="1" applyBorder="1" applyAlignment="1">
      <alignment horizontal="center" vertical="center" wrapText="1"/>
    </xf>
    <xf numFmtId="0" fontId="44" fillId="0" borderId="19" xfId="0" applyFont="1" applyBorder="1" applyAlignment="1">
      <alignment horizontal="center" vertical="center"/>
    </xf>
    <xf numFmtId="0" fontId="44" fillId="0" borderId="14" xfId="0" applyFont="1" applyBorder="1" applyAlignment="1">
      <alignment horizontal="center" vertical="center" wrapText="1"/>
    </xf>
    <xf numFmtId="0" fontId="44" fillId="0" borderId="0" xfId="0" applyFont="1" applyAlignment="1">
      <alignment horizontal="center" vertical="center"/>
    </xf>
    <xf numFmtId="0" fontId="44" fillId="0" borderId="14" xfId="0" applyFont="1" applyBorder="1" applyAlignment="1">
      <alignment horizontal="center" vertical="center"/>
    </xf>
    <xf numFmtId="0" fontId="44" fillId="0" borderId="16" xfId="0" applyFont="1" applyBorder="1" applyAlignment="1">
      <alignment horizontal="center" vertical="center"/>
    </xf>
    <xf numFmtId="0" fontId="44" fillId="0" borderId="18" xfId="0" applyFont="1" applyBorder="1" applyAlignment="1">
      <alignment horizontal="center" vertical="center"/>
    </xf>
    <xf numFmtId="0" fontId="43" fillId="12" borderId="20" xfId="0" applyFont="1" applyFill="1" applyBorder="1" applyAlignment="1">
      <alignment horizontal="center" vertical="center" wrapText="1" readingOrder="1"/>
    </xf>
    <xf numFmtId="0" fontId="43" fillId="12" borderId="21" xfId="0" applyFont="1" applyFill="1" applyBorder="1" applyAlignment="1">
      <alignment horizontal="center" vertical="center" wrapText="1" readingOrder="1"/>
    </xf>
    <xf numFmtId="0" fontId="43" fillId="12" borderId="22" xfId="0" applyFont="1" applyFill="1" applyBorder="1" applyAlignment="1">
      <alignment horizontal="center" vertical="center" wrapText="1" readingOrder="1"/>
    </xf>
    <xf numFmtId="0" fontId="43" fillId="12" borderId="23" xfId="0" applyFont="1" applyFill="1" applyBorder="1" applyAlignment="1">
      <alignment horizontal="center" vertical="center" wrapText="1" readingOrder="1"/>
    </xf>
    <xf numFmtId="0" fontId="43" fillId="12" borderId="0" xfId="0" applyFont="1" applyFill="1" applyAlignment="1">
      <alignment horizontal="center" vertical="center" wrapText="1" readingOrder="1"/>
    </xf>
    <xf numFmtId="0" fontId="43" fillId="12" borderId="24" xfId="0" applyFont="1" applyFill="1" applyBorder="1" applyAlignment="1">
      <alignment horizontal="center" vertical="center" wrapText="1" readingOrder="1"/>
    </xf>
    <xf numFmtId="0" fontId="43" fillId="12" borderId="25" xfId="0" applyFont="1" applyFill="1" applyBorder="1" applyAlignment="1">
      <alignment horizontal="center" vertical="center" wrapText="1" readingOrder="1"/>
    </xf>
    <xf numFmtId="0" fontId="43" fillId="12" borderId="26" xfId="0" applyFont="1" applyFill="1" applyBorder="1" applyAlignment="1">
      <alignment horizontal="center" vertical="center" wrapText="1" readingOrder="1"/>
    </xf>
    <xf numFmtId="0" fontId="43" fillId="12" borderId="27" xfId="0" applyFont="1" applyFill="1" applyBorder="1" applyAlignment="1">
      <alignment horizontal="center" vertical="center" wrapText="1" readingOrder="1"/>
    </xf>
    <xf numFmtId="0" fontId="42" fillId="0" borderId="0" xfId="0" applyFont="1" applyAlignment="1">
      <alignment horizontal="center" vertical="center" wrapText="1"/>
    </xf>
    <xf numFmtId="0" fontId="23" fillId="0" borderId="0" xfId="0" applyFont="1" applyAlignment="1">
      <alignment horizontal="center" vertical="center" wrapText="1"/>
    </xf>
    <xf numFmtId="0" fontId="44" fillId="0" borderId="13" xfId="0" applyFont="1" applyBorder="1" applyAlignment="1">
      <alignment horizontal="center" vertical="center"/>
    </xf>
    <xf numFmtId="0" fontId="44" fillId="0" borderId="15" xfId="0" applyFont="1" applyBorder="1" applyAlignment="1">
      <alignment horizontal="center" vertical="center"/>
    </xf>
    <xf numFmtId="0" fontId="44" fillId="0" borderId="17" xfId="0" applyFont="1" applyBorder="1" applyAlignment="1">
      <alignment horizontal="center" vertical="center"/>
    </xf>
    <xf numFmtId="0" fontId="43" fillId="5" borderId="20" xfId="0" applyFont="1" applyFill="1" applyBorder="1" applyAlignment="1">
      <alignment horizontal="center" vertical="center" wrapText="1" readingOrder="1"/>
    </xf>
    <xf numFmtId="0" fontId="43" fillId="5" borderId="21" xfId="0" applyFont="1" applyFill="1" applyBorder="1" applyAlignment="1">
      <alignment horizontal="center" vertical="center" wrapText="1" readingOrder="1"/>
    </xf>
    <xf numFmtId="0" fontId="43" fillId="5" borderId="22" xfId="0" applyFont="1" applyFill="1" applyBorder="1" applyAlignment="1">
      <alignment horizontal="center" vertical="center" wrapText="1" readingOrder="1"/>
    </xf>
    <xf numFmtId="0" fontId="43" fillId="5" borderId="23" xfId="0" applyFont="1" applyFill="1" applyBorder="1" applyAlignment="1">
      <alignment horizontal="center" vertical="center" wrapText="1" readingOrder="1"/>
    </xf>
    <xf numFmtId="0" fontId="43" fillId="5" borderId="0" xfId="0" applyFont="1" applyFill="1" applyAlignment="1">
      <alignment horizontal="center" vertical="center" wrapText="1" readingOrder="1"/>
    </xf>
    <xf numFmtId="0" fontId="43" fillId="5" borderId="24" xfId="0" applyFont="1" applyFill="1" applyBorder="1" applyAlignment="1">
      <alignment horizontal="center" vertical="center" wrapText="1" readingOrder="1"/>
    </xf>
    <xf numFmtId="0" fontId="43" fillId="5" borderId="25" xfId="0" applyFont="1" applyFill="1" applyBorder="1" applyAlignment="1">
      <alignment horizontal="center" vertical="center" wrapText="1" readingOrder="1"/>
    </xf>
    <xf numFmtId="0" fontId="43" fillId="5" borderId="26" xfId="0" applyFont="1" applyFill="1" applyBorder="1" applyAlignment="1">
      <alignment horizontal="center" vertical="center" wrapText="1" readingOrder="1"/>
    </xf>
    <xf numFmtId="0" fontId="43" fillId="5" borderId="27" xfId="0" applyFont="1" applyFill="1" applyBorder="1" applyAlignment="1">
      <alignment horizontal="center" vertical="center" wrapText="1" readingOrder="1"/>
    </xf>
    <xf numFmtId="0" fontId="43" fillId="13" borderId="20" xfId="0" applyFont="1" applyFill="1" applyBorder="1" applyAlignment="1">
      <alignment horizontal="center" vertical="center" wrapText="1" readingOrder="1"/>
    </xf>
    <xf numFmtId="0" fontId="43" fillId="13" borderId="21" xfId="0" applyFont="1" applyFill="1" applyBorder="1" applyAlignment="1">
      <alignment horizontal="center" vertical="center" wrapText="1" readingOrder="1"/>
    </xf>
    <xf numFmtId="0" fontId="43" fillId="13" borderId="22" xfId="0" applyFont="1" applyFill="1" applyBorder="1" applyAlignment="1">
      <alignment horizontal="center" vertical="center" wrapText="1" readingOrder="1"/>
    </xf>
    <xf numFmtId="0" fontId="43" fillId="13" borderId="23" xfId="0" applyFont="1" applyFill="1" applyBorder="1" applyAlignment="1">
      <alignment horizontal="center" vertical="center" wrapText="1" readingOrder="1"/>
    </xf>
    <xf numFmtId="0" fontId="43" fillId="13" borderId="0" xfId="0" applyFont="1" applyFill="1" applyAlignment="1">
      <alignment horizontal="center" vertical="center" wrapText="1" readingOrder="1"/>
    </xf>
    <xf numFmtId="0" fontId="43" fillId="13" borderId="24" xfId="0" applyFont="1" applyFill="1" applyBorder="1" applyAlignment="1">
      <alignment horizontal="center" vertical="center" wrapText="1" readingOrder="1"/>
    </xf>
    <xf numFmtId="0" fontId="43" fillId="13" borderId="25" xfId="0" applyFont="1" applyFill="1" applyBorder="1" applyAlignment="1">
      <alignment horizontal="center" vertical="center" wrapText="1" readingOrder="1"/>
    </xf>
    <xf numFmtId="0" fontId="43" fillId="13" borderId="26" xfId="0" applyFont="1" applyFill="1" applyBorder="1" applyAlignment="1">
      <alignment horizontal="center" vertical="center" wrapText="1" readingOrder="1"/>
    </xf>
    <xf numFmtId="0" fontId="43" fillId="13" borderId="27" xfId="0" applyFont="1" applyFill="1" applyBorder="1" applyAlignment="1">
      <alignment horizontal="center" vertical="center" wrapText="1" readingOrder="1"/>
    </xf>
    <xf numFmtId="0" fontId="44" fillId="0" borderId="19" xfId="0" applyFont="1" applyBorder="1" applyAlignment="1">
      <alignment horizontal="center" vertical="center" wrapText="1"/>
    </xf>
    <xf numFmtId="0" fontId="91" fillId="0" borderId="33" xfId="4" applyFont="1" applyBorder="1" applyAlignment="1">
      <alignment horizontal="left" vertical="top" wrapText="1"/>
    </xf>
    <xf numFmtId="0" fontId="16" fillId="3" borderId="33" xfId="4" applyFont="1" applyFill="1" applyBorder="1" applyAlignment="1">
      <alignment horizontal="center" vertical="center" wrapText="1"/>
    </xf>
    <xf numFmtId="0" fontId="71" fillId="0" borderId="81" xfId="0" applyFont="1" applyBorder="1" applyAlignment="1" applyProtection="1">
      <alignment horizontal="center" vertical="center" wrapText="1"/>
      <protection locked="0"/>
    </xf>
    <xf numFmtId="0" fontId="0" fillId="0" borderId="33" xfId="0" applyFont="1" applyBorder="1" applyAlignment="1" applyProtection="1">
      <alignment vertical="top" wrapText="1"/>
      <protection locked="0"/>
    </xf>
  </cellXfs>
  <cellStyles count="5">
    <cellStyle name="Normal" xfId="0" builtinId="0"/>
    <cellStyle name="Normal - Style1 2" xfId="2" xr:uid="{00000000-0005-0000-0000-000001000000}"/>
    <cellStyle name="Normal 2" xfId="4" xr:uid="{00000000-0005-0000-0000-000002000000}"/>
    <cellStyle name="Normal 2 2" xfId="3" xr:uid="{00000000-0005-0000-0000-000003000000}"/>
    <cellStyle name="Porcentaje" xfId="1" builtinId="5"/>
  </cellStyles>
  <dxfs count="920">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2" tint="-0.24994659260841701"/>
        </patternFill>
      </fill>
    </dxf>
    <dxf>
      <fill>
        <patternFill>
          <bgColor theme="9" tint="-0.24994659260841701"/>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rgb="FFFF66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FF00"/>
        </patternFill>
      </fill>
    </dxf>
    <dxf>
      <fill>
        <patternFill>
          <bgColor theme="9" tint="-0.24994659260841701"/>
        </patternFill>
      </fill>
    </dxf>
    <dxf>
      <fill>
        <patternFill>
          <bgColor theme="6"/>
        </patternFill>
      </fill>
    </dxf>
    <dxf>
      <fill>
        <patternFill>
          <bgColor rgb="FFFFFF00"/>
        </patternFill>
      </fill>
    </dxf>
    <dxf>
      <fill>
        <patternFill>
          <bgColor theme="6"/>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66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colors>
    <mruColors>
      <color rgb="FFEA6216"/>
      <color rgb="FFFFFF66"/>
      <color rgb="FFFFCC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tyles" Target="styles.xml"/><Relationship Id="rId36"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microsoft.com/office/2017/06/relationships/rdRichValueStructure" Target="richData/rdrichvaluestructur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Matriz Calor Inherente'!A1"/><Relationship Id="rId13" Type="http://schemas.openxmlformats.org/officeDocument/2006/relationships/hyperlink" Target="#'R.corrupci&#243;n alquiler'!A1"/><Relationship Id="rId3" Type="http://schemas.openxmlformats.org/officeDocument/2006/relationships/hyperlink" Target="#'Riesg de gesti&#243;n'!A1"/><Relationship Id="rId7" Type="http://schemas.openxmlformats.org/officeDocument/2006/relationships/hyperlink" Target="#'Datos del proceso'!A1"/><Relationship Id="rId12" Type="http://schemas.openxmlformats.org/officeDocument/2006/relationships/hyperlink" Target="#'Tabla Valoraci&#243;n controles'!A1"/><Relationship Id="rId2" Type="http://schemas.openxmlformats.org/officeDocument/2006/relationships/hyperlink" Target="#Intructivo!A1"/><Relationship Id="rId16"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hyperlink" Target="#SARLAF!A1"/><Relationship Id="rId11" Type="http://schemas.openxmlformats.org/officeDocument/2006/relationships/hyperlink" Target="#'Tabla Impacto'!A1"/><Relationship Id="rId5" Type="http://schemas.openxmlformats.org/officeDocument/2006/relationships/hyperlink" Target="#'Riesgos de segInf'!A1"/><Relationship Id="rId15" Type="http://schemas.openxmlformats.org/officeDocument/2006/relationships/hyperlink" Target="#'R.corrupci&#243;n expo'!A1"/><Relationship Id="rId10" Type="http://schemas.openxmlformats.org/officeDocument/2006/relationships/hyperlink" Target="#'Tabla probabilidad'!A1"/><Relationship Id="rId4" Type="http://schemas.openxmlformats.org/officeDocument/2006/relationships/hyperlink" Target="#'R.corrupci&#243;n estimulos'!A1"/><Relationship Id="rId9" Type="http://schemas.openxmlformats.org/officeDocument/2006/relationships/hyperlink" Target="#'Matriz Calor Residual'!A1"/><Relationship Id="rId14" Type="http://schemas.openxmlformats.org/officeDocument/2006/relationships/hyperlink" Target="#'R. corrupci&#243;n formaci&#243;n'!A1"/></Relationships>
</file>

<file path=xl/drawings/_rels/drawing10.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8.jpe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7.png"/><Relationship Id="rId4" Type="http://schemas.openxmlformats.org/officeDocument/2006/relationships/hyperlink" Target="#Portada!A1"/></Relationships>
</file>

<file path=xl/drawings/_rels/drawing1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4.jpe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hyperlink" Target="#Portada!A1"/><Relationship Id="rId6" Type="http://schemas.openxmlformats.org/officeDocument/2006/relationships/image" Target="../media/image2.emf"/><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7.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emf"/><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754065</xdr:colOff>
      <xdr:row>5</xdr:row>
      <xdr:rowOff>17196</xdr:rowOff>
    </xdr:from>
    <xdr:to>
      <xdr:col>4</xdr:col>
      <xdr:colOff>10582</xdr:colOff>
      <xdr:row>11</xdr:row>
      <xdr:rowOff>137150</xdr:rowOff>
    </xdr:to>
    <xdr:pic>
      <xdr:nvPicPr>
        <xdr:cNvPr id="15" name="Imagen 14">
          <a:extLst>
            <a:ext uri="{FF2B5EF4-FFF2-40B4-BE49-F238E27FC236}">
              <a16:creationId xmlns:a16="http://schemas.microsoft.com/office/drawing/2014/main" id="{24845F84-273E-4120-B21A-7D4FB1797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1982" y="906196"/>
          <a:ext cx="1542517" cy="1262954"/>
        </a:xfrm>
        <a:prstGeom prst="rect">
          <a:avLst/>
        </a:prstGeom>
      </xdr:spPr>
    </xdr:pic>
    <xdr:clientData/>
  </xdr:twoCellAnchor>
  <xdr:twoCellAnchor>
    <xdr:from>
      <xdr:col>8</xdr:col>
      <xdr:colOff>78581</xdr:colOff>
      <xdr:row>5</xdr:row>
      <xdr:rowOff>0</xdr:rowOff>
    </xdr:from>
    <xdr:to>
      <xdr:col>10</xdr:col>
      <xdr:colOff>30956</xdr:colOff>
      <xdr:row>10</xdr:row>
      <xdr:rowOff>0</xdr:rowOff>
    </xdr:to>
    <xdr:sp macro="" textlink="">
      <xdr:nvSpPr>
        <xdr:cNvPr id="2" name="Diagrama de flujo: terminador 1">
          <a:hlinkClick xmlns:r="http://schemas.openxmlformats.org/officeDocument/2006/relationships" r:id="rId2"/>
          <a:extLst>
            <a:ext uri="{FF2B5EF4-FFF2-40B4-BE49-F238E27FC236}">
              <a16:creationId xmlns:a16="http://schemas.microsoft.com/office/drawing/2014/main" id="{7AF19AA6-CC59-49A9-9AB0-E18D80DBF7C5}"/>
            </a:ext>
          </a:extLst>
        </xdr:cNvPr>
        <xdr:cNvSpPr/>
      </xdr:nvSpPr>
      <xdr:spPr>
        <a:xfrm>
          <a:off x="6103144" y="1428750"/>
          <a:ext cx="1476375" cy="952500"/>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marL="0" indent="0" algn="ctr"/>
          <a:r>
            <a:rPr lang="es-CO" sz="1100" b="1">
              <a:solidFill>
                <a:sysClr val="windowText" lastClr="000000"/>
              </a:solidFill>
              <a:latin typeface="+mn-lt"/>
              <a:ea typeface="+mn-ea"/>
              <a:cs typeface="+mn-cs"/>
            </a:rPr>
            <a:t>INSTRUCTIVO</a:t>
          </a:r>
        </a:p>
      </xdr:txBody>
    </xdr:sp>
    <xdr:clientData/>
  </xdr:twoCellAnchor>
  <xdr:twoCellAnchor>
    <xdr:from>
      <xdr:col>11</xdr:col>
      <xdr:colOff>16669</xdr:colOff>
      <xdr:row>5</xdr:row>
      <xdr:rowOff>11905</xdr:rowOff>
    </xdr:from>
    <xdr:to>
      <xdr:col>12</xdr:col>
      <xdr:colOff>731044</xdr:colOff>
      <xdr:row>9</xdr:row>
      <xdr:rowOff>166687</xdr:rowOff>
    </xdr:to>
    <xdr:sp macro="" textlink="">
      <xdr:nvSpPr>
        <xdr:cNvPr id="3" name="Diagrama de flujo: terminador 2">
          <a:hlinkClick xmlns:r="http://schemas.openxmlformats.org/officeDocument/2006/relationships" r:id="rId3"/>
          <a:extLst>
            <a:ext uri="{FF2B5EF4-FFF2-40B4-BE49-F238E27FC236}">
              <a16:creationId xmlns:a16="http://schemas.microsoft.com/office/drawing/2014/main" id="{922687E1-6B04-447F-891D-99E46F1A6DBB}"/>
            </a:ext>
          </a:extLst>
        </xdr:cNvPr>
        <xdr:cNvSpPr/>
      </xdr:nvSpPr>
      <xdr:spPr>
        <a:xfrm>
          <a:off x="8327232" y="1440655"/>
          <a:ext cx="1476375" cy="91678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GESTIÓN</a:t>
          </a:r>
        </a:p>
      </xdr:txBody>
    </xdr:sp>
    <xdr:clientData/>
  </xdr:twoCellAnchor>
  <xdr:twoCellAnchor>
    <xdr:from>
      <xdr:col>13</xdr:col>
      <xdr:colOff>432063</xdr:colOff>
      <xdr:row>5</xdr:row>
      <xdr:rowOff>59534</xdr:rowOff>
    </xdr:from>
    <xdr:to>
      <xdr:col>15</xdr:col>
      <xdr:colOff>384438</xdr:colOff>
      <xdr:row>10</xdr:row>
      <xdr:rowOff>35720</xdr:rowOff>
    </xdr:to>
    <xdr:sp macro="" textlink="">
      <xdr:nvSpPr>
        <xdr:cNvPr id="4" name="Diagrama de flujo: terminador 3">
          <a:hlinkClick xmlns:r="http://schemas.openxmlformats.org/officeDocument/2006/relationships" r:id="rId4"/>
          <a:extLst>
            <a:ext uri="{FF2B5EF4-FFF2-40B4-BE49-F238E27FC236}">
              <a16:creationId xmlns:a16="http://schemas.microsoft.com/office/drawing/2014/main" id="{24A28FC2-6306-488B-90BE-C4F6F070702B}"/>
            </a:ext>
          </a:extLst>
        </xdr:cNvPr>
        <xdr:cNvSpPr/>
      </xdr:nvSpPr>
      <xdr:spPr>
        <a:xfrm>
          <a:off x="10263980" y="948534"/>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ESTÍMULOS</a:t>
          </a:r>
        </a:p>
      </xdr:txBody>
    </xdr:sp>
    <xdr:clientData/>
  </xdr:twoCellAnchor>
  <xdr:twoCellAnchor>
    <xdr:from>
      <xdr:col>6</xdr:col>
      <xdr:colOff>664368</xdr:colOff>
      <xdr:row>11</xdr:row>
      <xdr:rowOff>35719</xdr:rowOff>
    </xdr:from>
    <xdr:to>
      <xdr:col>8</xdr:col>
      <xdr:colOff>616743</xdr:colOff>
      <xdr:row>16</xdr:row>
      <xdr:rowOff>11908</xdr:rowOff>
    </xdr:to>
    <xdr:sp macro="" textlink="">
      <xdr:nvSpPr>
        <xdr:cNvPr id="5" name="Diagrama de flujo: terminador 4">
          <a:hlinkClick xmlns:r="http://schemas.openxmlformats.org/officeDocument/2006/relationships" r:id="rId5"/>
          <a:extLst>
            <a:ext uri="{FF2B5EF4-FFF2-40B4-BE49-F238E27FC236}">
              <a16:creationId xmlns:a16="http://schemas.microsoft.com/office/drawing/2014/main" id="{AFD46DF4-307F-4AC7-BB5F-CF13038BDF4B}"/>
            </a:ext>
          </a:extLst>
        </xdr:cNvPr>
        <xdr:cNvSpPr/>
      </xdr:nvSpPr>
      <xdr:spPr>
        <a:xfrm>
          <a:off x="5164931" y="2035969"/>
          <a:ext cx="1476375" cy="928689"/>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SEGURIDAD</a:t>
          </a:r>
          <a:r>
            <a:rPr lang="es-CO" sz="1100" b="1" baseline="0">
              <a:solidFill>
                <a:sysClr val="windowText" lastClr="000000"/>
              </a:solidFill>
            </a:rPr>
            <a:t> DE LA INFORMACIÓN</a:t>
          </a:r>
          <a:endParaRPr lang="es-CO" sz="1100" b="1">
            <a:solidFill>
              <a:sysClr val="windowText" lastClr="000000"/>
            </a:solidFill>
          </a:endParaRPr>
        </a:p>
      </xdr:txBody>
    </xdr:sp>
    <xdr:clientData/>
  </xdr:twoCellAnchor>
  <xdr:twoCellAnchor>
    <xdr:from>
      <xdr:col>9</xdr:col>
      <xdr:colOff>402960</xdr:colOff>
      <xdr:row>11</xdr:row>
      <xdr:rowOff>68792</xdr:rowOff>
    </xdr:from>
    <xdr:to>
      <xdr:col>11</xdr:col>
      <xdr:colOff>355335</xdr:colOff>
      <xdr:row>16</xdr:row>
      <xdr:rowOff>28310</xdr:rowOff>
    </xdr:to>
    <xdr:sp macro="" textlink="">
      <xdr:nvSpPr>
        <xdr:cNvPr id="6" name="Diagrama de flujo: terminador 5">
          <a:hlinkClick xmlns:r="http://schemas.openxmlformats.org/officeDocument/2006/relationships" r:id="rId6"/>
          <a:extLst>
            <a:ext uri="{FF2B5EF4-FFF2-40B4-BE49-F238E27FC236}">
              <a16:creationId xmlns:a16="http://schemas.microsoft.com/office/drawing/2014/main" id="{904564B9-6F3A-471F-8929-68BC516CF4C8}"/>
            </a:ext>
          </a:extLst>
        </xdr:cNvPr>
        <xdr:cNvSpPr/>
      </xdr:nvSpPr>
      <xdr:spPr>
        <a:xfrm>
          <a:off x="7186877" y="2100792"/>
          <a:ext cx="1476375" cy="912018"/>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a:t>
          </a:r>
          <a:r>
            <a:rPr lang="es-CO" sz="1100" b="1" baseline="0">
              <a:solidFill>
                <a:sysClr val="windowText" lastClr="000000"/>
              </a:solidFill>
            </a:rPr>
            <a:t>  SARLAFT</a:t>
          </a:r>
          <a:endParaRPr lang="es-CO" sz="1100" b="1">
            <a:solidFill>
              <a:sysClr val="windowText" lastClr="000000"/>
            </a:solidFill>
          </a:endParaRPr>
        </a:p>
      </xdr:txBody>
    </xdr:sp>
    <xdr:clientData/>
  </xdr:twoCellAnchor>
  <xdr:twoCellAnchor>
    <xdr:from>
      <xdr:col>5</xdr:col>
      <xdr:colOff>19050</xdr:colOff>
      <xdr:row>5</xdr:row>
      <xdr:rowOff>23814</xdr:rowOff>
    </xdr:from>
    <xdr:to>
      <xdr:col>6</xdr:col>
      <xdr:colOff>733425</xdr:colOff>
      <xdr:row>10</xdr:row>
      <xdr:rowOff>11906</xdr:rowOff>
    </xdr:to>
    <xdr:sp macro="" textlink="">
      <xdr:nvSpPr>
        <xdr:cNvPr id="7" name="Diagrama de flujo: terminador 6">
          <a:hlinkClick xmlns:r="http://schemas.openxmlformats.org/officeDocument/2006/relationships" r:id="rId7"/>
          <a:extLst>
            <a:ext uri="{FF2B5EF4-FFF2-40B4-BE49-F238E27FC236}">
              <a16:creationId xmlns:a16="http://schemas.microsoft.com/office/drawing/2014/main" id="{8129F85B-81B3-461F-8E9B-3803EE4AE53D}"/>
            </a:ext>
          </a:extLst>
        </xdr:cNvPr>
        <xdr:cNvSpPr/>
      </xdr:nvSpPr>
      <xdr:spPr>
        <a:xfrm>
          <a:off x="3757613" y="1452564"/>
          <a:ext cx="1476375" cy="940592"/>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DATOS</a:t>
          </a:r>
          <a:r>
            <a:rPr lang="es-CO" sz="1100" b="1" baseline="0">
              <a:solidFill>
                <a:sysClr val="windowText" lastClr="000000"/>
              </a:solidFill>
            </a:rPr>
            <a:t> DEL PROCESO</a:t>
          </a:r>
          <a:endParaRPr lang="es-CO" sz="1100" b="1">
            <a:solidFill>
              <a:sysClr val="windowText" lastClr="000000"/>
            </a:solidFill>
          </a:endParaRPr>
        </a:p>
      </xdr:txBody>
    </xdr:sp>
    <xdr:clientData/>
  </xdr:twoCellAnchor>
  <xdr:twoCellAnchor>
    <xdr:from>
      <xdr:col>5</xdr:col>
      <xdr:colOff>23813</xdr:colOff>
      <xdr:row>18</xdr:row>
      <xdr:rowOff>35719</xdr:rowOff>
    </xdr:from>
    <xdr:to>
      <xdr:col>6</xdr:col>
      <xdr:colOff>738188</xdr:colOff>
      <xdr:row>21</xdr:row>
      <xdr:rowOff>188119</xdr:rowOff>
    </xdr:to>
    <xdr:sp macro="" textlink="">
      <xdr:nvSpPr>
        <xdr:cNvPr id="8" name="Rectángulo 7">
          <a:hlinkClick xmlns:r="http://schemas.openxmlformats.org/officeDocument/2006/relationships" r:id="rId8"/>
          <a:extLst>
            <a:ext uri="{FF2B5EF4-FFF2-40B4-BE49-F238E27FC236}">
              <a16:creationId xmlns:a16="http://schemas.microsoft.com/office/drawing/2014/main" id="{A9126D6A-9006-4470-9533-6596783648EA}"/>
            </a:ext>
          </a:extLst>
        </xdr:cNvPr>
        <xdr:cNvSpPr/>
      </xdr:nvSpPr>
      <xdr:spPr>
        <a:xfrm>
          <a:off x="3762376" y="3750469"/>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INHERENTE</a:t>
          </a:r>
          <a:endParaRPr lang="es-CO" sz="1100" b="1">
            <a:solidFill>
              <a:sysClr val="windowText" lastClr="000000"/>
            </a:solidFill>
          </a:endParaRPr>
        </a:p>
      </xdr:txBody>
    </xdr:sp>
    <xdr:clientData/>
  </xdr:twoCellAnchor>
  <xdr:twoCellAnchor>
    <xdr:from>
      <xdr:col>8</xdr:col>
      <xdr:colOff>21432</xdr:colOff>
      <xdr:row>18</xdr:row>
      <xdr:rowOff>21432</xdr:rowOff>
    </xdr:from>
    <xdr:to>
      <xdr:col>9</xdr:col>
      <xdr:colOff>735807</xdr:colOff>
      <xdr:row>21</xdr:row>
      <xdr:rowOff>173832</xdr:rowOff>
    </xdr:to>
    <xdr:sp macro="" textlink="">
      <xdr:nvSpPr>
        <xdr:cNvPr id="9" name="Rectángulo 8">
          <a:hlinkClick xmlns:r="http://schemas.openxmlformats.org/officeDocument/2006/relationships" r:id="rId9"/>
          <a:extLst>
            <a:ext uri="{FF2B5EF4-FFF2-40B4-BE49-F238E27FC236}">
              <a16:creationId xmlns:a16="http://schemas.microsoft.com/office/drawing/2014/main" id="{F6F2C46D-8824-4046-8E26-0865E93C1317}"/>
            </a:ext>
          </a:extLst>
        </xdr:cNvPr>
        <xdr:cNvSpPr/>
      </xdr:nvSpPr>
      <xdr:spPr>
        <a:xfrm>
          <a:off x="6045995" y="3736182"/>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CALOR RESIDUAL</a:t>
          </a:r>
          <a:endParaRPr lang="es-CO" sz="1100" b="1">
            <a:solidFill>
              <a:sysClr val="windowText" lastClr="000000"/>
            </a:solidFill>
          </a:endParaRPr>
        </a:p>
      </xdr:txBody>
    </xdr:sp>
    <xdr:clientData/>
  </xdr:twoCellAnchor>
  <xdr:twoCellAnchor>
    <xdr:from>
      <xdr:col>12</xdr:col>
      <xdr:colOff>19051</xdr:colOff>
      <xdr:row>18</xdr:row>
      <xdr:rowOff>7144</xdr:rowOff>
    </xdr:from>
    <xdr:to>
      <xdr:col>13</xdr:col>
      <xdr:colOff>733426</xdr:colOff>
      <xdr:row>21</xdr:row>
      <xdr:rowOff>159544</xdr:rowOff>
    </xdr:to>
    <xdr:sp macro="" textlink="">
      <xdr:nvSpPr>
        <xdr:cNvPr id="10" name="Rectángulo 9">
          <a:hlinkClick xmlns:r="http://schemas.openxmlformats.org/officeDocument/2006/relationships" r:id="rId10"/>
          <a:extLst>
            <a:ext uri="{FF2B5EF4-FFF2-40B4-BE49-F238E27FC236}">
              <a16:creationId xmlns:a16="http://schemas.microsoft.com/office/drawing/2014/main" id="{4A809EFB-8291-4297-BFBB-D672CF79D6BE}"/>
            </a:ext>
          </a:extLst>
        </xdr:cNvPr>
        <xdr:cNvSpPr/>
      </xdr:nvSpPr>
      <xdr:spPr>
        <a:xfrm>
          <a:off x="9091614" y="3721894"/>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a:t>
          </a:r>
          <a:r>
            <a:rPr lang="es-CO" sz="1100" b="1" baseline="0">
              <a:solidFill>
                <a:sysClr val="windowText" lastClr="000000"/>
              </a:solidFill>
            </a:rPr>
            <a:t> DE PROBABILIDAD</a:t>
          </a:r>
          <a:endParaRPr lang="es-CO" sz="1100" b="1">
            <a:solidFill>
              <a:sysClr val="windowText" lastClr="000000"/>
            </a:solidFill>
          </a:endParaRPr>
        </a:p>
      </xdr:txBody>
    </xdr:sp>
    <xdr:clientData/>
  </xdr:twoCellAnchor>
  <xdr:twoCellAnchor>
    <xdr:from>
      <xdr:col>15</xdr:col>
      <xdr:colOff>52389</xdr:colOff>
      <xdr:row>18</xdr:row>
      <xdr:rowOff>28576</xdr:rowOff>
    </xdr:from>
    <xdr:to>
      <xdr:col>17</xdr:col>
      <xdr:colOff>4764</xdr:colOff>
      <xdr:row>21</xdr:row>
      <xdr:rowOff>180976</xdr:rowOff>
    </xdr:to>
    <xdr:sp macro="" textlink="">
      <xdr:nvSpPr>
        <xdr:cNvPr id="11" name="Rectángulo 10">
          <a:hlinkClick xmlns:r="http://schemas.openxmlformats.org/officeDocument/2006/relationships" r:id="rId11"/>
          <a:extLst>
            <a:ext uri="{FF2B5EF4-FFF2-40B4-BE49-F238E27FC236}">
              <a16:creationId xmlns:a16="http://schemas.microsoft.com/office/drawing/2014/main" id="{206F0664-B8B9-4319-8E09-B8D98D512794}"/>
            </a:ext>
          </a:extLst>
        </xdr:cNvPr>
        <xdr:cNvSpPr/>
      </xdr:nvSpPr>
      <xdr:spPr>
        <a:xfrm>
          <a:off x="11410952" y="3743326"/>
          <a:ext cx="1476375" cy="723900"/>
        </a:xfrm>
        <a:prstGeom prst="rect">
          <a:avLst/>
        </a:prstGeom>
        <a:solidFill>
          <a:schemeClr val="accent2">
            <a:lumMod val="20000"/>
            <a:lumOff val="8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TABLA DE IMPACTO</a:t>
          </a:r>
        </a:p>
      </xdr:txBody>
    </xdr:sp>
    <xdr:clientData/>
  </xdr:twoCellAnchor>
  <xdr:twoCellAnchor>
    <xdr:from>
      <xdr:col>9</xdr:col>
      <xdr:colOff>11905</xdr:colOff>
      <xdr:row>24</xdr:row>
      <xdr:rowOff>9526</xdr:rowOff>
    </xdr:from>
    <xdr:to>
      <xdr:col>12</xdr:col>
      <xdr:colOff>750093</xdr:colOff>
      <xdr:row>27</xdr:row>
      <xdr:rowOff>161926</xdr:rowOff>
    </xdr:to>
    <xdr:sp macro="" textlink="">
      <xdr:nvSpPr>
        <xdr:cNvPr id="12" name="Rectángulo 11">
          <a:hlinkClick xmlns:r="http://schemas.openxmlformats.org/officeDocument/2006/relationships" r:id="rId12"/>
          <a:extLst>
            <a:ext uri="{FF2B5EF4-FFF2-40B4-BE49-F238E27FC236}">
              <a16:creationId xmlns:a16="http://schemas.microsoft.com/office/drawing/2014/main" id="{1C3F1FEC-03A3-4EB7-B680-3686E78AEC13}"/>
            </a:ext>
          </a:extLst>
        </xdr:cNvPr>
        <xdr:cNvSpPr/>
      </xdr:nvSpPr>
      <xdr:spPr>
        <a:xfrm>
          <a:off x="6798468" y="4867276"/>
          <a:ext cx="3024188" cy="723900"/>
        </a:xfrm>
        <a:prstGeom prst="rect">
          <a:avLst/>
        </a:prstGeom>
        <a:solidFill>
          <a:schemeClr val="accent6">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MATRIZ</a:t>
          </a:r>
          <a:r>
            <a:rPr lang="es-CO" sz="1100" b="1" baseline="0">
              <a:solidFill>
                <a:sysClr val="windowText" lastClr="000000"/>
              </a:solidFill>
            </a:rPr>
            <a:t> DE VALORACIÓN DE CONTROLES</a:t>
          </a:r>
          <a:endParaRPr lang="es-CO" sz="1100" b="1">
            <a:solidFill>
              <a:sysClr val="windowText" lastClr="000000"/>
            </a:solidFill>
          </a:endParaRPr>
        </a:p>
      </xdr:txBody>
    </xdr:sp>
    <xdr:clientData/>
  </xdr:twoCellAnchor>
  <xdr:oneCellAnchor>
    <xdr:from>
      <xdr:col>6</xdr:col>
      <xdr:colOff>522359</xdr:colOff>
      <xdr:row>1</xdr:row>
      <xdr:rowOff>0</xdr:rowOff>
    </xdr:from>
    <xdr:ext cx="5801396" cy="654844"/>
    <xdr:sp macro="" textlink="">
      <xdr:nvSpPr>
        <xdr:cNvPr id="13" name="Rectángulo 12">
          <a:extLst>
            <a:ext uri="{FF2B5EF4-FFF2-40B4-BE49-F238E27FC236}">
              <a16:creationId xmlns:a16="http://schemas.microsoft.com/office/drawing/2014/main" id="{539C57C0-6816-4606-8C10-D06B452D8A00}"/>
            </a:ext>
          </a:extLst>
        </xdr:cNvPr>
        <xdr:cNvSpPr/>
      </xdr:nvSpPr>
      <xdr:spPr>
        <a:xfrm>
          <a:off x="5022922" y="0"/>
          <a:ext cx="5801396" cy="654844"/>
        </a:xfrm>
        <a:prstGeom prst="rect">
          <a:avLst/>
        </a:prstGeom>
        <a:noFill/>
      </xdr:spPr>
      <xdr:txBody>
        <a:bodyPr wrap="none" lIns="91440" tIns="45720" rIns="91440" bIns="45720">
          <a:noAutofit/>
          <a:scene3d>
            <a:camera prst="orthographicFront"/>
            <a:lightRig rig="soft" dir="t">
              <a:rot lat="0" lon="0" rev="15600000"/>
            </a:lightRig>
          </a:scene3d>
          <a:sp3d extrusionH="57150" prstMaterial="softEdge">
            <a:bevelT w="25400" h="38100"/>
          </a:sp3d>
        </a:bodyPr>
        <a:lstStyle/>
        <a:p>
          <a:pPr algn="ctr"/>
          <a:r>
            <a:rPr lang="es-ES" sz="5400" b="1" cap="none" spc="0">
              <a:ln/>
              <a:solidFill>
                <a:schemeClr val="accent4"/>
              </a:solidFill>
              <a:effectLst/>
            </a:rPr>
            <a:t>FICHAS</a:t>
          </a:r>
          <a:r>
            <a:rPr lang="es-ES" sz="5400" b="1" cap="none" spc="0" baseline="0">
              <a:ln/>
              <a:solidFill>
                <a:schemeClr val="accent4"/>
              </a:solidFill>
              <a:effectLst/>
            </a:rPr>
            <a:t> DE RIESGOS</a:t>
          </a:r>
          <a:endParaRPr lang="es-ES" sz="5400" b="1" cap="none" spc="0">
            <a:ln/>
            <a:solidFill>
              <a:schemeClr val="accent4"/>
            </a:solidFill>
            <a:effectLst/>
          </a:endParaRPr>
        </a:p>
      </xdr:txBody>
    </xdr:sp>
    <xdr:clientData/>
  </xdr:oneCellAnchor>
  <xdr:twoCellAnchor>
    <xdr:from>
      <xdr:col>16</xdr:col>
      <xdr:colOff>179917</xdr:colOff>
      <xdr:row>5</xdr:row>
      <xdr:rowOff>74083</xdr:rowOff>
    </xdr:from>
    <xdr:to>
      <xdr:col>18</xdr:col>
      <xdr:colOff>132292</xdr:colOff>
      <xdr:row>10</xdr:row>
      <xdr:rowOff>50269</xdr:rowOff>
    </xdr:to>
    <xdr:sp macro="" textlink="">
      <xdr:nvSpPr>
        <xdr:cNvPr id="16" name="Diagrama de flujo: terminador 15">
          <a:hlinkClick xmlns:r="http://schemas.openxmlformats.org/officeDocument/2006/relationships" r:id="rId13"/>
          <a:extLst>
            <a:ext uri="{FF2B5EF4-FFF2-40B4-BE49-F238E27FC236}">
              <a16:creationId xmlns:a16="http://schemas.microsoft.com/office/drawing/2014/main" id="{09827C4D-23FD-4B18-BA9D-0AF2776B32D4}"/>
            </a:ext>
          </a:extLst>
        </xdr:cNvPr>
        <xdr:cNvSpPr/>
      </xdr:nvSpPr>
      <xdr:spPr>
        <a:xfrm>
          <a:off x="12297834" y="963083"/>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ALQUILERES</a:t>
          </a:r>
        </a:p>
      </xdr:txBody>
    </xdr:sp>
    <xdr:clientData/>
  </xdr:twoCellAnchor>
  <xdr:twoCellAnchor>
    <xdr:from>
      <xdr:col>12</xdr:col>
      <xdr:colOff>78317</xdr:colOff>
      <xdr:row>11</xdr:row>
      <xdr:rowOff>78316</xdr:rowOff>
    </xdr:from>
    <xdr:to>
      <xdr:col>14</xdr:col>
      <xdr:colOff>30692</xdr:colOff>
      <xdr:row>16</xdr:row>
      <xdr:rowOff>54502</xdr:rowOff>
    </xdr:to>
    <xdr:sp macro="" textlink="">
      <xdr:nvSpPr>
        <xdr:cNvPr id="17" name="Diagrama de flujo: terminador 16">
          <a:hlinkClick xmlns:r="http://schemas.openxmlformats.org/officeDocument/2006/relationships" r:id="rId14"/>
          <a:extLst>
            <a:ext uri="{FF2B5EF4-FFF2-40B4-BE49-F238E27FC236}">
              <a16:creationId xmlns:a16="http://schemas.microsoft.com/office/drawing/2014/main" id="{6E2CC61C-BFFF-4614-8D1E-CD6325A138FB}"/>
            </a:ext>
          </a:extLst>
        </xdr:cNvPr>
        <xdr:cNvSpPr/>
      </xdr:nvSpPr>
      <xdr:spPr>
        <a:xfrm>
          <a:off x="9148234" y="2110316"/>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a:t>
          </a:r>
          <a:r>
            <a:rPr lang="es-CO" sz="1100" b="1" baseline="0">
              <a:solidFill>
                <a:sysClr val="windowText" lastClr="000000"/>
              </a:solidFill>
            </a:rPr>
            <a:t> FORMACIÓN</a:t>
          </a:r>
          <a:endParaRPr lang="es-CO" sz="1100" b="1">
            <a:solidFill>
              <a:sysClr val="windowText" lastClr="000000"/>
            </a:solidFill>
          </a:endParaRPr>
        </a:p>
      </xdr:txBody>
    </xdr:sp>
    <xdr:clientData/>
  </xdr:twoCellAnchor>
  <xdr:twoCellAnchor>
    <xdr:from>
      <xdr:col>14</xdr:col>
      <xdr:colOff>463551</xdr:colOff>
      <xdr:row>11</xdr:row>
      <xdr:rowOff>61383</xdr:rowOff>
    </xdr:from>
    <xdr:to>
      <xdr:col>16</xdr:col>
      <xdr:colOff>415926</xdr:colOff>
      <xdr:row>16</xdr:row>
      <xdr:rowOff>37569</xdr:rowOff>
    </xdr:to>
    <xdr:sp macro="" textlink="">
      <xdr:nvSpPr>
        <xdr:cNvPr id="18" name="Diagrama de flujo: terminador 17">
          <a:hlinkClick xmlns:r="http://schemas.openxmlformats.org/officeDocument/2006/relationships" r:id="rId15"/>
          <a:extLst>
            <a:ext uri="{FF2B5EF4-FFF2-40B4-BE49-F238E27FC236}">
              <a16:creationId xmlns:a16="http://schemas.microsoft.com/office/drawing/2014/main" id="{C82C3FDE-90C1-4D70-AA36-7DEE7BE2AFEF}"/>
            </a:ext>
          </a:extLst>
        </xdr:cNvPr>
        <xdr:cNvSpPr/>
      </xdr:nvSpPr>
      <xdr:spPr>
        <a:xfrm>
          <a:off x="11057468" y="2093383"/>
          <a:ext cx="1476375" cy="928686"/>
        </a:xfrm>
        <a:prstGeom prst="flowChartTerminator">
          <a:avLst/>
        </a:prstGeom>
        <a:solidFill>
          <a:srgbClr val="0070C0"/>
        </a:solidFill>
        <a:scene3d>
          <a:camera prst="perspectiveRelaxedModerately"/>
          <a:lightRig rig="threePt" dir="t"/>
        </a:scene3d>
        <a:sp3d>
          <a:bevelT prst="angle"/>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s-CO" sz="1100" b="1">
              <a:solidFill>
                <a:sysClr val="windowText" lastClr="000000"/>
              </a:solidFill>
            </a:rPr>
            <a:t>RIESGOS DE CORRUPCIÓN </a:t>
          </a:r>
          <a:r>
            <a:rPr lang="es-CO" sz="1100" b="1" baseline="0">
              <a:solidFill>
                <a:sysClr val="windowText" lastClr="000000"/>
              </a:solidFill>
            </a:rPr>
            <a:t> EXPOSICIONES</a:t>
          </a:r>
          <a:endParaRPr lang="es-CO" sz="1100" b="1">
            <a:solidFill>
              <a:sysClr val="windowText" lastClr="000000"/>
            </a:solidFill>
          </a:endParaRPr>
        </a:p>
      </xdr:txBody>
    </xdr:sp>
    <xdr:clientData/>
  </xdr:twoCellAnchor>
  <xdr:twoCellAnchor editAs="oneCell">
    <xdr:from>
      <xdr:col>1</xdr:col>
      <xdr:colOff>0</xdr:colOff>
      <xdr:row>0</xdr:row>
      <xdr:rowOff>0</xdr:rowOff>
    </xdr:from>
    <xdr:to>
      <xdr:col>19</xdr:col>
      <xdr:colOff>747712</xdr:colOff>
      <xdr:row>0</xdr:row>
      <xdr:rowOff>951932</xdr:rowOff>
    </xdr:to>
    <xdr:pic>
      <xdr:nvPicPr>
        <xdr:cNvPr id="19" name="Imagen 18">
          <a:extLst>
            <a:ext uri="{FF2B5EF4-FFF2-40B4-BE49-F238E27FC236}">
              <a16:creationId xmlns:a16="http://schemas.microsoft.com/office/drawing/2014/main" id="{A208F886-48B7-40C8-9174-0CFF0CDEA43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87917" y="0"/>
          <a:ext cx="14463712" cy="951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112</xdr:col>
      <xdr:colOff>0</xdr:colOff>
      <xdr:row>15</xdr:row>
      <xdr:rowOff>0</xdr:rowOff>
    </xdr:from>
    <xdr:to>
      <xdr:col>124</xdr:col>
      <xdr:colOff>47625</xdr:colOff>
      <xdr:row>22</xdr:row>
      <xdr:rowOff>1989798</xdr:rowOff>
    </xdr:to>
    <xdr:pic>
      <xdr:nvPicPr>
        <xdr:cNvPr id="2" name="Imagen 1">
          <a:extLst>
            <a:ext uri="{FF2B5EF4-FFF2-40B4-BE49-F238E27FC236}">
              <a16:creationId xmlns:a16="http://schemas.microsoft.com/office/drawing/2014/main" id="{5E53BAD8-6967-4AD2-B4A7-D8A8555EA968}"/>
            </a:ext>
          </a:extLst>
        </xdr:cNvPr>
        <xdr:cNvPicPr>
          <a:picLocks noChangeAspect="1"/>
        </xdr:cNvPicPr>
      </xdr:nvPicPr>
      <xdr:blipFill rotWithShape="1">
        <a:blip xmlns:r="http://schemas.openxmlformats.org/officeDocument/2006/relationships" r:embed="rId1"/>
        <a:srcRect l="59879" t="18193" r="9919" b="40731"/>
        <a:stretch/>
      </xdr:blipFill>
      <xdr:spPr>
        <a:xfrm>
          <a:off x="107584875" y="7553325"/>
          <a:ext cx="9191625" cy="7009473"/>
        </a:xfrm>
        <a:prstGeom prst="rect">
          <a:avLst/>
        </a:prstGeom>
      </xdr:spPr>
    </xdr:pic>
    <xdr:clientData/>
  </xdr:twoCellAnchor>
  <xdr:twoCellAnchor editAs="oneCell">
    <xdr:from>
      <xdr:col>112</xdr:col>
      <xdr:colOff>432954</xdr:colOff>
      <xdr:row>47</xdr:row>
      <xdr:rowOff>0</xdr:rowOff>
    </xdr:from>
    <xdr:to>
      <xdr:col>123</xdr:col>
      <xdr:colOff>504392</xdr:colOff>
      <xdr:row>73</xdr:row>
      <xdr:rowOff>56766</xdr:rowOff>
    </xdr:to>
    <xdr:pic>
      <xdr:nvPicPr>
        <xdr:cNvPr id="3" name="Imagen 2">
          <a:extLst>
            <a:ext uri="{FF2B5EF4-FFF2-40B4-BE49-F238E27FC236}">
              <a16:creationId xmlns:a16="http://schemas.microsoft.com/office/drawing/2014/main" id="{32C3E4B3-9CD4-4794-BD7C-8AE1DF05FAF3}"/>
            </a:ext>
          </a:extLst>
        </xdr:cNvPr>
        <xdr:cNvPicPr>
          <a:picLocks noChangeAspect="1"/>
        </xdr:cNvPicPr>
      </xdr:nvPicPr>
      <xdr:blipFill rotWithShape="1">
        <a:blip xmlns:r="http://schemas.openxmlformats.org/officeDocument/2006/relationships" r:embed="rId2"/>
        <a:srcRect l="27822" t="9471" r="29313" b="6238"/>
        <a:stretch/>
      </xdr:blipFill>
      <xdr:spPr>
        <a:xfrm>
          <a:off x="108017829" y="22831425"/>
          <a:ext cx="8453438" cy="9353166"/>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360035</xdr:rowOff>
    </xdr:to>
    <xdr:pic>
      <xdr:nvPicPr>
        <xdr:cNvPr id="4" name="Imagen 3"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81B1C20E-6C5A-4DCF-B152-FCEAB43F5969}"/>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1362075"/>
          <a:ext cx="1028700" cy="10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15</xdr:col>
      <xdr:colOff>994342</xdr:colOff>
      <xdr:row>1</xdr:row>
      <xdr:rowOff>17008</xdr:rowOff>
    </xdr:to>
    <xdr:pic>
      <xdr:nvPicPr>
        <xdr:cNvPr id="5" name="Imagen 4">
          <a:extLst>
            <a:ext uri="{FF2B5EF4-FFF2-40B4-BE49-F238E27FC236}">
              <a16:creationId xmlns:a16="http://schemas.microsoft.com/office/drawing/2014/main" id="{376F516D-643C-4D95-A58A-B14F6B73D5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2475" y="0"/>
          <a:ext cx="24444892" cy="1379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1015093</xdr:colOff>
      <xdr:row>2</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576E7537-060E-4C45-B1B4-F160972B2F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19175"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27214</xdr:colOff>
      <xdr:row>0</xdr:row>
      <xdr:rowOff>1</xdr:rowOff>
    </xdr:from>
    <xdr:to>
      <xdr:col>25</xdr:col>
      <xdr:colOff>461961</xdr:colOff>
      <xdr:row>0</xdr:row>
      <xdr:rowOff>1289381</xdr:rowOff>
    </xdr:to>
    <xdr:pic>
      <xdr:nvPicPr>
        <xdr:cNvPr id="3" name="Imagen 2">
          <a:extLst>
            <a:ext uri="{FF2B5EF4-FFF2-40B4-BE49-F238E27FC236}">
              <a16:creationId xmlns:a16="http://schemas.microsoft.com/office/drawing/2014/main" id="{F3941440-F641-4D2F-96E4-AEA2642675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82535" y="1"/>
          <a:ext cx="22927355" cy="128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86</xdr:col>
      <xdr:colOff>2232314</xdr:colOff>
      <xdr:row>10</xdr:row>
      <xdr:rowOff>98961</xdr:rowOff>
    </xdr:from>
    <xdr:to>
      <xdr:col>93</xdr:col>
      <xdr:colOff>63212</xdr:colOff>
      <xdr:row>25</xdr:row>
      <xdr:rowOff>316241</xdr:rowOff>
    </xdr:to>
    <xdr:pic>
      <xdr:nvPicPr>
        <xdr:cNvPr id="2" name="Imagen 1">
          <a:extLst>
            <a:ext uri="{FF2B5EF4-FFF2-40B4-BE49-F238E27FC236}">
              <a16:creationId xmlns:a16="http://schemas.microsoft.com/office/drawing/2014/main" id="{11CDA49C-D4E3-4903-9121-85F31C5F0947}"/>
            </a:ext>
          </a:extLst>
        </xdr:cNvPr>
        <xdr:cNvPicPr>
          <a:picLocks noChangeAspect="1"/>
        </xdr:cNvPicPr>
      </xdr:nvPicPr>
      <xdr:blipFill rotWithShape="1">
        <a:blip xmlns:r="http://schemas.openxmlformats.org/officeDocument/2006/relationships" r:embed="rId1"/>
        <a:srcRect l="59879" t="18193" r="9919" b="40731"/>
        <a:stretch/>
      </xdr:blipFill>
      <xdr:spPr>
        <a:xfrm>
          <a:off x="63592364" y="2165886"/>
          <a:ext cx="9203748" cy="7005431"/>
        </a:xfrm>
        <a:prstGeom prst="rect">
          <a:avLst/>
        </a:prstGeom>
      </xdr:spPr>
    </xdr:pic>
    <xdr:clientData/>
  </xdr:twoCellAnchor>
  <xdr:twoCellAnchor editAs="oneCell">
    <xdr:from>
      <xdr:col>100</xdr:col>
      <xdr:colOff>419100</xdr:colOff>
      <xdr:row>41</xdr:row>
      <xdr:rowOff>76200</xdr:rowOff>
    </xdr:from>
    <xdr:to>
      <xdr:col>111</xdr:col>
      <xdr:colOff>519546</xdr:colOff>
      <xdr:row>67</xdr:row>
      <xdr:rowOff>180592</xdr:rowOff>
    </xdr:to>
    <xdr:pic>
      <xdr:nvPicPr>
        <xdr:cNvPr id="3" name="Imagen 2">
          <a:extLst>
            <a:ext uri="{FF2B5EF4-FFF2-40B4-BE49-F238E27FC236}">
              <a16:creationId xmlns:a16="http://schemas.microsoft.com/office/drawing/2014/main" id="{46443EA3-0E3C-42AB-9B70-831A1A597F5E}"/>
            </a:ext>
          </a:extLst>
        </xdr:cNvPr>
        <xdr:cNvPicPr>
          <a:picLocks noChangeAspect="1"/>
        </xdr:cNvPicPr>
      </xdr:nvPicPr>
      <xdr:blipFill rotWithShape="1">
        <a:blip xmlns:r="http://schemas.openxmlformats.org/officeDocument/2006/relationships" r:embed="rId2"/>
        <a:srcRect l="27822" t="9471" r="29313" b="6238"/>
        <a:stretch/>
      </xdr:blipFill>
      <xdr:spPr>
        <a:xfrm>
          <a:off x="80552925" y="17202150"/>
          <a:ext cx="8482446" cy="9343642"/>
        </a:xfrm>
        <a:prstGeom prst="rect">
          <a:avLst/>
        </a:prstGeom>
      </xdr:spPr>
    </xdr:pic>
    <xdr:clientData/>
  </xdr:twoCellAnchor>
  <xdr:twoCellAnchor editAs="oneCell">
    <xdr:from>
      <xdr:col>3</xdr:col>
      <xdr:colOff>1182157</xdr:colOff>
      <xdr:row>2</xdr:row>
      <xdr:rowOff>52917</xdr:rowOff>
    </xdr:from>
    <xdr:to>
      <xdr:col>4</xdr:col>
      <xdr:colOff>1465298</xdr:colOff>
      <xdr:row>3</xdr:row>
      <xdr:rowOff>371473</xdr:rowOff>
    </xdr:to>
    <xdr:pic>
      <xdr:nvPicPr>
        <xdr:cNvPr id="4" name="1 Imagen" descr="Logo FUGA ALCALDIA-02.png">
          <a:extLst>
            <a:ext uri="{FF2B5EF4-FFF2-40B4-BE49-F238E27FC236}">
              <a16:creationId xmlns:a16="http://schemas.microsoft.com/office/drawing/2014/main" id="{A508D7EE-93A9-4D22-A6DC-0C7B98465DB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63157" y="224367"/>
          <a:ext cx="1988116" cy="737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392908</xdr:colOff>
      <xdr:row>0</xdr:row>
      <xdr:rowOff>0</xdr:rowOff>
    </xdr:from>
    <xdr:to>
      <xdr:col>3</xdr:col>
      <xdr:colOff>1238252</xdr:colOff>
      <xdr:row>0</xdr:row>
      <xdr:rowOff>870354</xdr:rowOff>
    </xdr:to>
    <xdr:pic>
      <xdr:nvPicPr>
        <xdr:cNvPr id="5" name="Imagen 4">
          <a:hlinkClick xmlns:r="http://schemas.openxmlformats.org/officeDocument/2006/relationships" r:id="rId4"/>
          <a:extLst>
            <a:ext uri="{FF2B5EF4-FFF2-40B4-BE49-F238E27FC236}">
              <a16:creationId xmlns:a16="http://schemas.microsoft.com/office/drawing/2014/main" id="{1C4D0694-F124-49C3-AD03-CFAF2B8DCD52}"/>
            </a:ext>
          </a:extLst>
        </xdr:cNvPr>
        <xdr:cNvPicPr>
          <a:picLocks noChangeAspect="1"/>
        </xdr:cNvPicPr>
      </xdr:nvPicPr>
      <xdr:blipFill>
        <a:blip xmlns:r="http://schemas.openxmlformats.org/officeDocument/2006/relationships" r:embed="rId5"/>
        <a:stretch>
          <a:fillRect/>
        </a:stretch>
      </xdr:blipFill>
      <xdr:spPr>
        <a:xfrm>
          <a:off x="773908" y="0"/>
          <a:ext cx="845344" cy="8703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123825</xdr:colOff>
      <xdr:row>1</xdr:row>
      <xdr:rowOff>0</xdr:rowOff>
    </xdr:from>
    <xdr:to>
      <xdr:col>0</xdr:col>
      <xdr:colOff>904875</xdr:colOff>
      <xdr:row>3</xdr:row>
      <xdr:rowOff>184577</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DF7CBDD2-DDB3-4E32-B8BA-611FBDA0A3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0"/>
          <a:ext cx="781050" cy="803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1107280</xdr:colOff>
      <xdr:row>0</xdr:row>
      <xdr:rowOff>0</xdr:rowOff>
    </xdr:from>
    <xdr:to>
      <xdr:col>6</xdr:col>
      <xdr:colOff>988218</xdr:colOff>
      <xdr:row>0</xdr:row>
      <xdr:rowOff>583406</xdr:rowOff>
    </xdr:to>
    <xdr:pic>
      <xdr:nvPicPr>
        <xdr:cNvPr id="3" name="Imagen 2">
          <a:extLst>
            <a:ext uri="{FF2B5EF4-FFF2-40B4-BE49-F238E27FC236}">
              <a16:creationId xmlns:a16="http://schemas.microsoft.com/office/drawing/2014/main" id="{9C61DDA6-D887-4874-BC3C-94E28B1E57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7468" y="0"/>
          <a:ext cx="7739063" cy="583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139700</xdr:colOff>
      <xdr:row>1</xdr:row>
      <xdr:rowOff>0</xdr:rowOff>
    </xdr:from>
    <xdr:to>
      <xdr:col>0</xdr:col>
      <xdr:colOff>1168400</xdr:colOff>
      <xdr:row>3</xdr:row>
      <xdr:rowOff>93334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0EE94AAE-E19A-4824-87BD-399E21DC5C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208643</xdr:colOff>
      <xdr:row>15</xdr:row>
      <xdr:rowOff>259703</xdr:rowOff>
    </xdr:from>
    <xdr:to>
      <xdr:col>2</xdr:col>
      <xdr:colOff>3159125</xdr:colOff>
      <xdr:row>30</xdr:row>
      <xdr:rowOff>262881</xdr:rowOff>
    </xdr:to>
    <xdr:pic>
      <xdr:nvPicPr>
        <xdr:cNvPr id="6" name="Imagen 5">
          <a:extLst>
            <a:ext uri="{FF2B5EF4-FFF2-40B4-BE49-F238E27FC236}">
              <a16:creationId xmlns:a16="http://schemas.microsoft.com/office/drawing/2014/main" id="{5B7F54C2-8041-4869-8BF8-E36C4D629299}"/>
            </a:ext>
          </a:extLst>
        </xdr:cNvPr>
        <xdr:cNvPicPr>
          <a:picLocks noChangeAspect="1"/>
        </xdr:cNvPicPr>
      </xdr:nvPicPr>
      <xdr:blipFill rotWithShape="1">
        <a:blip xmlns:r="http://schemas.openxmlformats.org/officeDocument/2006/relationships" r:embed="rId3"/>
        <a:srcRect l="16546" t="19697" r="62395" b="13168"/>
        <a:stretch/>
      </xdr:blipFill>
      <xdr:spPr>
        <a:xfrm>
          <a:off x="208643" y="8403578"/>
          <a:ext cx="6391388" cy="6218241"/>
        </a:xfrm>
        <a:prstGeom prst="rect">
          <a:avLst/>
        </a:prstGeom>
      </xdr:spPr>
    </xdr:pic>
    <xdr:clientData/>
  </xdr:twoCellAnchor>
  <xdr:twoCellAnchor editAs="oneCell">
    <xdr:from>
      <xdr:col>0</xdr:col>
      <xdr:colOff>225616</xdr:colOff>
      <xdr:row>42</xdr:row>
      <xdr:rowOff>121227</xdr:rowOff>
    </xdr:from>
    <xdr:to>
      <xdr:col>2</xdr:col>
      <xdr:colOff>3122083</xdr:colOff>
      <xdr:row>53</xdr:row>
      <xdr:rowOff>125349</xdr:rowOff>
    </xdr:to>
    <xdr:pic>
      <xdr:nvPicPr>
        <xdr:cNvPr id="7" name="Imagen 6">
          <a:extLst>
            <a:ext uri="{FF2B5EF4-FFF2-40B4-BE49-F238E27FC236}">
              <a16:creationId xmlns:a16="http://schemas.microsoft.com/office/drawing/2014/main" id="{AB3ACDD8-B663-417D-A8A4-3EF987EDA04A}"/>
            </a:ext>
          </a:extLst>
        </xdr:cNvPr>
        <xdr:cNvPicPr>
          <a:picLocks noChangeAspect="1"/>
        </xdr:cNvPicPr>
      </xdr:nvPicPr>
      <xdr:blipFill rotWithShape="1">
        <a:blip xmlns:r="http://schemas.openxmlformats.org/officeDocument/2006/relationships" r:embed="rId4"/>
        <a:srcRect l="16650" t="31043" r="62474" b="41429"/>
        <a:stretch/>
      </xdr:blipFill>
      <xdr:spPr>
        <a:xfrm>
          <a:off x="225616" y="19349821"/>
          <a:ext cx="6337373" cy="2552059"/>
        </a:xfrm>
        <a:prstGeom prst="rect">
          <a:avLst/>
        </a:prstGeom>
      </xdr:spPr>
    </xdr:pic>
    <xdr:clientData/>
  </xdr:twoCellAnchor>
  <xdr:twoCellAnchor editAs="oneCell">
    <xdr:from>
      <xdr:col>0</xdr:col>
      <xdr:colOff>170054</xdr:colOff>
      <xdr:row>55</xdr:row>
      <xdr:rowOff>125315</xdr:rowOff>
    </xdr:from>
    <xdr:to>
      <xdr:col>2</xdr:col>
      <xdr:colOff>3122082</xdr:colOff>
      <xdr:row>65</xdr:row>
      <xdr:rowOff>175401</xdr:rowOff>
    </xdr:to>
    <xdr:pic>
      <xdr:nvPicPr>
        <xdr:cNvPr id="8" name="Imagen 7">
          <a:extLst>
            <a:ext uri="{FF2B5EF4-FFF2-40B4-BE49-F238E27FC236}">
              <a16:creationId xmlns:a16="http://schemas.microsoft.com/office/drawing/2014/main" id="{55AC82C5-D58C-4E7E-AA54-842A97C01A5E}"/>
            </a:ext>
          </a:extLst>
        </xdr:cNvPr>
        <xdr:cNvPicPr>
          <a:picLocks noChangeAspect="1"/>
        </xdr:cNvPicPr>
      </xdr:nvPicPr>
      <xdr:blipFill rotWithShape="1">
        <a:blip xmlns:r="http://schemas.openxmlformats.org/officeDocument/2006/relationships" r:embed="rId5"/>
        <a:srcRect l="16522" t="28180" r="62487" b="50823"/>
        <a:stretch/>
      </xdr:blipFill>
      <xdr:spPr>
        <a:xfrm>
          <a:off x="170054" y="22282846"/>
          <a:ext cx="6392934" cy="1955086"/>
        </a:xfrm>
        <a:prstGeom prst="rect">
          <a:avLst/>
        </a:prstGeom>
      </xdr:spPr>
    </xdr:pic>
    <xdr:clientData/>
  </xdr:twoCellAnchor>
  <xdr:twoCellAnchor editAs="oneCell">
    <xdr:from>
      <xdr:col>1</xdr:col>
      <xdr:colOff>0</xdr:colOff>
      <xdr:row>0</xdr:row>
      <xdr:rowOff>0</xdr:rowOff>
    </xdr:from>
    <xdr:to>
      <xdr:col>8</xdr:col>
      <xdr:colOff>76200</xdr:colOff>
      <xdr:row>0</xdr:row>
      <xdr:rowOff>1066800</xdr:rowOff>
    </xdr:to>
    <xdr:pic>
      <xdr:nvPicPr>
        <xdr:cNvPr id="9" name="Imagen 8">
          <a:extLst>
            <a:ext uri="{FF2B5EF4-FFF2-40B4-BE49-F238E27FC236}">
              <a16:creationId xmlns:a16="http://schemas.microsoft.com/office/drawing/2014/main" id="{F73A4A68-68C9-4535-AB13-D4CBF39058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00200" y="0"/>
          <a:ext cx="1560195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190501</xdr:colOff>
      <xdr:row>1</xdr:row>
      <xdr:rowOff>43296</xdr:rowOff>
    </xdr:from>
    <xdr:to>
      <xdr:col>1</xdr:col>
      <xdr:colOff>952501</xdr:colOff>
      <xdr:row>1</xdr:row>
      <xdr:rowOff>827841</xdr:rowOff>
    </xdr:to>
    <xdr:pic>
      <xdr:nvPicPr>
        <xdr:cNvPr id="2" name="Imagen 1">
          <a:hlinkClick xmlns:r="http://schemas.openxmlformats.org/officeDocument/2006/relationships" r:id="rId1"/>
          <a:extLst>
            <a:ext uri="{FF2B5EF4-FFF2-40B4-BE49-F238E27FC236}">
              <a16:creationId xmlns:a16="http://schemas.microsoft.com/office/drawing/2014/main" id="{EF2A53E0-D6C2-4A2F-A8F0-A6970D68914E}"/>
            </a:ext>
          </a:extLst>
        </xdr:cNvPr>
        <xdr:cNvPicPr>
          <a:picLocks noChangeAspect="1"/>
        </xdr:cNvPicPr>
      </xdr:nvPicPr>
      <xdr:blipFill>
        <a:blip xmlns:r="http://schemas.openxmlformats.org/officeDocument/2006/relationships" r:embed="rId2"/>
        <a:stretch>
          <a:fillRect/>
        </a:stretch>
      </xdr:blipFill>
      <xdr:spPr>
        <a:xfrm>
          <a:off x="381001" y="43296"/>
          <a:ext cx="762000" cy="784545"/>
        </a:xfrm>
        <a:prstGeom prst="rect">
          <a:avLst/>
        </a:prstGeom>
      </xdr:spPr>
    </xdr:pic>
    <xdr:clientData/>
  </xdr:twoCellAnchor>
  <xdr:twoCellAnchor editAs="oneCell">
    <xdr:from>
      <xdr:col>1</xdr:col>
      <xdr:colOff>0</xdr:colOff>
      <xdr:row>0</xdr:row>
      <xdr:rowOff>0</xdr:rowOff>
    </xdr:from>
    <xdr:to>
      <xdr:col>7</xdr:col>
      <xdr:colOff>1632857</xdr:colOff>
      <xdr:row>0</xdr:row>
      <xdr:rowOff>884464</xdr:rowOff>
    </xdr:to>
    <xdr:pic>
      <xdr:nvPicPr>
        <xdr:cNvPr id="3" name="Imagen 2">
          <a:extLst>
            <a:ext uri="{FF2B5EF4-FFF2-40B4-BE49-F238E27FC236}">
              <a16:creationId xmlns:a16="http://schemas.microsoft.com/office/drawing/2014/main" id="{E6C50D9A-C65B-468C-B4C2-0C7F141C44A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0"/>
          <a:ext cx="11130643" cy="884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0</xdr:rowOff>
    </xdr:from>
    <xdr:to>
      <xdr:col>0</xdr:col>
      <xdr:colOff>1055915</xdr:colOff>
      <xdr:row>0</xdr:row>
      <xdr:rowOff>1053091</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247F9505-8519-4F63-8B85-AA7EF0AE0D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22" y="0"/>
          <a:ext cx="1015093" cy="1053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1015093</xdr:colOff>
      <xdr:row>1</xdr:row>
      <xdr:rowOff>86984</xdr:rowOff>
    </xdr:to>
    <xdr:pic>
      <xdr:nvPicPr>
        <xdr:cNvPr id="2" name="Imagen 1" descr="Volver Icono De La Flecha Botón Azul Vidrioso Fotos, Retratos, Imágenes Y  Fotografía De Archivo Libres De Derecho. Image 36414619.">
          <a:hlinkClick xmlns:r="http://schemas.openxmlformats.org/officeDocument/2006/relationships" r:id="rId1"/>
          <a:extLst>
            <a:ext uri="{FF2B5EF4-FFF2-40B4-BE49-F238E27FC236}">
              <a16:creationId xmlns:a16="http://schemas.microsoft.com/office/drawing/2014/main" id="{B2F2E834-430D-413A-B64E-9A09CDB33C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0"/>
          <a:ext cx="1028700" cy="1058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112</xdr:col>
      <xdr:colOff>0</xdr:colOff>
      <xdr:row>16</xdr:row>
      <xdr:rowOff>123264</xdr:rowOff>
    </xdr:from>
    <xdr:to>
      <xdr:col>124</xdr:col>
      <xdr:colOff>47625</xdr:colOff>
      <xdr:row>24</xdr:row>
      <xdr:rowOff>541438</xdr:rowOff>
    </xdr:to>
    <xdr:pic>
      <xdr:nvPicPr>
        <xdr:cNvPr id="2" name="Imagen 1">
          <a:extLst>
            <a:ext uri="{FF2B5EF4-FFF2-40B4-BE49-F238E27FC236}">
              <a16:creationId xmlns:a16="http://schemas.microsoft.com/office/drawing/2014/main" id="{F72D1D13-D6C8-4C0B-B519-0028B863F670}"/>
            </a:ext>
          </a:extLst>
        </xdr:cNvPr>
        <xdr:cNvPicPr>
          <a:picLocks noChangeAspect="1"/>
        </xdr:cNvPicPr>
      </xdr:nvPicPr>
      <xdr:blipFill rotWithShape="1">
        <a:blip xmlns:r="http://schemas.openxmlformats.org/officeDocument/2006/relationships" r:embed="rId1"/>
        <a:srcRect l="59879" t="18193" r="9919" b="40731"/>
        <a:stretch/>
      </xdr:blipFill>
      <xdr:spPr>
        <a:xfrm>
          <a:off x="107394375" y="6533589"/>
          <a:ext cx="9191625" cy="7011854"/>
        </a:xfrm>
        <a:prstGeom prst="rect">
          <a:avLst/>
        </a:prstGeom>
      </xdr:spPr>
    </xdr:pic>
    <xdr:clientData/>
  </xdr:twoCellAnchor>
  <xdr:twoCellAnchor editAs="oneCell">
    <xdr:from>
      <xdr:col>112</xdr:col>
      <xdr:colOff>432954</xdr:colOff>
      <xdr:row>49</xdr:row>
      <xdr:rowOff>0</xdr:rowOff>
    </xdr:from>
    <xdr:to>
      <xdr:col>123</xdr:col>
      <xdr:colOff>504392</xdr:colOff>
      <xdr:row>75</xdr:row>
      <xdr:rowOff>56767</xdr:rowOff>
    </xdr:to>
    <xdr:pic>
      <xdr:nvPicPr>
        <xdr:cNvPr id="3" name="Imagen 2">
          <a:extLst>
            <a:ext uri="{FF2B5EF4-FFF2-40B4-BE49-F238E27FC236}">
              <a16:creationId xmlns:a16="http://schemas.microsoft.com/office/drawing/2014/main" id="{9B1C1558-876E-459B-973F-110551F413F7}"/>
            </a:ext>
          </a:extLst>
        </xdr:cNvPr>
        <xdr:cNvPicPr>
          <a:picLocks noChangeAspect="1"/>
        </xdr:cNvPicPr>
      </xdr:nvPicPr>
      <xdr:blipFill rotWithShape="1">
        <a:blip xmlns:r="http://schemas.openxmlformats.org/officeDocument/2006/relationships" r:embed="rId2"/>
        <a:srcRect l="27822" t="9471" r="29313" b="6238"/>
        <a:stretch/>
      </xdr:blipFill>
      <xdr:spPr>
        <a:xfrm>
          <a:off x="107827329" y="23050500"/>
          <a:ext cx="8453438" cy="9353167"/>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EE5AECBF-9057-435B-BC9E-29350578255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13606</xdr:colOff>
      <xdr:row>0</xdr:row>
      <xdr:rowOff>27213</xdr:rowOff>
    </xdr:from>
    <xdr:to>
      <xdr:col>13</xdr:col>
      <xdr:colOff>302077</xdr:colOff>
      <xdr:row>0</xdr:row>
      <xdr:rowOff>1496786</xdr:rowOff>
    </xdr:to>
    <xdr:pic>
      <xdr:nvPicPr>
        <xdr:cNvPr id="6" name="Imagen 5">
          <a:extLst>
            <a:ext uri="{FF2B5EF4-FFF2-40B4-BE49-F238E27FC236}">
              <a16:creationId xmlns:a16="http://schemas.microsoft.com/office/drawing/2014/main" id="{44D5A7F7-16A9-4466-A9B3-F309D8BD825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75606" y="27213"/>
          <a:ext cx="20518891" cy="1469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112</xdr:col>
      <xdr:colOff>0</xdr:colOff>
      <xdr:row>15</xdr:row>
      <xdr:rowOff>123264</xdr:rowOff>
    </xdr:from>
    <xdr:to>
      <xdr:col>124</xdr:col>
      <xdr:colOff>47625</xdr:colOff>
      <xdr:row>23</xdr:row>
      <xdr:rowOff>624781</xdr:rowOff>
    </xdr:to>
    <xdr:pic>
      <xdr:nvPicPr>
        <xdr:cNvPr id="2" name="Imagen 1">
          <a:extLst>
            <a:ext uri="{FF2B5EF4-FFF2-40B4-BE49-F238E27FC236}">
              <a16:creationId xmlns:a16="http://schemas.microsoft.com/office/drawing/2014/main" id="{C4EB2C51-A5CE-447D-ADCF-896C2A17D119}"/>
            </a:ext>
          </a:extLst>
        </xdr:cNvPr>
        <xdr:cNvPicPr>
          <a:picLocks noChangeAspect="1"/>
        </xdr:cNvPicPr>
      </xdr:nvPicPr>
      <xdr:blipFill rotWithShape="1">
        <a:blip xmlns:r="http://schemas.openxmlformats.org/officeDocument/2006/relationships" r:embed="rId1"/>
        <a:srcRect l="59879" t="18193" r="9919" b="40731"/>
        <a:stretch/>
      </xdr:blipFill>
      <xdr:spPr>
        <a:xfrm>
          <a:off x="109144594" y="6552639"/>
          <a:ext cx="9191625" cy="7002329"/>
        </a:xfrm>
        <a:prstGeom prst="rect">
          <a:avLst/>
        </a:prstGeom>
      </xdr:spPr>
    </xdr:pic>
    <xdr:clientData/>
  </xdr:twoCellAnchor>
  <xdr:twoCellAnchor editAs="oneCell">
    <xdr:from>
      <xdr:col>112</xdr:col>
      <xdr:colOff>432954</xdr:colOff>
      <xdr:row>48</xdr:row>
      <xdr:rowOff>0</xdr:rowOff>
    </xdr:from>
    <xdr:to>
      <xdr:col>123</xdr:col>
      <xdr:colOff>504392</xdr:colOff>
      <xdr:row>74</xdr:row>
      <xdr:rowOff>56768</xdr:rowOff>
    </xdr:to>
    <xdr:pic>
      <xdr:nvPicPr>
        <xdr:cNvPr id="3" name="Imagen 2">
          <a:extLst>
            <a:ext uri="{FF2B5EF4-FFF2-40B4-BE49-F238E27FC236}">
              <a16:creationId xmlns:a16="http://schemas.microsoft.com/office/drawing/2014/main" id="{889719E6-62F4-4F16-9A7C-DFCB05E1EDEA}"/>
            </a:ext>
          </a:extLst>
        </xdr:cNvPr>
        <xdr:cNvPicPr>
          <a:picLocks noChangeAspect="1"/>
        </xdr:cNvPicPr>
      </xdr:nvPicPr>
      <xdr:blipFill rotWithShape="1">
        <a:blip xmlns:r="http://schemas.openxmlformats.org/officeDocument/2006/relationships" r:embed="rId2"/>
        <a:srcRect l="27822" t="9471" r="29313" b="6238"/>
        <a:stretch/>
      </xdr:blipFill>
      <xdr:spPr>
        <a:xfrm>
          <a:off x="107708267" y="23062406"/>
          <a:ext cx="8453438" cy="9355548"/>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360034</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F1A79E0B-DEDD-4516-A617-F6819D3E9A9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0</xdr:row>
      <xdr:rowOff>0</xdr:rowOff>
    </xdr:from>
    <xdr:to>
      <xdr:col>15</xdr:col>
      <xdr:colOff>67355</xdr:colOff>
      <xdr:row>0</xdr:row>
      <xdr:rowOff>1374321</xdr:rowOff>
    </xdr:to>
    <xdr:pic>
      <xdr:nvPicPr>
        <xdr:cNvPr id="6" name="Imagen 5">
          <a:extLst>
            <a:ext uri="{FF2B5EF4-FFF2-40B4-BE49-F238E27FC236}">
              <a16:creationId xmlns:a16="http://schemas.microsoft.com/office/drawing/2014/main" id="{C6421A00-3A1E-40DA-A445-5325C563A5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7571" y="0"/>
          <a:ext cx="24437748" cy="13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112</xdr:col>
      <xdr:colOff>0</xdr:colOff>
      <xdr:row>15</xdr:row>
      <xdr:rowOff>123264</xdr:rowOff>
    </xdr:from>
    <xdr:to>
      <xdr:col>124</xdr:col>
      <xdr:colOff>47625</xdr:colOff>
      <xdr:row>23</xdr:row>
      <xdr:rowOff>1124843</xdr:rowOff>
    </xdr:to>
    <xdr:pic>
      <xdr:nvPicPr>
        <xdr:cNvPr id="2" name="Imagen 1">
          <a:extLst>
            <a:ext uri="{FF2B5EF4-FFF2-40B4-BE49-F238E27FC236}">
              <a16:creationId xmlns:a16="http://schemas.microsoft.com/office/drawing/2014/main" id="{91AD60B0-F292-498C-892D-8300C5ACB773}"/>
            </a:ext>
          </a:extLst>
        </xdr:cNvPr>
        <xdr:cNvPicPr>
          <a:picLocks noChangeAspect="1"/>
        </xdr:cNvPicPr>
      </xdr:nvPicPr>
      <xdr:blipFill rotWithShape="1">
        <a:blip xmlns:r="http://schemas.openxmlformats.org/officeDocument/2006/relationships" r:embed="rId1"/>
        <a:srcRect l="59879" t="18193" r="9919" b="40731"/>
        <a:stretch/>
      </xdr:blipFill>
      <xdr:spPr>
        <a:xfrm>
          <a:off x="107394375" y="6533589"/>
          <a:ext cx="9191625" cy="7011854"/>
        </a:xfrm>
        <a:prstGeom prst="rect">
          <a:avLst/>
        </a:prstGeom>
      </xdr:spPr>
    </xdr:pic>
    <xdr:clientData/>
  </xdr:twoCellAnchor>
  <xdr:twoCellAnchor editAs="oneCell">
    <xdr:from>
      <xdr:col>112</xdr:col>
      <xdr:colOff>432954</xdr:colOff>
      <xdr:row>48</xdr:row>
      <xdr:rowOff>0</xdr:rowOff>
    </xdr:from>
    <xdr:to>
      <xdr:col>123</xdr:col>
      <xdr:colOff>504392</xdr:colOff>
      <xdr:row>74</xdr:row>
      <xdr:rowOff>56767</xdr:rowOff>
    </xdr:to>
    <xdr:pic>
      <xdr:nvPicPr>
        <xdr:cNvPr id="3" name="Imagen 2">
          <a:extLst>
            <a:ext uri="{FF2B5EF4-FFF2-40B4-BE49-F238E27FC236}">
              <a16:creationId xmlns:a16="http://schemas.microsoft.com/office/drawing/2014/main" id="{955D1FBC-B29D-4E1E-B944-842072B01AAC}"/>
            </a:ext>
          </a:extLst>
        </xdr:cNvPr>
        <xdr:cNvPicPr>
          <a:picLocks noChangeAspect="1"/>
        </xdr:cNvPicPr>
      </xdr:nvPicPr>
      <xdr:blipFill rotWithShape="1">
        <a:blip xmlns:r="http://schemas.openxmlformats.org/officeDocument/2006/relationships" r:embed="rId2"/>
        <a:srcRect l="27822" t="9471" r="29313" b="6238"/>
        <a:stretch/>
      </xdr:blipFill>
      <xdr:spPr>
        <a:xfrm>
          <a:off x="107827329" y="23555325"/>
          <a:ext cx="8453438" cy="9353166"/>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360035</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058DD74E-5D8E-443D-BD89-9B398ECEB81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321468</xdr:colOff>
      <xdr:row>0</xdr:row>
      <xdr:rowOff>0</xdr:rowOff>
    </xdr:from>
    <xdr:to>
      <xdr:col>16</xdr:col>
      <xdr:colOff>875279</xdr:colOff>
      <xdr:row>1</xdr:row>
      <xdr:rowOff>5102</xdr:rowOff>
    </xdr:to>
    <xdr:pic>
      <xdr:nvPicPr>
        <xdr:cNvPr id="6" name="Imagen 5">
          <a:extLst>
            <a:ext uri="{FF2B5EF4-FFF2-40B4-BE49-F238E27FC236}">
              <a16:creationId xmlns:a16="http://schemas.microsoft.com/office/drawing/2014/main" id="{B417BAAD-79C2-4F02-97E1-4D14BD2B00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8187" y="0"/>
          <a:ext cx="24437748" cy="13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112</xdr:col>
      <xdr:colOff>0</xdr:colOff>
      <xdr:row>15</xdr:row>
      <xdr:rowOff>0</xdr:rowOff>
    </xdr:from>
    <xdr:to>
      <xdr:col>124</xdr:col>
      <xdr:colOff>47625</xdr:colOff>
      <xdr:row>24</xdr:row>
      <xdr:rowOff>21298</xdr:rowOff>
    </xdr:to>
    <xdr:pic>
      <xdr:nvPicPr>
        <xdr:cNvPr id="2" name="Imagen 1">
          <a:extLst>
            <a:ext uri="{FF2B5EF4-FFF2-40B4-BE49-F238E27FC236}">
              <a16:creationId xmlns:a16="http://schemas.microsoft.com/office/drawing/2014/main" id="{16E26239-E979-43DC-9ACA-E41CA18632B1}"/>
            </a:ext>
          </a:extLst>
        </xdr:cNvPr>
        <xdr:cNvPicPr>
          <a:picLocks noChangeAspect="1"/>
        </xdr:cNvPicPr>
      </xdr:nvPicPr>
      <xdr:blipFill rotWithShape="1">
        <a:blip xmlns:r="http://schemas.openxmlformats.org/officeDocument/2006/relationships" r:embed="rId1"/>
        <a:srcRect l="59879" t="18193" r="9919" b="40731"/>
        <a:stretch/>
      </xdr:blipFill>
      <xdr:spPr>
        <a:xfrm>
          <a:off x="107394375" y="6533589"/>
          <a:ext cx="9191625" cy="7011854"/>
        </a:xfrm>
        <a:prstGeom prst="rect">
          <a:avLst/>
        </a:prstGeom>
      </xdr:spPr>
    </xdr:pic>
    <xdr:clientData/>
  </xdr:twoCellAnchor>
  <xdr:twoCellAnchor editAs="oneCell">
    <xdr:from>
      <xdr:col>112</xdr:col>
      <xdr:colOff>432954</xdr:colOff>
      <xdr:row>47</xdr:row>
      <xdr:rowOff>0</xdr:rowOff>
    </xdr:from>
    <xdr:to>
      <xdr:col>123</xdr:col>
      <xdr:colOff>504392</xdr:colOff>
      <xdr:row>73</xdr:row>
      <xdr:rowOff>56766</xdr:rowOff>
    </xdr:to>
    <xdr:pic>
      <xdr:nvPicPr>
        <xdr:cNvPr id="3" name="Imagen 2">
          <a:extLst>
            <a:ext uri="{FF2B5EF4-FFF2-40B4-BE49-F238E27FC236}">
              <a16:creationId xmlns:a16="http://schemas.microsoft.com/office/drawing/2014/main" id="{9714D4AD-A1E2-4B2F-BC0B-1AD99C6F0DF1}"/>
            </a:ext>
          </a:extLst>
        </xdr:cNvPr>
        <xdr:cNvPicPr>
          <a:picLocks noChangeAspect="1"/>
        </xdr:cNvPicPr>
      </xdr:nvPicPr>
      <xdr:blipFill rotWithShape="1">
        <a:blip xmlns:r="http://schemas.openxmlformats.org/officeDocument/2006/relationships" r:embed="rId2"/>
        <a:srcRect l="27822" t="9471" r="29313" b="6238"/>
        <a:stretch/>
      </xdr:blipFill>
      <xdr:spPr>
        <a:xfrm>
          <a:off x="107827329" y="23555325"/>
          <a:ext cx="8453438" cy="9353166"/>
        </a:xfrm>
        <a:prstGeom prst="rect">
          <a:avLst/>
        </a:prstGeom>
      </xdr:spPr>
    </xdr:pic>
    <xdr:clientData/>
  </xdr:twoCellAnchor>
  <xdr:twoCellAnchor editAs="oneCell">
    <xdr:from>
      <xdr:col>3</xdr:col>
      <xdr:colOff>190500</xdr:colOff>
      <xdr:row>1</xdr:row>
      <xdr:rowOff>0</xdr:rowOff>
    </xdr:from>
    <xdr:to>
      <xdr:col>3</xdr:col>
      <xdr:colOff>1219200</xdr:colOff>
      <xdr:row>2</xdr:row>
      <xdr:rowOff>360035</xdr:rowOff>
    </xdr:to>
    <xdr:pic>
      <xdr:nvPicPr>
        <xdr:cNvPr id="5" name="Imagen 4" descr="Volver Icono De La Flecha Botón Azul Vidrioso Fotos, Retratos, Imágenes Y  Fotografía De Archivo Libres De Derecho. Image 36414619.">
          <a:hlinkClick xmlns:r="http://schemas.openxmlformats.org/officeDocument/2006/relationships" r:id="rId3"/>
          <a:extLst>
            <a:ext uri="{FF2B5EF4-FFF2-40B4-BE49-F238E27FC236}">
              <a16:creationId xmlns:a16="http://schemas.microsoft.com/office/drawing/2014/main" id="{00FE9B65-B737-4C01-94FD-19DED466BBA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7000" y="0"/>
          <a:ext cx="1028700" cy="1055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0</xdr:rowOff>
    </xdr:from>
    <xdr:to>
      <xdr:col>15</xdr:col>
      <xdr:colOff>994342</xdr:colOff>
      <xdr:row>1</xdr:row>
      <xdr:rowOff>17008</xdr:rowOff>
    </xdr:to>
    <xdr:pic>
      <xdr:nvPicPr>
        <xdr:cNvPr id="6" name="Imagen 5">
          <a:extLst>
            <a:ext uri="{FF2B5EF4-FFF2-40B4-BE49-F238E27FC236}">
              <a16:creationId xmlns:a16="http://schemas.microsoft.com/office/drawing/2014/main" id="{F7B15ACD-45FB-4E3F-A22D-9DA1BE8326A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0094" y="0"/>
          <a:ext cx="24437748" cy="137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34\Documentos\Users\destupinan\Downloads\Formato%20No%2014%20Matriz%20de%20Riesgos%20y%20Controles%20GAF.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34\Documentos\Users\destupinan\Desktop\FUGA\2021\Agosto%202021\Riesgos\carpeta%20riesgos\1.%20Matriz_mapa_riesg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0.34\Documentos\Users\DESTUPI&#209;AN\Desktop\FUGA%202020\2020\Junio\Riesgos%202020\GM-FT-09%20Ficha%20de%20Riesgos%20gesti&#243;n%20tecnolog&#237;as%201806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LISTA"/>
      <sheetName val="RIESGOS"/>
      <sheetName val="CONTROL"/>
    </sheetNames>
    <sheetDataSet>
      <sheetData sheetId="0"/>
      <sheetData sheetId="1"/>
      <sheetData sheetId="2">
        <row r="5">
          <cell r="C5">
            <v>3</v>
          </cell>
        </row>
        <row r="6">
          <cell r="C6">
            <v>2</v>
          </cell>
        </row>
        <row r="7">
          <cell r="C7">
            <v>1</v>
          </cell>
        </row>
      </sheetData>
      <sheetData sheetId="3">
        <row r="2">
          <cell r="I2" t="str">
            <v>ADECUADO</v>
          </cell>
          <cell r="L2" t="str">
            <v>DOCUMENTADO</v>
          </cell>
        </row>
        <row r="3">
          <cell r="I3" t="str">
            <v>PARCIAL</v>
          </cell>
          <cell r="L3" t="str">
            <v>NO DOCUMENTADO</v>
          </cell>
          <cell r="N3" t="str">
            <v>EXISTE</v>
          </cell>
        </row>
        <row r="4">
          <cell r="I4" t="str">
            <v>INADECUADO</v>
          </cell>
          <cell r="N4" t="str">
            <v>PARCIAL</v>
          </cell>
        </row>
        <row r="5">
          <cell r="I5" t="str">
            <v>INEXISTENTE</v>
          </cell>
          <cell r="N5" t="str">
            <v>NO EXISTE</v>
          </cell>
        </row>
        <row r="8">
          <cell r="R8" t="str">
            <v>PREVENTIVO</v>
          </cell>
        </row>
        <row r="9">
          <cell r="L9" t="str">
            <v>RAZONABLE</v>
          </cell>
          <cell r="R9" t="str">
            <v>CORRECTIVO</v>
          </cell>
        </row>
        <row r="10">
          <cell r="L10" t="str">
            <v>NO RAZONABLE</v>
          </cell>
        </row>
        <row r="12">
          <cell r="R12" t="str">
            <v>EXISTE</v>
          </cell>
        </row>
        <row r="13">
          <cell r="R13" t="str">
            <v>NO EXISTE</v>
          </cell>
        </row>
        <row r="19">
          <cell r="X19" t="str">
            <v>NO</v>
          </cell>
        </row>
        <row r="20">
          <cell r="T20" t="str">
            <v>NO HALLAZGOS</v>
          </cell>
          <cell r="X20" t="str">
            <v>SI</v>
          </cell>
        </row>
        <row r="21">
          <cell r="T21" t="str">
            <v>HALLAZGOS NO MATERIALES</v>
          </cell>
        </row>
        <row r="22">
          <cell r="T22" t="str">
            <v>HALLAZGOS  MATERIALES</v>
          </cell>
        </row>
        <row r="23">
          <cell r="N23" t="str">
            <v>AUTOMATICO</v>
          </cell>
        </row>
        <row r="24">
          <cell r="N24" t="str">
            <v>MANUAL</v>
          </cell>
        </row>
        <row r="28">
          <cell r="K28" t="str">
            <v>SI</v>
          </cell>
        </row>
        <row r="29">
          <cell r="K29" t="str">
            <v>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Datos del proceso"/>
      <sheetName val="Intructivo"/>
      <sheetName val="Riesgos de gestión"/>
      <sheetName val="Riesgos Seguridad D información"/>
      <sheetName val="Riesgos de corrupción"/>
      <sheetName val="SARLAF"/>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row r="221">
          <cell r="B221" t="str">
            <v>Criterios</v>
          </cell>
        </row>
        <row r="222">
          <cell r="B222" t="str">
            <v>Afectación Económica o presupuestal</v>
          </cell>
        </row>
        <row r="223">
          <cell r="B223" t="str">
            <v>Pérdida Reputacional</v>
          </cell>
          <cell r="F223" t="str">
            <v>❌</v>
          </cell>
        </row>
      </sheetData>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s de gestión"/>
      <sheetName val="Riesgos de corrupción"/>
      <sheetName val="Riesgos Seguridad Digital "/>
      <sheetName val="Listas"/>
      <sheetName val="Riesgos Seguridad Digital(2)"/>
      <sheetName val="Riesgos Seguridad Digital (3)"/>
      <sheetName val="Riesgos Seguridad Digital (4)"/>
      <sheetName val="TECN. Lluvia de ideas "/>
      <sheetName val="TECN. causas y consecuencias"/>
      <sheetName val="TECN. causa y efecto"/>
      <sheetName val="TECN. 5 Porques"/>
      <sheetName val="TECN. Pareto"/>
      <sheetName val="DOFA"/>
    </sheetNames>
    <sheetDataSet>
      <sheetData sheetId="0">
        <row r="51">
          <cell r="F51"/>
        </row>
        <row r="59">
          <cell r="F59"/>
          <cell r="H59" t="str">
            <v>Completa</v>
          </cell>
          <cell r="J59"/>
        </row>
      </sheetData>
      <sheetData sheetId="1"/>
      <sheetData sheetId="2"/>
      <sheetData sheetId="3">
        <row r="2">
          <cell r="S2" t="str">
            <v>Asignado</v>
          </cell>
        </row>
        <row r="3">
          <cell r="S3" t="str">
            <v>No asignado</v>
          </cell>
        </row>
        <row r="4">
          <cell r="S4" t="str">
            <v xml:space="preserve">Adecuado </v>
          </cell>
        </row>
        <row r="5">
          <cell r="S5" t="str">
            <v>Inadecuado</v>
          </cell>
        </row>
        <row r="6">
          <cell r="S6" t="str">
            <v>Oportuno</v>
          </cell>
        </row>
        <row r="7">
          <cell r="S7" t="str">
            <v>Inoportuno</v>
          </cell>
        </row>
        <row r="8">
          <cell r="S8" t="str">
            <v>Prevenir</v>
          </cell>
        </row>
        <row r="9">
          <cell r="S9" t="str">
            <v>Detectar</v>
          </cell>
        </row>
        <row r="10">
          <cell r="S10" t="str">
            <v xml:space="preserve">No es un control </v>
          </cell>
        </row>
        <row r="11">
          <cell r="S11" t="str">
            <v>Confiable</v>
          </cell>
        </row>
        <row r="12">
          <cell r="S12" t="str">
            <v>No confiable</v>
          </cell>
        </row>
        <row r="13">
          <cell r="S13" t="str">
            <v xml:space="preserve">Se investigan y resuelven oportunamente  </v>
          </cell>
        </row>
        <row r="14">
          <cell r="S14" t="str">
            <v xml:space="preserve">No se investigan y resuelven oportunamente </v>
          </cell>
        </row>
        <row r="15">
          <cell r="S15" t="str">
            <v>Completa</v>
          </cell>
        </row>
        <row r="16">
          <cell r="S16" t="str">
            <v>Incompleta</v>
          </cell>
        </row>
        <row r="17">
          <cell r="S17" t="str">
            <v>No existe</v>
          </cell>
        </row>
      </sheetData>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DEISY JOHANA ESTUPINAN MELO" id="{AA5FC015-7C97-447D-96E6-05A106D4AE4E}" userId="DEISY JOHANA ESTUPINAN ME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4000000}">
  <cacheSource type="worksheet">
    <worksheetSource name="Tabla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x="2"/>
        <item x="3"/>
        <item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B209:C219" totalsRowShown="0" headerRowDxfId="3" dataDxfId="2">
  <autoFilter ref="B209:C219" xr:uid="{00000000-0009-0000-0100-000001000000}"/>
  <tableColumns count="2">
    <tableColumn id="1" xr3:uid="{00000000-0010-0000-0000-000001000000}" name="Criterios" dataDxfId="1"/>
    <tableColumn id="2" xr3:uid="{00000000-0010-0000-0000-000002000000}" name="Subcriteri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8" dT="2021-04-27T21:14:01.50" personId="{AA5FC015-7C97-447D-96E6-05A106D4AE4E}" id="{B1C731C1-77D1-4866-AACF-6CA64E614985}">
    <text>Ajuste y lista desplegable. Ver la aprobación en politica</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15.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0BB45-A6A5-4E5B-A7E2-12F6E3B74AB1}">
  <dimension ref="B1:T64"/>
  <sheetViews>
    <sheetView zoomScale="90" zoomScaleNormal="90" workbookViewId="0">
      <selection activeCell="B1" sqref="B1"/>
    </sheetView>
  </sheetViews>
  <sheetFormatPr baseColWidth="10" defaultRowHeight="15" x14ac:dyDescent="0.25"/>
  <cols>
    <col min="1" max="1" width="10.28515625" customWidth="1"/>
  </cols>
  <sheetData>
    <row r="1" spans="2:20" ht="75" customHeight="1" thickBot="1" x14ac:dyDescent="0.3"/>
    <row r="2" spans="2:20" ht="17.25" customHeight="1" x14ac:dyDescent="0.25">
      <c r="B2" s="465"/>
      <c r="C2" s="466"/>
      <c r="D2" s="466"/>
      <c r="E2" s="466"/>
      <c r="F2" s="466"/>
      <c r="G2" s="466"/>
      <c r="H2" s="466"/>
      <c r="I2" s="466"/>
      <c r="J2" s="466"/>
      <c r="K2" s="466"/>
      <c r="L2" s="466"/>
      <c r="M2" s="466"/>
      <c r="N2" s="466"/>
      <c r="O2" s="466"/>
      <c r="P2" s="466"/>
      <c r="Q2" s="466"/>
      <c r="R2" s="466"/>
      <c r="S2" s="466"/>
      <c r="T2" s="467"/>
    </row>
    <row r="3" spans="2:20" ht="17.25" customHeight="1" x14ac:dyDescent="0.25">
      <c r="B3" s="468"/>
      <c r="C3" s="469"/>
      <c r="D3" s="469"/>
      <c r="E3" s="469"/>
      <c r="F3" s="469"/>
      <c r="G3" s="469"/>
      <c r="H3" s="469"/>
      <c r="I3" s="469"/>
      <c r="J3" s="469"/>
      <c r="K3" s="469"/>
      <c r="L3" s="469"/>
      <c r="M3" s="469"/>
      <c r="N3" s="469"/>
      <c r="O3" s="469"/>
      <c r="P3" s="469"/>
      <c r="Q3" s="469"/>
      <c r="R3" s="469"/>
      <c r="S3" s="469"/>
      <c r="T3" s="470"/>
    </row>
    <row r="4" spans="2:20" ht="17.25" customHeight="1" x14ac:dyDescent="0.25">
      <c r="B4" s="468"/>
      <c r="C4" s="469"/>
      <c r="D4" s="469"/>
      <c r="E4" s="469"/>
      <c r="F4" s="469"/>
      <c r="G4" s="469"/>
      <c r="H4" s="469"/>
      <c r="I4" s="469"/>
      <c r="J4" s="469"/>
      <c r="K4" s="469"/>
      <c r="L4" s="469"/>
      <c r="M4" s="469"/>
      <c r="N4" s="469"/>
      <c r="O4" s="469"/>
      <c r="P4" s="469"/>
      <c r="Q4" s="469"/>
      <c r="R4" s="469"/>
      <c r="S4" s="469"/>
      <c r="T4" s="470"/>
    </row>
    <row r="5" spans="2:20" ht="17.25" customHeight="1" thickBot="1" x14ac:dyDescent="0.3">
      <c r="B5" s="471"/>
      <c r="C5" s="472"/>
      <c r="D5" s="472"/>
      <c r="E5" s="472"/>
      <c r="F5" s="472"/>
      <c r="G5" s="472"/>
      <c r="H5" s="472"/>
      <c r="I5" s="472"/>
      <c r="J5" s="472"/>
      <c r="K5" s="472"/>
      <c r="L5" s="472"/>
      <c r="M5" s="472"/>
      <c r="N5" s="472"/>
      <c r="O5" s="472"/>
      <c r="P5" s="472"/>
      <c r="Q5" s="472"/>
      <c r="R5" s="472"/>
      <c r="S5" s="472"/>
      <c r="T5" s="473"/>
    </row>
    <row r="6" spans="2:20" x14ac:dyDescent="0.25">
      <c r="B6" s="317"/>
      <c r="T6" s="318"/>
    </row>
    <row r="7" spans="2:20" x14ac:dyDescent="0.25">
      <c r="B7" s="317"/>
      <c r="T7" s="318"/>
    </row>
    <row r="8" spans="2:20" x14ac:dyDescent="0.25">
      <c r="B8" s="317"/>
      <c r="T8" s="318"/>
    </row>
    <row r="9" spans="2:20" x14ac:dyDescent="0.25">
      <c r="B9" s="317"/>
      <c r="T9" s="318"/>
    </row>
    <row r="10" spans="2:20" x14ac:dyDescent="0.25">
      <c r="B10" s="317"/>
      <c r="T10" s="318"/>
    </row>
    <row r="11" spans="2:20" x14ac:dyDescent="0.25">
      <c r="B11" s="317"/>
      <c r="T11" s="318"/>
    </row>
    <row r="12" spans="2:20" x14ac:dyDescent="0.25">
      <c r="B12" s="317"/>
      <c r="T12" s="318"/>
    </row>
    <row r="13" spans="2:20" x14ac:dyDescent="0.25">
      <c r="B13" s="317"/>
      <c r="T13" s="318"/>
    </row>
    <row r="14" spans="2:20" x14ac:dyDescent="0.25">
      <c r="B14" s="317"/>
      <c r="T14" s="318"/>
    </row>
    <row r="15" spans="2:20" x14ac:dyDescent="0.25">
      <c r="B15" s="317"/>
      <c r="T15" s="318"/>
    </row>
    <row r="16" spans="2:20" x14ac:dyDescent="0.25">
      <c r="B16" s="317"/>
      <c r="T16" s="318"/>
    </row>
    <row r="17" spans="2:20" x14ac:dyDescent="0.25">
      <c r="B17" s="317"/>
      <c r="T17" s="318"/>
    </row>
    <row r="18" spans="2:20" x14ac:dyDescent="0.25">
      <c r="B18" s="317"/>
      <c r="T18" s="318"/>
    </row>
    <row r="19" spans="2:20" x14ac:dyDescent="0.25">
      <c r="B19" s="317"/>
      <c r="T19" s="318"/>
    </row>
    <row r="20" spans="2:20" x14ac:dyDescent="0.25">
      <c r="B20" s="317"/>
      <c r="T20" s="318"/>
    </row>
    <row r="21" spans="2:20" x14ac:dyDescent="0.25">
      <c r="B21" s="317"/>
      <c r="T21" s="318"/>
    </row>
    <row r="22" spans="2:20" x14ac:dyDescent="0.25">
      <c r="B22" s="317"/>
      <c r="T22" s="318"/>
    </row>
    <row r="23" spans="2:20" x14ac:dyDescent="0.25">
      <c r="B23" s="317"/>
      <c r="T23" s="318"/>
    </row>
    <row r="24" spans="2:20" x14ac:dyDescent="0.25">
      <c r="B24" s="317"/>
      <c r="T24" s="318"/>
    </row>
    <row r="25" spans="2:20" x14ac:dyDescent="0.25">
      <c r="B25" s="317"/>
      <c r="T25" s="318"/>
    </row>
    <row r="26" spans="2:20" x14ac:dyDescent="0.25">
      <c r="B26" s="317"/>
      <c r="T26" s="318"/>
    </row>
    <row r="27" spans="2:20" x14ac:dyDescent="0.25">
      <c r="B27" s="317"/>
      <c r="T27" s="318"/>
    </row>
    <row r="28" spans="2:20" x14ac:dyDescent="0.25">
      <c r="B28" s="317"/>
      <c r="T28" s="318"/>
    </row>
    <row r="29" spans="2:20" x14ac:dyDescent="0.25">
      <c r="B29" s="317"/>
      <c r="T29" s="318"/>
    </row>
    <row r="30" spans="2:20" x14ac:dyDescent="0.25">
      <c r="B30" s="317"/>
      <c r="T30" s="318"/>
    </row>
    <row r="31" spans="2:20" ht="15.75" thickBot="1" x14ac:dyDescent="0.3">
      <c r="B31" s="319"/>
      <c r="C31" s="320"/>
      <c r="D31" s="320"/>
      <c r="E31" s="320"/>
      <c r="F31" s="320"/>
      <c r="G31" s="320"/>
      <c r="H31" s="320"/>
      <c r="I31" s="320"/>
      <c r="J31" s="320"/>
      <c r="K31" s="320"/>
      <c r="L31" s="320"/>
      <c r="M31" s="320"/>
      <c r="N31" s="320"/>
      <c r="O31" s="320"/>
      <c r="P31" s="320"/>
      <c r="Q31" s="320"/>
      <c r="R31" s="320"/>
      <c r="S31" s="320"/>
      <c r="T31" s="321"/>
    </row>
    <row r="64" spans="6:6" x14ac:dyDescent="0.25">
      <c r="F64" s="226"/>
    </row>
  </sheetData>
  <mergeCells count="1">
    <mergeCell ref="B2:T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7B1C4-6199-43DD-A8F2-F2EABF446E3D}">
  <sheetPr>
    <tabColor rgb="FFFF0000"/>
  </sheetPr>
  <dimension ref="B1:CS300"/>
  <sheetViews>
    <sheetView topLeftCell="Y17" zoomScale="70" zoomScaleNormal="70" workbookViewId="0">
      <selection activeCell="Z22" sqref="Z22"/>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22.7109375"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07.25" customHeight="1" x14ac:dyDescent="0.25"/>
    <row r="2" spans="2:97" ht="54.75" customHeight="1" x14ac:dyDescent="0.25"/>
    <row r="3" spans="2:97" ht="68.25" customHeight="1" x14ac:dyDescent="0.25">
      <c r="B3" s="142"/>
    </row>
    <row r="4" spans="2:97" x14ac:dyDescent="0.25">
      <c r="D4" s="322"/>
      <c r="E4" s="322"/>
      <c r="F4" s="322"/>
      <c r="G4" s="322"/>
      <c r="H4" s="322"/>
      <c r="I4" s="762"/>
      <c r="J4" s="762"/>
      <c r="K4" s="762"/>
      <c r="L4" s="762"/>
      <c r="M4" s="762"/>
      <c r="N4" s="762"/>
      <c r="O4" s="762"/>
      <c r="P4" s="762"/>
      <c r="Q4" s="762"/>
      <c r="R4" s="762"/>
      <c r="S4" s="762"/>
      <c r="T4" s="762"/>
      <c r="U4" s="762"/>
      <c r="V4" s="762"/>
      <c r="W4" s="762"/>
      <c r="X4" s="762"/>
      <c r="Y4" s="762"/>
      <c r="Z4" s="762"/>
      <c r="AA4" s="762"/>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580" t="s">
        <v>507</v>
      </c>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1"/>
      <c r="AN6" s="581"/>
      <c r="AO6" s="581"/>
      <c r="AP6" s="581"/>
      <c r="AQ6" s="582"/>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7"/>
      <c r="D7" s="585"/>
      <c r="E7" s="585"/>
      <c r="F7" s="585"/>
      <c r="G7" s="585"/>
      <c r="H7" s="585"/>
      <c r="I7" s="585"/>
      <c r="J7" s="585"/>
      <c r="K7" s="585"/>
      <c r="L7" s="585"/>
      <c r="M7" s="585"/>
      <c r="N7" s="585"/>
      <c r="O7" s="585"/>
      <c r="P7" s="585"/>
      <c r="Q7" s="585"/>
      <c r="R7" s="585"/>
      <c r="S7" s="585"/>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805" t="s">
        <v>43</v>
      </c>
      <c r="D8" s="806"/>
      <c r="E8" s="807"/>
      <c r="F8" s="808"/>
      <c r="G8" s="809" t="str">
        <f>'Datos del proceso'!A10</f>
        <v>TRANSFORMACIÓN CULTURAL PARA LA REVITALIZACIÓN DEL CENTRO</v>
      </c>
      <c r="H8" s="810"/>
      <c r="I8" s="810"/>
      <c r="J8" s="810"/>
      <c r="K8" s="810"/>
      <c r="L8" s="810"/>
      <c r="M8" s="810"/>
      <c r="N8" s="810"/>
      <c r="O8" s="810"/>
      <c r="P8" s="810"/>
      <c r="Q8" s="810"/>
      <c r="R8" s="810"/>
      <c r="S8" s="811"/>
      <c r="T8" s="812"/>
      <c r="U8" s="813"/>
      <c r="V8" s="813"/>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805" t="s">
        <v>130</v>
      </c>
      <c r="D9" s="806"/>
      <c r="E9" s="807"/>
      <c r="F9" s="808"/>
      <c r="G9" s="809"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810"/>
      <c r="I9" s="810"/>
      <c r="J9" s="810"/>
      <c r="K9" s="810"/>
      <c r="L9" s="810"/>
      <c r="M9" s="810"/>
      <c r="N9" s="810"/>
      <c r="O9" s="810"/>
      <c r="P9" s="810"/>
      <c r="Q9" s="810"/>
      <c r="R9" s="810"/>
      <c r="S9" s="811"/>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801"/>
      <c r="E10" s="801"/>
      <c r="F10" s="801"/>
      <c r="G10" s="369"/>
      <c r="I10" s="802"/>
      <c r="J10" s="802"/>
      <c r="K10" s="802"/>
      <c r="L10" s="802"/>
      <c r="M10" s="802"/>
      <c r="N10" s="802"/>
      <c r="O10" s="802"/>
      <c r="P10" s="802"/>
      <c r="Q10" s="802"/>
      <c r="R10" s="802"/>
      <c r="S10" s="802"/>
      <c r="T10" s="802"/>
      <c r="U10" s="802"/>
      <c r="V10" s="802"/>
      <c r="W10" s="802"/>
      <c r="X10" s="802"/>
      <c r="Y10" s="802"/>
      <c r="Z10" s="802"/>
      <c r="AA10" s="802"/>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86" t="s">
        <v>508</v>
      </c>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803"/>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78" t="s">
        <v>338</v>
      </c>
      <c r="D14" s="578"/>
      <c r="E14" s="606" t="s">
        <v>339</v>
      </c>
      <c r="F14" s="608"/>
      <c r="G14" s="606" t="s">
        <v>340</v>
      </c>
      <c r="H14" s="608"/>
      <c r="I14" s="606" t="s">
        <v>341</v>
      </c>
      <c r="J14" s="608"/>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184.5" customHeight="1" x14ac:dyDescent="0.25">
      <c r="C15" s="835" t="s">
        <v>597</v>
      </c>
      <c r="D15" s="835"/>
      <c r="E15" s="836" t="s">
        <v>598</v>
      </c>
      <c r="F15" s="837"/>
      <c r="G15" s="836" t="s">
        <v>592</v>
      </c>
      <c r="H15" s="837"/>
      <c r="I15" s="836" t="s">
        <v>591</v>
      </c>
      <c r="J15" s="837"/>
      <c r="K15" s="161" t="s">
        <v>654</v>
      </c>
      <c r="L15" s="395" t="s">
        <v>599</v>
      </c>
      <c r="M15" s="360" t="s">
        <v>558</v>
      </c>
      <c r="N15" s="175" t="s">
        <v>593</v>
      </c>
      <c r="O15" s="387" t="s">
        <v>594</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x14ac:dyDescent="0.25">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ht="27.75" x14ac:dyDescent="0.25">
      <c r="C17" s="785" t="s">
        <v>510</v>
      </c>
      <c r="D17" s="786"/>
      <c r="E17" s="786"/>
      <c r="F17" s="786"/>
      <c r="G17" s="786"/>
      <c r="H17" s="786"/>
      <c r="I17" s="786"/>
      <c r="J17" s="786"/>
      <c r="K17" s="786"/>
      <c r="L17" s="786"/>
      <c r="M17" s="786"/>
      <c r="N17" s="786"/>
      <c r="O17" s="786"/>
      <c r="P17" s="786"/>
      <c r="Q17" s="786"/>
      <c r="R17" s="786"/>
      <c r="S17" s="786"/>
      <c r="T17" s="786"/>
      <c r="U17" s="786"/>
      <c r="V17" s="786"/>
      <c r="W17" s="786"/>
      <c r="X17" s="786"/>
      <c r="Y17" s="786"/>
      <c r="Z17" s="786"/>
      <c r="AA17" s="786"/>
      <c r="AB17" s="786"/>
      <c r="AC17" s="786"/>
      <c r="AD17" s="786"/>
      <c r="AE17" s="786"/>
      <c r="AF17" s="786"/>
      <c r="AG17" s="78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R17" s="146"/>
      <c r="CS17" s="146"/>
    </row>
    <row r="18" spans="3:97" ht="6" customHeight="1" x14ac:dyDescent="0.25">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R18" s="146"/>
      <c r="CS18" s="146"/>
    </row>
    <row r="19" spans="3:97" ht="41.25" customHeight="1" x14ac:dyDescent="0.25">
      <c r="C19" s="787" t="s">
        <v>222</v>
      </c>
      <c r="D19" s="787"/>
      <c r="E19" s="787"/>
      <c r="F19" s="787"/>
      <c r="G19" s="787"/>
      <c r="H19" s="787"/>
      <c r="I19" s="787"/>
      <c r="J19" s="788" t="s">
        <v>141</v>
      </c>
      <c r="K19" s="789"/>
      <c r="L19" s="789"/>
      <c r="M19" s="789"/>
      <c r="N19" s="789"/>
      <c r="O19" s="789"/>
      <c r="P19" s="789"/>
      <c r="Q19" s="789"/>
      <c r="R19" s="790"/>
      <c r="S19" s="788" t="s">
        <v>142</v>
      </c>
      <c r="T19" s="789"/>
      <c r="U19" s="789"/>
      <c r="V19" s="789"/>
      <c r="W19" s="789"/>
      <c r="X19" s="789"/>
      <c r="Y19" s="790"/>
      <c r="Z19" s="577" t="s">
        <v>34</v>
      </c>
      <c r="AA19" s="577"/>
      <c r="AB19" s="577"/>
      <c r="AC19" s="577"/>
      <c r="AD19" s="577"/>
      <c r="AE19" s="577"/>
      <c r="AF19" s="577"/>
      <c r="AG19" s="577"/>
      <c r="AH19" s="146"/>
      <c r="AI19" s="154"/>
      <c r="AJ19" s="154"/>
      <c r="AK19" s="154"/>
      <c r="AL19" s="154"/>
      <c r="AM19" s="154"/>
      <c r="AN19" s="154"/>
      <c r="AO19" s="146"/>
      <c r="AP19" s="146"/>
      <c r="AQ19" s="155"/>
      <c r="AR19" s="155"/>
      <c r="AS19" s="155"/>
      <c r="AT19" s="155"/>
      <c r="AU19" s="155"/>
      <c r="AV19" s="155"/>
      <c r="AW19" s="155"/>
      <c r="AX19" s="155"/>
      <c r="AY19" s="155"/>
      <c r="AZ19" s="155"/>
      <c r="BA19" s="155"/>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K19" s="146"/>
      <c r="CL19" s="146"/>
    </row>
    <row r="20" spans="3:97" ht="25.5" customHeight="1" x14ac:dyDescent="0.25">
      <c r="C20" s="787"/>
      <c r="D20" s="787"/>
      <c r="E20" s="787"/>
      <c r="F20" s="787"/>
      <c r="G20" s="787"/>
      <c r="H20" s="787"/>
      <c r="I20" s="787"/>
      <c r="J20" s="595" t="s">
        <v>11</v>
      </c>
      <c r="K20" s="578" t="s">
        <v>163</v>
      </c>
      <c r="L20" s="578" t="s">
        <v>503</v>
      </c>
      <c r="M20" s="578" t="s">
        <v>8</v>
      </c>
      <c r="N20" s="578"/>
      <c r="O20" s="578"/>
      <c r="P20" s="578"/>
      <c r="Q20" s="578"/>
      <c r="R20" s="578"/>
      <c r="S20" s="595" t="s">
        <v>502</v>
      </c>
      <c r="T20" s="595" t="s">
        <v>485</v>
      </c>
      <c r="U20" s="595" t="s">
        <v>488</v>
      </c>
      <c r="V20" s="595" t="s">
        <v>486</v>
      </c>
      <c r="W20" s="595" t="s">
        <v>481</v>
      </c>
      <c r="X20" s="595" t="s">
        <v>489</v>
      </c>
      <c r="Y20" s="595" t="s">
        <v>29</v>
      </c>
      <c r="Z20" s="578" t="s">
        <v>34</v>
      </c>
      <c r="AA20" s="590" t="s">
        <v>496</v>
      </c>
      <c r="AB20" s="578" t="s">
        <v>35</v>
      </c>
      <c r="AC20" s="578" t="s">
        <v>236</v>
      </c>
      <c r="AD20" s="590" t="s">
        <v>506</v>
      </c>
      <c r="AE20" s="579" t="s">
        <v>38</v>
      </c>
      <c r="AF20" s="579" t="s">
        <v>37</v>
      </c>
      <c r="AG20" s="579" t="s">
        <v>39</v>
      </c>
      <c r="AH20" s="155"/>
      <c r="AI20" s="156"/>
      <c r="AJ20" s="156"/>
      <c r="AK20" s="156"/>
      <c r="AL20" s="156"/>
      <c r="AM20" s="156"/>
      <c r="AN20" s="156"/>
      <c r="AO20" s="155"/>
      <c r="AP20" s="155"/>
      <c r="AQ20" s="157"/>
      <c r="AR20" s="157"/>
      <c r="AS20" s="157"/>
      <c r="AT20" s="157"/>
      <c r="AU20" s="157"/>
      <c r="AV20" s="157"/>
      <c r="AW20" s="157"/>
      <c r="AX20" s="157"/>
      <c r="AY20" s="157"/>
      <c r="AZ20" s="157"/>
      <c r="BA20" s="157"/>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row>
    <row r="21" spans="3:97" ht="89.25" customHeight="1" x14ac:dyDescent="0.25">
      <c r="C21" s="349" t="s">
        <v>478</v>
      </c>
      <c r="D21" s="352" t="s">
        <v>480</v>
      </c>
      <c r="E21" s="368" t="s">
        <v>481</v>
      </c>
      <c r="F21" s="353" t="s">
        <v>238</v>
      </c>
      <c r="G21" s="368" t="s">
        <v>481</v>
      </c>
      <c r="H21" s="787" t="s">
        <v>239</v>
      </c>
      <c r="I21" s="787"/>
      <c r="J21" s="595"/>
      <c r="K21" s="590"/>
      <c r="L21" s="590"/>
      <c r="M21" s="294" t="s">
        <v>490</v>
      </c>
      <c r="N21" s="294" t="s">
        <v>492</v>
      </c>
      <c r="O21" s="294" t="s">
        <v>487</v>
      </c>
      <c r="P21" s="294" t="s">
        <v>499</v>
      </c>
      <c r="Q21" s="294" t="s">
        <v>500</v>
      </c>
      <c r="R21" s="294" t="s">
        <v>501</v>
      </c>
      <c r="S21" s="783"/>
      <c r="T21" s="783"/>
      <c r="U21" s="783"/>
      <c r="V21" s="783"/>
      <c r="W21" s="783"/>
      <c r="X21" s="783"/>
      <c r="Y21" s="783"/>
      <c r="Z21" s="590"/>
      <c r="AA21" s="774"/>
      <c r="AB21" s="590"/>
      <c r="AC21" s="590"/>
      <c r="AD21" s="774"/>
      <c r="AE21" s="593"/>
      <c r="AF21" s="579"/>
      <c r="AG21" s="579"/>
      <c r="AH21" s="155"/>
      <c r="AI21" s="160"/>
      <c r="AJ21" s="156"/>
      <c r="AK21" s="160"/>
      <c r="AL21" s="156"/>
      <c r="AM21" s="160"/>
      <c r="AN21" s="156"/>
      <c r="AO21" s="155"/>
      <c r="AP21" s="155"/>
      <c r="AQ21" s="157"/>
      <c r="AR21" s="157"/>
      <c r="AS21" s="157"/>
      <c r="AT21" s="157"/>
      <c r="AU21" s="157"/>
      <c r="AV21" s="157"/>
      <c r="AW21" s="157"/>
      <c r="AX21" s="157"/>
      <c r="AY21" s="157"/>
      <c r="AZ21" s="157"/>
      <c r="BA21" s="157"/>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row>
    <row r="22" spans="3:97" ht="132.75" customHeight="1" x14ac:dyDescent="0.25">
      <c r="C22" s="775">
        <f>((5*4)*12)</f>
        <v>240</v>
      </c>
      <c r="D22" s="710" t="str">
        <f>IF(C22&lt;=0,"",IF(C22&lt;=2,"Muy Baja",IF(C22&lt;=24,"Baja",IF(C22&lt;=500,"Media",IF(C22&lt;=5000,"Alta","Muy Alta")))))</f>
        <v>Media</v>
      </c>
      <c r="E22" s="777">
        <f>IF(D22="","",IF(D22="Muy Baja",0.2,IF(D22="Baja",0.4,IF(D22="Media",0.6,IF(D22="Alta",0.8,IF(D22="Muy Alta",1,))))))</f>
        <v>0.6</v>
      </c>
      <c r="F22" s="615" t="str">
        <f>IF(H56="Si","Catastrófico",IF(H60&lt;=5,"Moderado",IF(H60&lt;=11,"Mayor","Catastrófico")))</f>
        <v>Mayor</v>
      </c>
      <c r="G22" s="780">
        <f>IF(F22="","",IF(F22="Leve",0.2,IF(F22="Menor",0.4,IF(F22="Moderado",0.6,IF(F22="Mayor",0.8,IF(F22="Catastrófico",1,))))))</f>
        <v>0.8</v>
      </c>
      <c r="H22" s="615"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615"/>
      <c r="J22" s="278">
        <v>1</v>
      </c>
      <c r="K22" s="450" t="s">
        <v>656</v>
      </c>
      <c r="L22" s="280" t="str">
        <f>IF(OR(M22="Preventivo",M22="Detectivo"),"Probabilidad",IF(M22="Correctivo","Impacto",""))</f>
        <v>Probabilidad</v>
      </c>
      <c r="M22" s="281" t="s">
        <v>14</v>
      </c>
      <c r="N22" s="281" t="s">
        <v>9</v>
      </c>
      <c r="O22" s="282" t="str">
        <f>IF(AND(M22="Preventivo",N22="Automático"),"50%",IF(AND(M22="Preventivo",N22="Manual"),"40%",IF(AND(M22="Detectivo",N22="Automático"),"40%",IF(AND(M22="Detectivo",N22="Manual"),"30%",IF(AND(M22="Correctivo",N22="Automático"),"35%",IF(AND(M22="Correctivo",N22="Manual"),"25%",""))))))</f>
        <v>40%</v>
      </c>
      <c r="P22" s="281" t="s">
        <v>493</v>
      </c>
      <c r="Q22" s="281" t="s">
        <v>22</v>
      </c>
      <c r="R22" s="281" t="s">
        <v>497</v>
      </c>
      <c r="S22" s="283">
        <f>IFERROR(IF(L22="Probabilidad",(E22-(+E22*O22)),IF(L22="Impacto",E22,"")),"")</f>
        <v>0.36</v>
      </c>
      <c r="T22" s="284" t="str">
        <f>IFERROR(IF(S22="","",IF(S22&lt;=0.2,"Muy Baja",IF(S22&lt;=0.4,"Baja",IF(S22&lt;=0.6,"Media",IF(S22&lt;=0.8,"Alta","Muy Alta"))))),"")</f>
        <v>Baja</v>
      </c>
      <c r="U22" s="282">
        <f>+S22</f>
        <v>0.36</v>
      </c>
      <c r="V22" s="284" t="str">
        <f>IFERROR(IF(W22="","",IF(W22&lt;=0.2,"Leve",IF(W22&lt;=0.4,"Menor",IF(W22&lt;=0.6,"Moderado",IF(W22&lt;=0.8,"Mayor","Catastrófico"))))),"")</f>
        <v>Mayor</v>
      </c>
      <c r="W22" s="282">
        <f>IFERROR(IF(L22="Impacto",(G22-(+G22*O22)),IF(L22="Probabilidad",G22,"")),"")</f>
        <v>0.8</v>
      </c>
      <c r="X22" s="285" t="str">
        <f>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281" t="s">
        <v>30</v>
      </c>
      <c r="Z22" s="452" t="s">
        <v>657</v>
      </c>
      <c r="AA22" s="453" t="s">
        <v>658</v>
      </c>
      <c r="AB22" s="454" t="s">
        <v>574</v>
      </c>
      <c r="AC22" s="455">
        <v>44972</v>
      </c>
      <c r="AD22" s="455">
        <v>45261</v>
      </c>
      <c r="AE22" s="288"/>
      <c r="AF22" s="286"/>
      <c r="AG22" s="287"/>
      <c r="AH22" s="155"/>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162.75" customHeight="1" x14ac:dyDescent="0.25">
      <c r="C23" s="776"/>
      <c r="D23" s="711"/>
      <c r="E23" s="778"/>
      <c r="F23" s="615"/>
      <c r="G23" s="781"/>
      <c r="H23" s="615"/>
      <c r="I23" s="615"/>
      <c r="J23" s="278">
        <v>2</v>
      </c>
      <c r="K23" s="383"/>
      <c r="L23" s="280" t="str">
        <f>IF(OR(M23="Preventivo",M23="Detectivo"),"Probabilidad",IF(M23="Correctivo","Impacto",""))</f>
        <v/>
      </c>
      <c r="M23" s="281"/>
      <c r="N23" s="281"/>
      <c r="O23" s="282" t="str">
        <f>IF(AND(M23="Preventivo",N23="Automático"),"50%",IF(AND(M23="Preventivo",N23="Manual"),"40%",IF(AND(M23="Detectivo",N23="Automático"),"40%",IF(AND(M23="Detectivo",N23="Manual"),"30%",IF(AND(M23="Correctivo",N23="Automático"),"35%",IF(AND(M23="Correctivo",N23="Manual"),"25%",""))))))</f>
        <v/>
      </c>
      <c r="P23" s="281"/>
      <c r="Q23" s="281"/>
      <c r="R23" s="281"/>
      <c r="S23" s="283" t="str">
        <f>IFERROR(IF(L23="Probabilidad",(E22-(+E22*O23)),IF(L23="Impacto",E22,"")),"")</f>
        <v/>
      </c>
      <c r="T23" s="284" t="str">
        <f>IFERROR(IF(S23="","",IF(S23&lt;=0.2,"Muy Baja",IF(S23&lt;=0.4,"Baja",IF(S23&lt;=0.6,"Media",IF(S23&lt;=0.8,"Alta","Muy Alta"))))),"")</f>
        <v/>
      </c>
      <c r="U23" s="282" t="str">
        <f>+S23</f>
        <v/>
      </c>
      <c r="V23" s="284" t="str">
        <f>IFERROR(IF(W23="","",IF(W23&lt;=0.2,"Leve",IF(W23&lt;=0.4,"Menor",IF(W23&lt;=0.6,"Moderado",IF(W23&lt;=0.8,"Mayor","Catastrófico"))))),"")</f>
        <v/>
      </c>
      <c r="W23" s="282" t="str">
        <f>IFERROR(IF(L23="Impacto",(G22-(+G22*O23)),IF(L23="Probabilidad",G22,"")),"")</f>
        <v/>
      </c>
      <c r="X23" s="285"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
      </c>
      <c r="Y23" s="281"/>
      <c r="Z23" s="286"/>
      <c r="AA23" s="286"/>
      <c r="AB23" s="403"/>
      <c r="AC23" s="402"/>
      <c r="AD23" s="402"/>
      <c r="AE23" s="288"/>
      <c r="AF23" s="286"/>
      <c r="AG23" s="287"/>
      <c r="AH23" s="155"/>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50.25" customHeight="1" x14ac:dyDescent="0.25">
      <c r="C24" s="776"/>
      <c r="D24" s="711"/>
      <c r="E24" s="779"/>
      <c r="F24" s="615"/>
      <c r="G24" s="782"/>
      <c r="H24" s="615"/>
      <c r="I24" s="620"/>
      <c r="J24" s="784" t="s">
        <v>576</v>
      </c>
      <c r="K24" s="834"/>
      <c r="L24" s="834"/>
      <c r="M24" s="834"/>
      <c r="N24" s="834"/>
      <c r="O24" s="834"/>
      <c r="P24" s="834"/>
      <c r="Q24" s="834"/>
      <c r="R24" s="834"/>
      <c r="S24" s="376" t="e">
        <f>(($S$22*$O$23))</f>
        <v>#VALUE!</v>
      </c>
      <c r="T24" s="284"/>
      <c r="U24" s="282"/>
      <c r="V24" s="284"/>
      <c r="W24" s="282"/>
      <c r="X24" s="285"/>
      <c r="Y24" s="281"/>
      <c r="Z24" s="175"/>
      <c r="AA24" s="286"/>
      <c r="AB24" s="403"/>
      <c r="AC24" s="402"/>
      <c r="AD24" s="402"/>
      <c r="AE24" s="175"/>
      <c r="AF24" s="175"/>
      <c r="AG24" s="175"/>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65.25" customHeight="1" x14ac:dyDescent="0.25">
      <c r="C25" s="182" t="s">
        <v>513</v>
      </c>
      <c r="D25" s="304">
        <f>VLOOKUP(D22,D79:F83,2,0)</f>
        <v>0</v>
      </c>
      <c r="E25" s="304"/>
      <c r="F25" s="304">
        <f>VLOOKUP(F22,D87:F91,2,0)</f>
        <v>0</v>
      </c>
      <c r="G25" s="370"/>
      <c r="J25" s="784"/>
      <c r="K25" s="834"/>
      <c r="L25" s="834"/>
      <c r="M25" s="834"/>
      <c r="N25" s="834"/>
      <c r="O25" s="834"/>
      <c r="P25" s="834"/>
      <c r="Q25" s="834"/>
      <c r="R25" s="834"/>
      <c r="S25" s="376" t="e">
        <f>(($S$22-$S$24))</f>
        <v>#VALUE!</v>
      </c>
      <c r="T25" s="284" t="str">
        <f>IFERROR(IF(S25="","",IF(S25&lt;=0.2,"Muy Baja",IF(S25&lt;=0.4,"Baja",IF(S25&lt;=0.6,"Media",IF(S25&lt;=0.8,"Alta","Muy Alta"))))),"")</f>
        <v/>
      </c>
      <c r="U25" s="282" t="e">
        <f t="shared" ref="U25" si="0">+S25</f>
        <v>#VALUE!</v>
      </c>
      <c r="V25" s="284" t="str">
        <f t="shared" ref="V25" si="1">IFERROR(IF(W25="","",IF(W25&lt;=0.2,"Leve",IF(W25&lt;=0.4,"Menor",IF(W25&lt;=0.6,"Moderado",IF(W25&lt;=0.8,"Mayor","Catastrófico"))))),"")</f>
        <v/>
      </c>
      <c r="W25" s="282" t="str">
        <f>IFERROR(IF(L23="Impacto",(G22-(+G22*O23)),IF(L23="Probabilidad",G22,"")),"")</f>
        <v/>
      </c>
      <c r="X25" s="285" t="str">
        <f t="shared" ref="X25" si="2">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158"/>
      <c r="Z25" s="158"/>
      <c r="AA25" s="158"/>
      <c r="AB25" s="147"/>
      <c r="AC25" s="147"/>
      <c r="AD25" s="147"/>
      <c r="AE25" s="147"/>
      <c r="AF25" s="175"/>
      <c r="AG25" s="17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27.75" customHeight="1" x14ac:dyDescent="0.25">
      <c r="F26" s="167"/>
      <c r="G26" s="167"/>
      <c r="J26" s="157"/>
      <c r="K26" s="382"/>
      <c r="L26" s="382"/>
      <c r="M26" s="382"/>
      <c r="N26" s="382"/>
      <c r="O26" s="382"/>
      <c r="P26" s="382"/>
      <c r="Q26" s="382"/>
      <c r="R26" s="382"/>
      <c r="S26" s="382"/>
      <c r="T26" s="382"/>
      <c r="U26" s="382"/>
      <c r="V26" s="382"/>
      <c r="W26" s="382"/>
      <c r="X26" s="382"/>
      <c r="Y26" s="146"/>
      <c r="Z26" s="146"/>
      <c r="AA26" s="146"/>
      <c r="AB26" s="401"/>
      <c r="AC26" s="401"/>
      <c r="AD26" s="401"/>
      <c r="AE26" s="401"/>
      <c r="AF26" s="175"/>
      <c r="AG26" s="17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x14ac:dyDescent="0.25">
      <c r="F27" s="168"/>
      <c r="G27" s="168"/>
      <c r="J27" s="157"/>
      <c r="K27" s="382"/>
      <c r="L27" s="382"/>
      <c r="M27" s="382"/>
      <c r="N27" s="382"/>
      <c r="O27" s="382"/>
      <c r="P27" s="382"/>
      <c r="Q27" s="382"/>
      <c r="R27" s="382"/>
      <c r="S27" s="382"/>
      <c r="T27" s="382"/>
      <c r="U27" s="382"/>
      <c r="V27" s="382"/>
      <c r="W27" s="382"/>
      <c r="X27" s="382"/>
      <c r="Y27" s="146"/>
      <c r="Z27" s="146"/>
      <c r="AA27" s="146"/>
      <c r="AB27" s="147"/>
      <c r="AC27" s="147"/>
      <c r="AD27" s="147"/>
      <c r="AE27" s="147"/>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x14ac:dyDescent="0.25">
      <c r="J28" s="157"/>
      <c r="K28" s="382"/>
      <c r="L28" s="382"/>
      <c r="M28" s="382"/>
      <c r="N28" s="382"/>
      <c r="O28" s="382"/>
      <c r="P28" s="382"/>
      <c r="Q28" s="382"/>
      <c r="R28" s="382"/>
      <c r="S28" s="382"/>
      <c r="T28" s="382"/>
      <c r="U28" s="382"/>
      <c r="V28" s="382"/>
      <c r="W28" s="382"/>
      <c r="X28" s="382"/>
      <c r="AB28" s="147"/>
      <c r="AC28" s="147"/>
      <c r="AD28" s="147"/>
      <c r="AE28" s="147"/>
      <c r="AF28" s="175"/>
      <c r="AG28" s="175"/>
    </row>
    <row r="29" spans="3:97" x14ac:dyDescent="0.25">
      <c r="J29" s="758"/>
      <c r="K29" s="763"/>
      <c r="L29" s="763"/>
      <c r="M29" s="758"/>
      <c r="N29" s="758"/>
      <c r="O29" s="763"/>
      <c r="P29" s="763"/>
      <c r="Q29" s="763"/>
      <c r="R29" s="322"/>
      <c r="S29" s="322"/>
    </row>
    <row r="30" spans="3:97" ht="15" customHeight="1" x14ac:dyDescent="0.25">
      <c r="J30" s="758"/>
      <c r="K30" s="763"/>
      <c r="L30" s="763"/>
      <c r="M30" s="758"/>
      <c r="N30" s="758"/>
      <c r="O30" s="763"/>
      <c r="P30" s="763"/>
      <c r="Q30" s="763"/>
      <c r="R30" s="322"/>
      <c r="S30" s="322"/>
    </row>
    <row r="31" spans="3:97" ht="15" customHeight="1" x14ac:dyDescent="0.25">
      <c r="J31" s="758"/>
      <c r="K31" s="763"/>
      <c r="L31" s="763"/>
      <c r="M31" s="758"/>
      <c r="N31" s="758"/>
      <c r="O31" s="763"/>
      <c r="P31" s="763"/>
      <c r="Q31" s="763"/>
      <c r="R31" s="322"/>
      <c r="S31" s="322"/>
    </row>
    <row r="32" spans="3:97" x14ac:dyDescent="0.25">
      <c r="J32" s="758"/>
      <c r="K32" s="763"/>
      <c r="L32" s="763"/>
      <c r="M32" s="758"/>
      <c r="N32" s="758"/>
      <c r="O32" s="763"/>
      <c r="P32" s="763"/>
      <c r="Q32" s="763"/>
      <c r="R32" s="322"/>
      <c r="S32" s="322"/>
    </row>
    <row r="34" spans="4:23" ht="15" customHeight="1" x14ac:dyDescent="0.25"/>
    <row r="36" spans="4:23" ht="15" customHeight="1" x14ac:dyDescent="0.25">
      <c r="S36" s="766"/>
      <c r="T36" s="766"/>
      <c r="U36" s="766"/>
      <c r="V36" s="766"/>
      <c r="W36" s="766"/>
    </row>
    <row r="37" spans="4:23" ht="15" customHeight="1" x14ac:dyDescent="0.25">
      <c r="D37" s="767" t="s">
        <v>247</v>
      </c>
      <c r="E37" s="767"/>
      <c r="F37" s="767"/>
      <c r="G37" s="767"/>
      <c r="H37" s="767"/>
      <c r="J37" s="768"/>
      <c r="K37" s="768"/>
      <c r="L37" s="768"/>
      <c r="M37" s="768"/>
      <c r="N37" s="768"/>
      <c r="O37" s="768"/>
      <c r="P37" s="768"/>
      <c r="Q37" s="768"/>
      <c r="S37" s="766"/>
      <c r="T37" s="766"/>
      <c r="U37" s="766"/>
      <c r="V37" s="766"/>
      <c r="W37" s="766"/>
    </row>
    <row r="38" spans="4:23" x14ac:dyDescent="0.25">
      <c r="D38" s="146"/>
      <c r="E38" s="146"/>
      <c r="F38" s="146"/>
      <c r="G38" s="146"/>
      <c r="H38" s="146"/>
    </row>
    <row r="39" spans="4:23" ht="15" customHeight="1" x14ac:dyDescent="0.25">
      <c r="D39" s="769" t="s">
        <v>204</v>
      </c>
      <c r="E39" s="152"/>
      <c r="F39" s="771" t="s">
        <v>248</v>
      </c>
      <c r="G39" s="356"/>
      <c r="H39" s="153" t="s">
        <v>249</v>
      </c>
      <c r="L39" s="773"/>
      <c r="M39" s="773"/>
      <c r="N39" s="773"/>
      <c r="O39" s="773"/>
      <c r="P39" s="773"/>
      <c r="Q39" s="773"/>
      <c r="S39" s="614"/>
      <c r="T39" s="614"/>
      <c r="U39" s="614"/>
      <c r="V39" s="614"/>
      <c r="W39" s="614"/>
    </row>
    <row r="40" spans="4:23" x14ac:dyDescent="0.25">
      <c r="D40" s="770"/>
      <c r="E40" s="355"/>
      <c r="F40" s="772"/>
      <c r="G40" s="357"/>
      <c r="H40" s="350" t="s">
        <v>257</v>
      </c>
      <c r="J40" s="177"/>
      <c r="K40" s="177"/>
      <c r="L40" s="163"/>
      <c r="M40" s="163"/>
      <c r="N40" s="163"/>
      <c r="O40" s="163"/>
      <c r="P40" s="163"/>
      <c r="Q40" s="163"/>
      <c r="S40" s="614"/>
      <c r="T40" s="614"/>
      <c r="U40" s="614"/>
      <c r="V40" s="614"/>
      <c r="W40" s="614"/>
    </row>
    <row r="41" spans="4:23" ht="42.75" customHeight="1" x14ac:dyDescent="0.25">
      <c r="D41" s="362">
        <v>1</v>
      </c>
      <c r="E41" s="362"/>
      <c r="F41" s="361" t="s">
        <v>262</v>
      </c>
      <c r="G41" s="361"/>
      <c r="H41" s="360" t="s">
        <v>377</v>
      </c>
      <c r="J41" s="762"/>
      <c r="K41" s="761"/>
      <c r="L41" s="758"/>
      <c r="M41" s="763"/>
      <c r="N41" s="758"/>
      <c r="O41" s="763"/>
      <c r="P41" s="758"/>
      <c r="Q41" s="763"/>
      <c r="S41" s="614"/>
      <c r="T41" s="614"/>
      <c r="U41" s="614"/>
      <c r="V41" s="614"/>
      <c r="W41" s="614"/>
    </row>
    <row r="42" spans="4:23" ht="43.5" customHeight="1" x14ac:dyDescent="0.25">
      <c r="D42" s="362">
        <v>2</v>
      </c>
      <c r="E42" s="362"/>
      <c r="F42" s="361" t="s">
        <v>266</v>
      </c>
      <c r="G42" s="361"/>
      <c r="H42" s="360" t="s">
        <v>377</v>
      </c>
      <c r="J42" s="762"/>
      <c r="K42" s="761"/>
      <c r="L42" s="758"/>
      <c r="M42" s="763"/>
      <c r="N42" s="758"/>
      <c r="O42" s="763"/>
      <c r="P42" s="758"/>
      <c r="Q42" s="763"/>
      <c r="S42" s="149"/>
      <c r="T42" s="149"/>
      <c r="U42" s="149"/>
      <c r="V42" s="149"/>
      <c r="W42" s="149"/>
    </row>
    <row r="43" spans="4:23" ht="30" x14ac:dyDescent="0.25">
      <c r="D43" s="362">
        <v>3</v>
      </c>
      <c r="E43" s="362"/>
      <c r="F43" s="361" t="s">
        <v>269</v>
      </c>
      <c r="G43" s="361"/>
      <c r="H43" s="360" t="s">
        <v>378</v>
      </c>
      <c r="J43" s="762"/>
      <c r="K43" s="386"/>
      <c r="L43" s="358"/>
      <c r="M43" s="385"/>
      <c r="N43" s="358"/>
      <c r="O43" s="385"/>
      <c r="P43" s="358"/>
      <c r="Q43" s="385"/>
      <c r="S43" s="149"/>
      <c r="T43" s="149"/>
      <c r="U43" s="149"/>
      <c r="V43" s="149"/>
      <c r="W43" s="149"/>
    </row>
    <row r="44" spans="4:23" ht="46.5" customHeight="1" x14ac:dyDescent="0.25">
      <c r="D44" s="362">
        <v>4</v>
      </c>
      <c r="E44" s="362"/>
      <c r="F44" s="361" t="s">
        <v>273</v>
      </c>
      <c r="G44" s="361"/>
      <c r="H44" s="360" t="s">
        <v>378</v>
      </c>
      <c r="J44" s="765"/>
      <c r="K44" s="761"/>
      <c r="L44" s="762"/>
      <c r="M44" s="763"/>
      <c r="N44" s="762"/>
      <c r="O44" s="763"/>
      <c r="P44" s="762"/>
      <c r="Q44" s="763"/>
      <c r="S44" s="149"/>
      <c r="T44" s="149"/>
      <c r="U44" s="149"/>
      <c r="V44" s="149"/>
      <c r="W44" s="149"/>
    </row>
    <row r="45" spans="4:23" ht="46.5" customHeight="1" x14ac:dyDescent="0.25">
      <c r="D45" s="362">
        <v>5</v>
      </c>
      <c r="E45" s="362"/>
      <c r="F45" s="361" t="s">
        <v>278</v>
      </c>
      <c r="G45" s="361"/>
      <c r="H45" s="360" t="s">
        <v>377</v>
      </c>
      <c r="J45" s="765"/>
      <c r="K45" s="761"/>
      <c r="L45" s="762"/>
      <c r="M45" s="763"/>
      <c r="N45" s="762"/>
      <c r="O45" s="763"/>
      <c r="P45" s="762"/>
      <c r="Q45" s="763"/>
      <c r="S45" s="149"/>
      <c r="T45" s="149"/>
      <c r="U45" s="149"/>
      <c r="V45" s="149"/>
      <c r="W45" s="149"/>
    </row>
    <row r="46" spans="4:23" ht="41.25" customHeight="1" x14ac:dyDescent="0.25">
      <c r="D46" s="362">
        <v>6</v>
      </c>
      <c r="E46" s="362"/>
      <c r="F46" s="361" t="s">
        <v>279</v>
      </c>
      <c r="G46" s="361"/>
      <c r="H46" s="360" t="s">
        <v>378</v>
      </c>
      <c r="J46" s="765"/>
      <c r="K46" s="761"/>
      <c r="L46" s="758"/>
      <c r="M46" s="763"/>
      <c r="N46" s="758"/>
      <c r="O46" s="763"/>
      <c r="P46" s="758"/>
      <c r="Q46" s="763"/>
      <c r="S46" s="149"/>
      <c r="T46" s="149"/>
      <c r="U46" s="149"/>
      <c r="V46" s="149"/>
      <c r="W46" s="149"/>
    </row>
    <row r="47" spans="4:23" ht="41.25" customHeight="1" x14ac:dyDescent="0.25">
      <c r="D47" s="362">
        <v>7</v>
      </c>
      <c r="E47" s="362"/>
      <c r="F47" s="361" t="s">
        <v>284</v>
      </c>
      <c r="G47" s="361"/>
      <c r="H47" s="360" t="s">
        <v>378</v>
      </c>
      <c r="J47" s="765"/>
      <c r="K47" s="761"/>
      <c r="L47" s="758"/>
      <c r="M47" s="763"/>
      <c r="N47" s="758"/>
      <c r="O47" s="763"/>
      <c r="P47" s="758"/>
      <c r="Q47" s="763"/>
      <c r="S47" s="149"/>
      <c r="T47" s="149"/>
      <c r="U47" s="149"/>
      <c r="V47" s="149"/>
      <c r="W47" s="149"/>
    </row>
    <row r="48" spans="4:23" ht="50.25" customHeight="1" x14ac:dyDescent="0.25">
      <c r="D48" s="362">
        <v>8</v>
      </c>
      <c r="E48" s="362"/>
      <c r="F48" s="361" t="s">
        <v>511</v>
      </c>
      <c r="G48" s="361"/>
      <c r="H48" s="360" t="s">
        <v>378</v>
      </c>
      <c r="J48" s="765"/>
      <c r="K48" s="761"/>
      <c r="L48" s="758"/>
      <c r="M48" s="763"/>
      <c r="N48" s="758"/>
      <c r="O48" s="763"/>
      <c r="P48" s="758"/>
      <c r="Q48" s="763"/>
      <c r="S48" s="149"/>
      <c r="T48" s="149"/>
      <c r="U48" s="149"/>
      <c r="V48" s="149"/>
      <c r="W48" s="149"/>
    </row>
    <row r="49" spans="4:25" ht="42" customHeight="1" x14ac:dyDescent="0.25">
      <c r="D49" s="362">
        <v>9</v>
      </c>
      <c r="E49" s="362"/>
      <c r="F49" s="361" t="s">
        <v>285</v>
      </c>
      <c r="G49" s="361"/>
      <c r="H49" s="360" t="s">
        <v>377</v>
      </c>
      <c r="J49" s="765"/>
      <c r="K49" s="761"/>
      <c r="L49" s="758"/>
      <c r="M49" s="763"/>
      <c r="N49" s="758"/>
      <c r="O49" s="763"/>
      <c r="P49" s="758"/>
      <c r="Q49" s="763"/>
      <c r="S49" s="149"/>
      <c r="T49" s="149"/>
      <c r="U49" s="149"/>
      <c r="V49" s="149"/>
      <c r="W49" s="149"/>
    </row>
    <row r="50" spans="4:25" ht="42" customHeight="1" x14ac:dyDescent="0.25">
      <c r="D50" s="362">
        <v>10</v>
      </c>
      <c r="E50" s="362"/>
      <c r="F50" s="361" t="s">
        <v>289</v>
      </c>
      <c r="G50" s="361"/>
      <c r="H50" s="360" t="s">
        <v>377</v>
      </c>
      <c r="J50" s="765"/>
      <c r="K50" s="761"/>
      <c r="L50" s="758"/>
      <c r="M50" s="763"/>
      <c r="N50" s="758"/>
      <c r="O50" s="763"/>
      <c r="P50" s="758"/>
      <c r="Q50" s="763"/>
      <c r="X50" s="359"/>
    </row>
    <row r="51" spans="4:25" ht="48.75" customHeight="1" x14ac:dyDescent="0.25">
      <c r="D51" s="362">
        <v>11</v>
      </c>
      <c r="E51" s="362"/>
      <c r="F51" s="361" t="s">
        <v>290</v>
      </c>
      <c r="G51" s="361"/>
      <c r="H51" s="360" t="s">
        <v>377</v>
      </c>
      <c r="J51" s="764"/>
      <c r="K51" s="761"/>
      <c r="L51" s="758"/>
      <c r="M51" s="763"/>
      <c r="N51" s="758"/>
      <c r="O51" s="763"/>
      <c r="P51" s="758"/>
      <c r="Q51" s="763"/>
      <c r="S51" s="758"/>
      <c r="T51" s="758"/>
      <c r="U51" s="758"/>
      <c r="V51" s="760"/>
      <c r="W51" s="359"/>
      <c r="X51" s="359"/>
      <c r="Y51" s="163"/>
    </row>
    <row r="52" spans="4:25" ht="21" customHeight="1" x14ac:dyDescent="0.25">
      <c r="D52" s="362">
        <v>12</v>
      </c>
      <c r="E52" s="362"/>
      <c r="F52" s="361" t="s">
        <v>296</v>
      </c>
      <c r="G52" s="361"/>
      <c r="H52" s="360" t="s">
        <v>377</v>
      </c>
      <c r="J52" s="764"/>
      <c r="K52" s="761"/>
      <c r="L52" s="758"/>
      <c r="M52" s="763"/>
      <c r="N52" s="758"/>
      <c r="O52" s="763"/>
      <c r="P52" s="758"/>
      <c r="Q52" s="763"/>
      <c r="S52" s="758"/>
      <c r="T52" s="758"/>
      <c r="U52" s="758"/>
      <c r="V52" s="760"/>
      <c r="W52" s="359"/>
      <c r="X52" s="359"/>
      <c r="Y52" s="163"/>
    </row>
    <row r="53" spans="4:25" ht="27.75" customHeight="1" x14ac:dyDescent="0.25">
      <c r="D53" s="362">
        <v>13</v>
      </c>
      <c r="E53" s="362"/>
      <c r="F53" s="361" t="s">
        <v>297</v>
      </c>
      <c r="G53" s="361"/>
      <c r="H53" s="360" t="s">
        <v>377</v>
      </c>
      <c r="J53" s="764"/>
      <c r="K53" s="761"/>
      <c r="L53" s="758"/>
      <c r="M53" s="763"/>
      <c r="N53" s="758"/>
      <c r="O53" s="763"/>
      <c r="P53" s="758"/>
      <c r="Q53" s="763"/>
      <c r="S53" s="758"/>
      <c r="T53" s="758"/>
      <c r="U53" s="758"/>
      <c r="V53" s="760"/>
      <c r="W53" s="359"/>
      <c r="Y53" s="163"/>
    </row>
    <row r="54" spans="4:25" ht="48" customHeight="1" x14ac:dyDescent="0.25">
      <c r="D54" s="362">
        <v>14</v>
      </c>
      <c r="E54" s="362"/>
      <c r="F54" s="361" t="s">
        <v>298</v>
      </c>
      <c r="G54" s="361"/>
      <c r="H54" s="360" t="s">
        <v>378</v>
      </c>
      <c r="J54" s="758"/>
      <c r="K54" s="761"/>
      <c r="L54" s="762"/>
      <c r="M54" s="763"/>
      <c r="N54" s="762"/>
      <c r="O54" s="763"/>
      <c r="P54" s="762"/>
      <c r="Q54" s="763"/>
      <c r="Y54" s="163"/>
    </row>
    <row r="55" spans="4:25" ht="48" customHeight="1" x14ac:dyDescent="0.25">
      <c r="D55" s="362">
        <v>15</v>
      </c>
      <c r="E55" s="362"/>
      <c r="F55" s="361" t="s">
        <v>302</v>
      </c>
      <c r="G55" s="361"/>
      <c r="H55" s="360" t="s">
        <v>377</v>
      </c>
      <c r="J55" s="758"/>
      <c r="K55" s="761"/>
      <c r="L55" s="762"/>
      <c r="M55" s="763"/>
      <c r="N55" s="762"/>
      <c r="O55" s="763"/>
      <c r="P55" s="762"/>
      <c r="Q55" s="763"/>
      <c r="Y55" s="163"/>
    </row>
    <row r="56" spans="4:25" ht="63" customHeight="1" x14ac:dyDescent="0.25">
      <c r="D56" s="164">
        <v>16</v>
      </c>
      <c r="E56" s="164"/>
      <c r="F56" s="297" t="s">
        <v>303</v>
      </c>
      <c r="G56" s="297"/>
      <c r="H56" s="360" t="s">
        <v>378</v>
      </c>
      <c r="K56" s="177"/>
      <c r="L56" s="177"/>
      <c r="M56" s="385"/>
      <c r="N56" s="163"/>
      <c r="O56" s="385"/>
      <c r="P56" s="163"/>
      <c r="Q56" s="385"/>
      <c r="Y56" s="163"/>
    </row>
    <row r="57" spans="4:25" ht="45" customHeight="1" x14ac:dyDescent="0.25">
      <c r="D57" s="362">
        <v>17</v>
      </c>
      <c r="E57" s="362"/>
      <c r="F57" s="298" t="s">
        <v>306</v>
      </c>
      <c r="G57" s="298"/>
      <c r="H57" s="360" t="s">
        <v>377</v>
      </c>
      <c r="J57" s="758"/>
      <c r="L57" s="154"/>
      <c r="M57" s="358"/>
      <c r="N57" s="177"/>
      <c r="O57" s="358"/>
      <c r="P57" s="177"/>
      <c r="Q57" s="358"/>
      <c r="Y57" s="163"/>
    </row>
    <row r="58" spans="4:25" ht="31.5" customHeight="1" x14ac:dyDescent="0.25">
      <c r="D58" s="362">
        <v>18</v>
      </c>
      <c r="E58" s="362"/>
      <c r="F58" s="298" t="s">
        <v>309</v>
      </c>
      <c r="G58" s="298"/>
      <c r="H58" s="360" t="s">
        <v>378</v>
      </c>
      <c r="J58" s="758"/>
      <c r="K58" s="168"/>
      <c r="L58" s="168"/>
      <c r="R58" s="758"/>
      <c r="Y58" s="163"/>
    </row>
    <row r="59" spans="4:25" ht="36.75" customHeight="1" x14ac:dyDescent="0.25">
      <c r="D59" s="363">
        <v>19</v>
      </c>
      <c r="E59" s="363"/>
      <c r="F59" s="176" t="s">
        <v>311</v>
      </c>
      <c r="G59" s="176"/>
      <c r="H59" s="360" t="s">
        <v>378</v>
      </c>
      <c r="J59" s="758"/>
      <c r="K59" s="168"/>
      <c r="L59" s="154"/>
      <c r="M59" s="759"/>
      <c r="N59" s="759"/>
      <c r="O59" s="759"/>
      <c r="P59" s="759"/>
      <c r="Q59" s="759"/>
      <c r="R59" s="758"/>
      <c r="S59" s="358"/>
      <c r="Y59" s="163"/>
    </row>
    <row r="60" spans="4:25" ht="33" customHeight="1" x14ac:dyDescent="0.25">
      <c r="F60" s="351" t="s">
        <v>314</v>
      </c>
      <c r="G60" s="351"/>
      <c r="H60" s="351">
        <f>COUNTIF(H41:H59,"Si")</f>
        <v>10</v>
      </c>
      <c r="J60" s="758"/>
      <c r="K60" s="168"/>
      <c r="L60" s="154"/>
      <c r="M60" s="759"/>
      <c r="N60" s="759"/>
      <c r="O60" s="759"/>
      <c r="P60" s="759"/>
      <c r="Q60" s="759"/>
      <c r="R60" s="758"/>
      <c r="S60" s="358"/>
      <c r="Y60" s="163"/>
    </row>
    <row r="61" spans="4:25" x14ac:dyDescent="0.25">
      <c r="J61" s="354"/>
      <c r="K61" s="157"/>
      <c r="R61" s="358"/>
      <c r="S61" s="358"/>
      <c r="Y61" s="163"/>
    </row>
    <row r="62" spans="4:25" x14ac:dyDescent="0.25">
      <c r="S62" s="358"/>
      <c r="Y62" s="163"/>
    </row>
    <row r="63" spans="4:25" x14ac:dyDescent="0.25">
      <c r="X63" s="163"/>
      <c r="Y63" s="163"/>
    </row>
    <row r="64" spans="4:25" x14ac:dyDescent="0.25">
      <c r="T64" s="163"/>
      <c r="U64" s="163"/>
      <c r="V64" s="163"/>
      <c r="W64" s="163"/>
      <c r="X64" s="163"/>
      <c r="Y64" s="163"/>
    </row>
    <row r="65" spans="4:23" x14ac:dyDescent="0.25">
      <c r="T65" s="163"/>
      <c r="U65" s="163"/>
      <c r="V65" s="163"/>
      <c r="W65" s="163"/>
    </row>
    <row r="78" spans="4:23" ht="21" customHeight="1" x14ac:dyDescent="0.3">
      <c r="D78" s="757" t="s">
        <v>522</v>
      </c>
      <c r="E78" s="757"/>
      <c r="F78" s="757"/>
      <c r="G78" s="146"/>
      <c r="I78" s="609" t="s">
        <v>469</v>
      </c>
      <c r="J78" s="609"/>
      <c r="K78" s="609"/>
      <c r="L78" s="609"/>
      <c r="M78" s="609"/>
    </row>
    <row r="79" spans="4:23" ht="21" customHeight="1" x14ac:dyDescent="0.3">
      <c r="D79" s="310" t="s">
        <v>514</v>
      </c>
      <c r="E79" s="310"/>
      <c r="F79" s="305">
        <v>0.2</v>
      </c>
      <c r="G79" s="371"/>
      <c r="I79" s="1"/>
      <c r="J79" s="5"/>
      <c r="K79" s="295" t="s">
        <v>13</v>
      </c>
      <c r="L79" s="295" t="s">
        <v>498</v>
      </c>
      <c r="M79" s="1"/>
      <c r="N79" s="140" t="s">
        <v>265</v>
      </c>
    </row>
    <row r="80" spans="4:23" ht="21" customHeight="1" x14ac:dyDescent="0.3">
      <c r="D80" s="310" t="s">
        <v>515</v>
      </c>
      <c r="E80" s="310"/>
      <c r="F80" s="305">
        <v>0.4</v>
      </c>
      <c r="G80" s="371"/>
      <c r="I80" s="1"/>
      <c r="J80" s="5"/>
      <c r="K80" s="1" t="s">
        <v>14</v>
      </c>
      <c r="L80" s="1" t="s">
        <v>595</v>
      </c>
      <c r="M80" s="1"/>
      <c r="N80" s="140" t="s">
        <v>559</v>
      </c>
    </row>
    <row r="81" spans="4:14" ht="21" customHeight="1" x14ac:dyDescent="0.3">
      <c r="D81" s="311" t="s">
        <v>516</v>
      </c>
      <c r="E81" s="311"/>
      <c r="F81" s="306">
        <v>0.6</v>
      </c>
      <c r="G81" s="372"/>
      <c r="I81"/>
      <c r="J81" s="5"/>
      <c r="K81" s="1" t="s">
        <v>15</v>
      </c>
      <c r="L81" s="1" t="s">
        <v>9</v>
      </c>
      <c r="M81" s="1"/>
    </row>
    <row r="82" spans="4:14" ht="21" customHeight="1" x14ac:dyDescent="0.3">
      <c r="D82" s="311" t="s">
        <v>517</v>
      </c>
      <c r="E82" s="311"/>
      <c r="F82" s="306">
        <v>0.8</v>
      </c>
      <c r="G82" s="372"/>
      <c r="I82" s="1"/>
      <c r="J82" s="5"/>
      <c r="K82" s="1" t="s">
        <v>16</v>
      </c>
      <c r="L82" s="1"/>
      <c r="M82" s="1"/>
      <c r="N82" s="140" t="s">
        <v>560</v>
      </c>
    </row>
    <row r="83" spans="4:14" ht="21" customHeight="1" x14ac:dyDescent="0.3">
      <c r="D83" s="312" t="s">
        <v>518</v>
      </c>
      <c r="E83" s="312"/>
      <c r="F83" s="307">
        <v>1</v>
      </c>
      <c r="G83" s="373"/>
      <c r="I83" s="1"/>
      <c r="J83" s="5"/>
      <c r="K83" s="1"/>
      <c r="L83" s="1"/>
      <c r="M83" s="1"/>
      <c r="N83" s="140" t="s">
        <v>561</v>
      </c>
    </row>
    <row r="84" spans="4:14" ht="21" customHeight="1" x14ac:dyDescent="0.3">
      <c r="D84" s="146"/>
      <c r="E84" s="146"/>
      <c r="F84" s="146"/>
      <c r="G84" s="146"/>
      <c r="I84" s="1"/>
      <c r="J84" s="5"/>
      <c r="K84" s="295" t="s">
        <v>18</v>
      </c>
      <c r="L84" s="295" t="s">
        <v>21</v>
      </c>
      <c r="M84" s="1"/>
    </row>
    <row r="85" spans="4:14" ht="21" customHeight="1" x14ac:dyDescent="0.3">
      <c r="D85" s="146"/>
      <c r="E85" s="146"/>
      <c r="F85" s="146"/>
      <c r="G85" s="146"/>
      <c r="I85" s="1"/>
      <c r="J85" s="5"/>
      <c r="K85" s="1" t="s">
        <v>493</v>
      </c>
      <c r="L85" s="1" t="s">
        <v>22</v>
      </c>
      <c r="M85" s="1"/>
      <c r="N85" s="140" t="s">
        <v>276</v>
      </c>
    </row>
    <row r="86" spans="4:14" ht="21" customHeight="1" x14ac:dyDescent="0.3">
      <c r="D86" s="757" t="s">
        <v>523</v>
      </c>
      <c r="E86" s="757"/>
      <c r="F86" s="757"/>
      <c r="G86" s="146"/>
      <c r="I86" s="1"/>
      <c r="J86" s="5"/>
      <c r="K86" s="1" t="s">
        <v>494</v>
      </c>
      <c r="L86" s="1" t="s">
        <v>23</v>
      </c>
      <c r="M86" s="1"/>
      <c r="N86" s="140" t="s">
        <v>562</v>
      </c>
    </row>
    <row r="87" spans="4:14" ht="21" customHeight="1" x14ac:dyDescent="0.3">
      <c r="D87" s="313" t="s">
        <v>519</v>
      </c>
      <c r="E87" s="313"/>
      <c r="F87" s="308">
        <v>0.2</v>
      </c>
      <c r="G87" s="374"/>
      <c r="I87" s="1"/>
      <c r="J87" s="5"/>
      <c r="K87" s="1"/>
      <c r="L87" s="1"/>
      <c r="M87" s="1"/>
    </row>
    <row r="88" spans="4:14" ht="21" customHeight="1" x14ac:dyDescent="0.3">
      <c r="D88" s="313" t="s">
        <v>520</v>
      </c>
      <c r="E88" s="313"/>
      <c r="F88" s="308">
        <v>0.4</v>
      </c>
      <c r="G88" s="374"/>
      <c r="I88" s="1"/>
      <c r="J88" s="5"/>
      <c r="K88" s="1"/>
      <c r="L88" s="1"/>
      <c r="M88" s="1"/>
      <c r="N88" s="140" t="s">
        <v>282</v>
      </c>
    </row>
    <row r="89" spans="4:14" ht="21" customHeight="1" x14ac:dyDescent="0.3">
      <c r="D89" s="311" t="s">
        <v>447</v>
      </c>
      <c r="E89" s="311"/>
      <c r="F89" s="306">
        <v>0.6</v>
      </c>
      <c r="G89" s="372"/>
      <c r="I89" s="1"/>
      <c r="J89" s="5"/>
      <c r="K89" s="295" t="s">
        <v>496</v>
      </c>
      <c r="L89" s="295" t="s">
        <v>29</v>
      </c>
      <c r="M89" s="1"/>
      <c r="N89" s="140" t="s">
        <v>336</v>
      </c>
    </row>
    <row r="90" spans="4:14" ht="21" customHeight="1" x14ac:dyDescent="0.3">
      <c r="D90" s="312" t="s">
        <v>521</v>
      </c>
      <c r="E90" s="312"/>
      <c r="F90" s="307">
        <v>0.8</v>
      </c>
      <c r="G90" s="373"/>
      <c r="I90" s="1"/>
      <c r="J90" s="5"/>
      <c r="K90" s="1" t="s">
        <v>497</v>
      </c>
      <c r="L90" s="1" t="s">
        <v>30</v>
      </c>
      <c r="M90" s="1"/>
      <c r="N90" s="140" t="s">
        <v>563</v>
      </c>
    </row>
    <row r="91" spans="4:14" ht="21" customHeight="1" x14ac:dyDescent="0.3">
      <c r="D91" s="314" t="s">
        <v>524</v>
      </c>
      <c r="E91" s="314"/>
      <c r="F91" s="309">
        <v>1</v>
      </c>
      <c r="G91" s="375"/>
      <c r="I91" s="1"/>
      <c r="J91" s="5"/>
      <c r="K91" s="1" t="s">
        <v>27</v>
      </c>
      <c r="L91" s="1" t="s">
        <v>504</v>
      </c>
      <c r="M91" s="1"/>
    </row>
    <row r="92" spans="4:14" ht="16.5" x14ac:dyDescent="0.3">
      <c r="I92" s="1"/>
      <c r="J92" s="5"/>
      <c r="K92" s="1"/>
      <c r="L92" s="1" t="s">
        <v>31</v>
      </c>
      <c r="M92" s="1"/>
      <c r="N92" s="140" t="s">
        <v>288</v>
      </c>
    </row>
    <row r="93" spans="4:14" ht="16.5" x14ac:dyDescent="0.3">
      <c r="I93" s="1"/>
      <c r="J93" s="5"/>
      <c r="K93" s="295" t="s">
        <v>39</v>
      </c>
      <c r="L93" s="1" t="s">
        <v>505</v>
      </c>
      <c r="M93" s="1"/>
      <c r="N93" s="140" t="s">
        <v>564</v>
      </c>
    </row>
    <row r="94" spans="4:14" ht="16.5" x14ac:dyDescent="0.3">
      <c r="I94" s="1"/>
      <c r="J94" s="5"/>
      <c r="K94" s="1" t="s">
        <v>40</v>
      </c>
      <c r="L94" s="1" t="s">
        <v>32</v>
      </c>
      <c r="M94" s="1"/>
    </row>
    <row r="95" spans="4:14" x14ac:dyDescent="0.25">
      <c r="K95" s="140" t="s">
        <v>41</v>
      </c>
      <c r="N95" s="140" t="s">
        <v>293</v>
      </c>
    </row>
    <row r="96" spans="4:14" x14ac:dyDescent="0.25">
      <c r="N96" s="140" t="s">
        <v>565</v>
      </c>
    </row>
    <row r="98" spans="14:14" x14ac:dyDescent="0.25">
      <c r="N98" s="140" t="s">
        <v>301</v>
      </c>
    </row>
    <row r="99" spans="14:14" x14ac:dyDescent="0.25">
      <c r="N99" s="140" t="s">
        <v>566</v>
      </c>
    </row>
    <row r="100" spans="14:14" x14ac:dyDescent="0.25">
      <c r="N100" s="140" t="s">
        <v>567</v>
      </c>
    </row>
    <row r="118" spans="6:6" x14ac:dyDescent="0.25">
      <c r="F118" s="140" t="s">
        <v>395</v>
      </c>
    </row>
    <row r="120" spans="6:6" x14ac:dyDescent="0.25">
      <c r="F120" s="140" t="s">
        <v>377</v>
      </c>
    </row>
    <row r="121" spans="6:6" x14ac:dyDescent="0.25">
      <c r="F121" s="140" t="s">
        <v>378</v>
      </c>
    </row>
    <row r="283" spans="4:20" x14ac:dyDescent="0.25">
      <c r="J283" s="165"/>
      <c r="K283" s="165"/>
      <c r="L283" s="165"/>
    </row>
    <row r="286" spans="4:20" x14ac:dyDescent="0.25">
      <c r="M286" s="165"/>
      <c r="N286" s="165"/>
      <c r="O286" s="165"/>
      <c r="S286" s="165"/>
      <c r="T286" s="165"/>
    </row>
    <row r="287" spans="4:20" x14ac:dyDescent="0.25">
      <c r="D287" s="143"/>
    </row>
    <row r="288" spans="4:20" x14ac:dyDescent="0.25">
      <c r="D288" s="143"/>
    </row>
    <row r="289" spans="4:18" x14ac:dyDescent="0.25">
      <c r="D289" s="143"/>
    </row>
    <row r="290" spans="4:18" x14ac:dyDescent="0.25">
      <c r="D290" s="143"/>
    </row>
    <row r="291" spans="4:18" x14ac:dyDescent="0.25">
      <c r="D291" s="143"/>
      <c r="I291" s="165"/>
      <c r="P291" s="165"/>
      <c r="Q291" s="165"/>
    </row>
    <row r="292" spans="4:18" x14ac:dyDescent="0.25">
      <c r="D292" s="166"/>
      <c r="E292" s="165"/>
      <c r="F292" s="165"/>
      <c r="G292" s="165"/>
      <c r="H292" s="165"/>
    </row>
    <row r="300" spans="4:18" x14ac:dyDescent="0.25">
      <c r="R300" s="165"/>
    </row>
  </sheetData>
  <mergeCells count="130">
    <mergeCell ref="I4:O4"/>
    <mergeCell ref="P4:S4"/>
    <mergeCell ref="T4:W4"/>
    <mergeCell ref="X4:AA4"/>
    <mergeCell ref="C6:AQ7"/>
    <mergeCell ref="C8:F8"/>
    <mergeCell ref="G8:S8"/>
    <mergeCell ref="T8:V8"/>
    <mergeCell ref="C15:D15"/>
    <mergeCell ref="E15:F15"/>
    <mergeCell ref="G15:H15"/>
    <mergeCell ref="I15:J15"/>
    <mergeCell ref="C9:F9"/>
    <mergeCell ref="G9:S9"/>
    <mergeCell ref="D10:F10"/>
    <mergeCell ref="I10:AA10"/>
    <mergeCell ref="C12:AA12"/>
    <mergeCell ref="C14:D14"/>
    <mergeCell ref="E14:F14"/>
    <mergeCell ref="G14:H14"/>
    <mergeCell ref="I14:J14"/>
    <mergeCell ref="C17:AG17"/>
    <mergeCell ref="C19:I20"/>
    <mergeCell ref="J19:R19"/>
    <mergeCell ref="S19:Y19"/>
    <mergeCell ref="Z19:AG19"/>
    <mergeCell ref="J20:J21"/>
    <mergeCell ref="K20:K21"/>
    <mergeCell ref="L20:L21"/>
    <mergeCell ref="M20:R20"/>
    <mergeCell ref="S20:S21"/>
    <mergeCell ref="C22:C24"/>
    <mergeCell ref="D22:D24"/>
    <mergeCell ref="E22:E24"/>
    <mergeCell ref="F22:F24"/>
    <mergeCell ref="G22:G24"/>
    <mergeCell ref="H22:I24"/>
    <mergeCell ref="Z20:Z21"/>
    <mergeCell ref="AA20:AA21"/>
    <mergeCell ref="AB20:AB21"/>
    <mergeCell ref="T20:T21"/>
    <mergeCell ref="U20:U21"/>
    <mergeCell ref="V20:V21"/>
    <mergeCell ref="W20:W21"/>
    <mergeCell ref="X20:X21"/>
    <mergeCell ref="Y20:Y21"/>
    <mergeCell ref="J29:J32"/>
    <mergeCell ref="K29:L32"/>
    <mergeCell ref="M29:N32"/>
    <mergeCell ref="O29:O32"/>
    <mergeCell ref="P29:P32"/>
    <mergeCell ref="Q29:Q32"/>
    <mergeCell ref="AF20:AF21"/>
    <mergeCell ref="AG20:AG21"/>
    <mergeCell ref="H21:I21"/>
    <mergeCell ref="AC20:AC21"/>
    <mergeCell ref="AD20:AD21"/>
    <mergeCell ref="AE20:AE21"/>
    <mergeCell ref="S36:W37"/>
    <mergeCell ref="D37:H37"/>
    <mergeCell ref="J37:Q37"/>
    <mergeCell ref="D39:D40"/>
    <mergeCell ref="F39:F40"/>
    <mergeCell ref="L39:M39"/>
    <mergeCell ref="N39:O39"/>
    <mergeCell ref="P39:Q39"/>
    <mergeCell ref="S39:S41"/>
    <mergeCell ref="T39:T41"/>
    <mergeCell ref="U39:U41"/>
    <mergeCell ref="V39:V41"/>
    <mergeCell ref="W39:W41"/>
    <mergeCell ref="J41:J43"/>
    <mergeCell ref="K41:K42"/>
    <mergeCell ref="L41:L42"/>
    <mergeCell ref="M41:M42"/>
    <mergeCell ref="N41:N42"/>
    <mergeCell ref="O41:O42"/>
    <mergeCell ref="P41:P42"/>
    <mergeCell ref="K46:K48"/>
    <mergeCell ref="L46:L48"/>
    <mergeCell ref="M46:M48"/>
    <mergeCell ref="N46:N48"/>
    <mergeCell ref="O46:O48"/>
    <mergeCell ref="Q41:Q42"/>
    <mergeCell ref="J44:J45"/>
    <mergeCell ref="K44:K45"/>
    <mergeCell ref="L44:L45"/>
    <mergeCell ref="M44:M45"/>
    <mergeCell ref="N44:N45"/>
    <mergeCell ref="O44:O45"/>
    <mergeCell ref="P44:P45"/>
    <mergeCell ref="Q44:Q45"/>
    <mergeCell ref="S51:U53"/>
    <mergeCell ref="V51:V53"/>
    <mergeCell ref="J54:J55"/>
    <mergeCell ref="K54:K55"/>
    <mergeCell ref="L54:L55"/>
    <mergeCell ref="M54:M55"/>
    <mergeCell ref="N54:N55"/>
    <mergeCell ref="O54:O55"/>
    <mergeCell ref="J51:J53"/>
    <mergeCell ref="K51:K53"/>
    <mergeCell ref="L51:L53"/>
    <mergeCell ref="M51:M53"/>
    <mergeCell ref="N51:N53"/>
    <mergeCell ref="O51:O53"/>
    <mergeCell ref="D78:F78"/>
    <mergeCell ref="I78:M78"/>
    <mergeCell ref="D86:F86"/>
    <mergeCell ref="J24:J25"/>
    <mergeCell ref="K24:R25"/>
    <mergeCell ref="P54:P55"/>
    <mergeCell ref="Q54:Q55"/>
    <mergeCell ref="J57:J60"/>
    <mergeCell ref="R58:R60"/>
    <mergeCell ref="M59:Q59"/>
    <mergeCell ref="M60:Q60"/>
    <mergeCell ref="P51:P53"/>
    <mergeCell ref="Q51:Q53"/>
    <mergeCell ref="P46:P48"/>
    <mergeCell ref="Q46:Q48"/>
    <mergeCell ref="J49:J50"/>
    <mergeCell ref="K49:K50"/>
    <mergeCell ref="L49:L50"/>
    <mergeCell ref="M49:M50"/>
    <mergeCell ref="N49:N50"/>
    <mergeCell ref="O49:O50"/>
    <mergeCell ref="P49:P50"/>
    <mergeCell ref="Q49:Q50"/>
    <mergeCell ref="J46:J48"/>
  </mergeCells>
  <conditionalFormatting sqref="H22">
    <cfRule type="containsText" dxfId="253" priority="55" operator="containsText" text="Extremo">
      <formula>NOT(ISERROR(SEARCH("Extremo",H22)))</formula>
    </cfRule>
    <cfRule type="containsText" dxfId="252" priority="56" operator="containsText" text="Alto">
      <formula>NOT(ISERROR(SEARCH("Alto",H22)))</formula>
    </cfRule>
    <cfRule type="containsText" dxfId="251" priority="57" operator="containsText" text="Moderado">
      <formula>NOT(ISERROR(SEARCH("Moderado",H22)))</formula>
    </cfRule>
    <cfRule type="containsText" dxfId="250" priority="58" operator="containsText" text="Bajo">
      <formula>NOT(ISERROR(SEARCH("Bajo",H22)))</formula>
    </cfRule>
  </conditionalFormatting>
  <conditionalFormatting sqref="R29:S32">
    <cfRule type="containsText" dxfId="249" priority="52" operator="containsText" text="Fuerte">
      <formula>NOT(ISERROR(SEARCH("Fuerte",R29)))</formula>
    </cfRule>
    <cfRule type="containsText" dxfId="248" priority="53" operator="containsText" text="Moderado">
      <formula>NOT(ISERROR(SEARCH("Moderado",R29)))</formula>
    </cfRule>
    <cfRule type="containsText" dxfId="247" priority="54" operator="containsText" text="Débil">
      <formula>NOT(ISERROR(SEARCH("Débil",R29)))</formula>
    </cfRule>
  </conditionalFormatting>
  <conditionalFormatting sqref="D22">
    <cfRule type="cellIs" dxfId="246" priority="47" operator="equal">
      <formula>"Muy Alta"</formula>
    </cfRule>
    <cfRule type="cellIs" dxfId="245" priority="48" operator="equal">
      <formula>"Alta"</formula>
    </cfRule>
    <cfRule type="cellIs" dxfId="244" priority="49" operator="equal">
      <formula>"Media"</formula>
    </cfRule>
    <cfRule type="cellIs" dxfId="243" priority="50" operator="equal">
      <formula>"Baja"</formula>
    </cfRule>
    <cfRule type="cellIs" dxfId="242" priority="51" operator="equal">
      <formula>"Muy Baja"</formula>
    </cfRule>
  </conditionalFormatting>
  <conditionalFormatting sqref="S24:S25">
    <cfRule type="containsText" dxfId="241" priority="15" operator="containsText" text="Fuerte">
      <formula>NOT(ISERROR(SEARCH("Fuerte",S24)))</formula>
    </cfRule>
    <cfRule type="containsText" dxfId="240" priority="16" operator="containsText" text="Moderado">
      <formula>NOT(ISERROR(SEARCH("Moderado",S24)))</formula>
    </cfRule>
    <cfRule type="containsText" dxfId="239" priority="17" operator="containsText" text="Débil">
      <formula>NOT(ISERROR(SEARCH("Débil",S24)))</formula>
    </cfRule>
  </conditionalFormatting>
  <conditionalFormatting sqref="T22:T25">
    <cfRule type="cellIs" dxfId="238" priority="10" operator="equal">
      <formula>"Muy Alta"</formula>
    </cfRule>
    <cfRule type="cellIs" dxfId="237" priority="11" operator="equal">
      <formula>"Alta"</formula>
    </cfRule>
    <cfRule type="cellIs" dxfId="236" priority="12" operator="equal">
      <formula>"Media"</formula>
    </cfRule>
    <cfRule type="cellIs" dxfId="235" priority="13" operator="equal">
      <formula>"Baja"</formula>
    </cfRule>
    <cfRule type="cellIs" dxfId="234" priority="14" operator="equal">
      <formula>"Muy Baja"</formula>
    </cfRule>
  </conditionalFormatting>
  <conditionalFormatting sqref="V22:V25">
    <cfRule type="cellIs" dxfId="233" priority="5" operator="equal">
      <formula>"Catastrófico"</formula>
    </cfRule>
    <cfRule type="cellIs" dxfId="232" priority="6" operator="equal">
      <formula>"Mayor"</formula>
    </cfRule>
    <cfRule type="cellIs" dxfId="231" priority="7" operator="equal">
      <formula>"Moderado"</formula>
    </cfRule>
    <cfRule type="cellIs" dxfId="230" priority="8" operator="equal">
      <formula>"Menor"</formula>
    </cfRule>
    <cfRule type="cellIs" dxfId="229" priority="9" operator="equal">
      <formula>"Leve"</formula>
    </cfRule>
  </conditionalFormatting>
  <conditionalFormatting sqref="X22:X25">
    <cfRule type="cellIs" dxfId="228" priority="1" operator="equal">
      <formula>"Extremo"</formula>
    </cfRule>
    <cfRule type="cellIs" dxfId="227" priority="2" operator="equal">
      <formula>"Alto"</formula>
    </cfRule>
    <cfRule type="cellIs" dxfId="226" priority="3" operator="equal">
      <formula>"Moderado"</formula>
    </cfRule>
    <cfRule type="cellIs" dxfId="225" priority="4" operator="equal">
      <formula>"Bajo"</formula>
    </cfRule>
  </conditionalFormatting>
  <dataValidations count="15">
    <dataValidation type="list" allowBlank="1" showInputMessage="1" showErrorMessage="1" sqref="L54:L55 N54:N55 P54:P55" xr:uid="{764B1F37-75B1-40A4-BF66-C43D71B13272}">
      <formula1>$N$98:$N$100</formula1>
    </dataValidation>
    <dataValidation type="list" allowBlank="1" showInputMessage="1" showErrorMessage="1" sqref="L51:L53 N51:N53 P51:P53" xr:uid="{4FCEE047-F33B-4266-A10E-A068632323C8}">
      <formula1>$N$95:$N$96</formula1>
    </dataValidation>
    <dataValidation type="list" allowBlank="1" showInputMessage="1" showErrorMessage="1" sqref="L49:L50 N49:N50 P49:P50" xr:uid="{A71D5DD6-1458-46EA-A003-FD5AF8227996}">
      <formula1>$N$92:$N$93</formula1>
    </dataValidation>
    <dataValidation type="list" allowBlank="1" showInputMessage="1" showErrorMessage="1" sqref="L46:L48 N46:N48 P46:P48" xr:uid="{DAF3EA0D-3D56-4300-8CC0-BCD1F43BD73C}">
      <formula1>$N$88:$N$90</formula1>
    </dataValidation>
    <dataValidation type="list" allowBlank="1" showInputMessage="1" showErrorMessage="1" sqref="L44:L45 N44:N45 P44:P45" xr:uid="{350D8FC1-6077-477B-BB62-BEA6B07C5167}">
      <formula1>$N$85:$N$86</formula1>
    </dataValidation>
    <dataValidation type="list" allowBlank="1" showInputMessage="1" showErrorMessage="1" sqref="L43 N43 P43" xr:uid="{F5C7D16D-7D5D-4A5D-A321-80D689EF341A}">
      <formula1>$N$82:$N$83</formula1>
    </dataValidation>
    <dataValidation type="list" allowBlank="1" showInputMessage="1" showErrorMessage="1" sqref="L41:L42 N41:N42 P41:P42" xr:uid="{C0F85F87-E5C9-4DD7-ABAC-20758E11DF98}">
      <formula1>$N$79:$N$80</formula1>
    </dataValidation>
    <dataValidation type="list" allowBlank="1" showInputMessage="1" showErrorMessage="1" sqref="AG22:AG23" xr:uid="{90B67F72-F205-433C-9082-6CD8B9764D98}">
      <formula1>$K$94:$K$95</formula1>
    </dataValidation>
    <dataValidation type="list" allowBlank="1" showInputMessage="1" showErrorMessage="1" sqref="Y22:Y24" xr:uid="{540FC7EC-EBDC-474C-8797-A48FBDA4B20C}">
      <formula1>$L$90:$L$94</formula1>
    </dataValidation>
    <dataValidation type="list" allowBlank="1" showInputMessage="1" showErrorMessage="1" sqref="R22:R23" xr:uid="{1EA282D4-7522-4A28-850D-F1FA43278E89}">
      <formula1>$K$90:$K$91</formula1>
    </dataValidation>
    <dataValidation type="list" allowBlank="1" showInputMessage="1" showErrorMessage="1" sqref="Q22:Q23" xr:uid="{C36785DA-21FE-41BD-B70A-F8976D1152E1}">
      <formula1>$L$85:$L$86</formula1>
    </dataValidation>
    <dataValidation type="list" allowBlank="1" showInputMessage="1" showErrorMessage="1" sqref="P22:P23" xr:uid="{EA49BCCB-0DA6-44CA-B307-68D0AE4E62CF}">
      <formula1>$K$85:$K$86</formula1>
    </dataValidation>
    <dataValidation type="list" allowBlank="1" showInputMessage="1" showErrorMessage="1" sqref="N22:N23" xr:uid="{8DE2674F-9E55-46A7-9687-96F0D9C9A25A}">
      <formula1>$L$80:$L$81</formula1>
    </dataValidation>
    <dataValidation type="list" allowBlank="1" showInputMessage="1" showErrorMessage="1" sqref="M22:M23" xr:uid="{035291B8-EB4C-4512-9E89-1D07D709FEED}">
      <formula1>$K$80:$K$82</formula1>
    </dataValidation>
    <dataValidation type="list" allowBlank="1" showInputMessage="1" showErrorMessage="1" sqref="H41:H59" xr:uid="{B146D06F-9285-4AD0-A287-864FBEB42553}">
      <formula1>$F$120:$F$121</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2" stopIfTrue="1" operator="containsText" id="{590DDF32-07CC-4F08-B448-A44D80DB0607}">
            <xm:f>NOT(ISERROR(SEARCH($D$90,F22)))</xm:f>
            <xm:f>$D$90</xm:f>
            <x14:dxf>
              <fill>
                <patternFill>
                  <bgColor theme="9" tint="-0.24994659260841701"/>
                </patternFill>
              </fill>
            </x14:dxf>
          </x14:cfRule>
          <x14:cfRule type="containsText" priority="43" stopIfTrue="1" operator="containsText" id="{AA6B7041-7682-448F-88D9-64F298DA31A3}">
            <xm:f>NOT(ISERROR(SEARCH($D$91,F22)))</xm:f>
            <xm:f>$D$91</xm:f>
            <x14:dxf>
              <fill>
                <patternFill>
                  <bgColor rgb="FFFF0000"/>
                </patternFill>
              </fill>
            </x14:dxf>
          </x14:cfRule>
          <x14:cfRule type="containsText" priority="44" stopIfTrue="1" operator="containsText" id="{7D8A118A-5B28-41E8-8692-3022EFD68D99}">
            <xm:f>NOT(ISERROR(SEARCH($D$88,F22)))</xm:f>
            <xm:f>$D$88</xm:f>
            <x14:dxf>
              <fill>
                <patternFill>
                  <bgColor theme="6"/>
                </patternFill>
              </fill>
            </x14:dxf>
          </x14:cfRule>
          <x14:cfRule type="containsText" priority="45" stopIfTrue="1" operator="containsText" id="{8DA16F42-B747-4FE0-8EE1-6476A79A46A5}">
            <xm:f>NOT(ISERROR(SEARCH($D$89,F22)))</xm:f>
            <xm:f>$D$89</xm:f>
            <x14:dxf>
              <fill>
                <patternFill>
                  <bgColor rgb="FFFFFF00"/>
                </patternFill>
              </fill>
            </x14:dxf>
          </x14:cfRule>
          <x14:cfRule type="containsText" priority="46" stopIfTrue="1" operator="containsText" id="{9B85D2C9-549A-4584-9384-536573EC4E5C}">
            <xm:f>NOT(ISERROR(SEARCH($D$87,F22)))</xm:f>
            <xm:f>$D$87</xm:f>
            <x14:dxf>
              <fill>
                <patternFill>
                  <bgColor theme="6"/>
                </patternFill>
              </fill>
            </x14:dxf>
          </x14:cfRule>
          <xm:sqref>F22:G22 F23:F24</xm:sqref>
        </x14:conditionalFormatting>
        <x14:conditionalFormatting xmlns:xm="http://schemas.microsoft.com/office/excel/2006/main">
          <x14:cfRule type="containsText" priority="37" stopIfTrue="1" operator="containsText" id="{D29A1B8E-117A-4DAF-AFBA-656EB4DBF0E4}">
            <xm:f>NOT(ISERROR(SEARCH($F$83,D25)))</xm:f>
            <xm:f>$F$83</xm:f>
            <x14:dxf>
              <fill>
                <patternFill>
                  <bgColor theme="9" tint="-0.24994659260841701"/>
                </patternFill>
              </fill>
            </x14:dxf>
          </x14:cfRule>
          <x14:cfRule type="containsText" priority="38" stopIfTrue="1" operator="containsText" id="{FA95DD50-6D30-419B-A546-36349E13D9E2}">
            <xm:f>NOT(ISERROR(SEARCH($F$82,D25)))</xm:f>
            <xm:f>$F$82</xm:f>
            <x14:dxf>
              <fill>
                <patternFill>
                  <bgColor rgb="FFFFFF00"/>
                </patternFill>
              </fill>
            </x14:dxf>
          </x14:cfRule>
          <x14:cfRule type="containsText" priority="39" stopIfTrue="1" operator="containsText" id="{045CCD6B-09A5-4EFC-97EC-B7D61D572A5C}">
            <xm:f>NOT(ISERROR(SEARCH($F$81,D25)))</xm:f>
            <xm:f>$F$81</xm:f>
            <x14:dxf>
              <fill>
                <patternFill>
                  <bgColor rgb="FFFFFF00"/>
                </patternFill>
              </fill>
            </x14:dxf>
          </x14:cfRule>
          <x14:cfRule type="containsText" priority="40" stopIfTrue="1" operator="containsText" id="{179C38B6-4F3E-4E77-A3A8-F1B3C492034A}">
            <xm:f>NOT(ISERROR(SEARCH($F$80,D25)))</xm:f>
            <xm:f>$F$80</xm:f>
            <x14:dxf>
              <fill>
                <patternFill>
                  <bgColor rgb="FF92D050"/>
                </patternFill>
              </fill>
            </x14:dxf>
          </x14:cfRule>
          <x14:cfRule type="containsText" priority="41" stopIfTrue="1" operator="containsText" id="{316AC53B-CB15-42D0-B9DA-DEE032C4336B}">
            <xm:f>NOT(ISERROR(SEARCH($F$79,D25)))</xm:f>
            <xm:f>$F$79</xm:f>
            <x14:dxf>
              <fill>
                <patternFill>
                  <bgColor rgb="FF92D050"/>
                </patternFill>
              </fill>
            </x14:dxf>
          </x14:cfRule>
          <xm:sqref>D25:E25</xm:sqref>
        </x14:conditionalFormatting>
        <x14:conditionalFormatting xmlns:xm="http://schemas.microsoft.com/office/excel/2006/main">
          <x14:cfRule type="containsText" priority="32" stopIfTrue="1" operator="containsText" id="{1A23A4B9-BC64-4F84-B483-55BD7F333ACF}">
            <xm:f>NOT(ISERROR(SEARCH($F$91,F25)))</xm:f>
            <xm:f>$F$91</xm:f>
            <x14:dxf>
              <fill>
                <patternFill>
                  <bgColor rgb="FFFF0000"/>
                </patternFill>
              </fill>
            </x14:dxf>
          </x14:cfRule>
          <x14:cfRule type="containsText" priority="33" stopIfTrue="1" operator="containsText" id="{ECA74D70-C186-48FB-852A-1856EA921B38}">
            <xm:f>NOT(ISERROR(SEARCH($F$90,F25)))</xm:f>
            <xm:f>$F$90</xm:f>
            <x14:dxf>
              <fill>
                <patternFill>
                  <bgColor theme="9" tint="-0.24994659260841701"/>
                </patternFill>
              </fill>
            </x14:dxf>
          </x14:cfRule>
          <x14:cfRule type="containsText" priority="34" stopIfTrue="1" operator="containsText" id="{68CEE3E5-5161-45D4-99BE-BD96CC79ED45}">
            <xm:f>NOT(ISERROR(SEARCH($F$89,F25)))</xm:f>
            <xm:f>$F$89</xm:f>
            <x14:dxf>
              <fill>
                <patternFill>
                  <bgColor rgb="FFFFFF00"/>
                </patternFill>
              </fill>
            </x14:dxf>
          </x14:cfRule>
          <x14:cfRule type="containsText" priority="35" stopIfTrue="1" operator="containsText" id="{1B9B9D14-368F-40DD-B935-EB6E95D9C980}">
            <xm:f>NOT(ISERROR(SEARCH($F$88,F25)))</xm:f>
            <xm:f>$F$88</xm:f>
            <x14:dxf>
              <fill>
                <patternFill>
                  <bgColor rgb="FF92D050"/>
                </patternFill>
              </fill>
            </x14:dxf>
          </x14:cfRule>
          <x14:cfRule type="containsText" priority="36" stopIfTrue="1" operator="containsText" id="{83B5090A-B330-46ED-9566-59387ADDFA4C}">
            <xm:f>NOT(ISERROR(SEARCH($F$87,F25)))</xm:f>
            <xm:f>$F$87</xm:f>
            <x14:dxf>
              <fill>
                <patternFill>
                  <bgColor rgb="FF92D050"/>
                </patternFill>
              </fill>
            </x14:dxf>
          </x14:cfRule>
          <xm:sqref>F25:G25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9E4B9-C555-45C9-A91B-D3FBAE8738F8}">
  <sheetPr>
    <tabColor rgb="FFFF0000"/>
  </sheetPr>
  <dimension ref="B1:CS300"/>
  <sheetViews>
    <sheetView tabSelected="1" topLeftCell="A10" zoomScale="41" zoomScaleNormal="41" workbookViewId="0">
      <selection activeCell="K15" sqref="K15"/>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22.7109375"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07.25" customHeight="1" x14ac:dyDescent="0.25"/>
    <row r="2" spans="2:97" ht="54.75" customHeight="1" x14ac:dyDescent="0.25"/>
    <row r="3" spans="2:97" ht="68.25" customHeight="1" x14ac:dyDescent="0.25">
      <c r="B3" s="142"/>
    </row>
    <row r="4" spans="2:97" x14ac:dyDescent="0.25">
      <c r="D4" s="322"/>
      <c r="E4" s="322"/>
      <c r="F4" s="322"/>
      <c r="G4" s="322"/>
      <c r="H4" s="322"/>
      <c r="I4" s="762"/>
      <c r="J4" s="762"/>
      <c r="K4" s="762"/>
      <c r="L4" s="762"/>
      <c r="M4" s="762"/>
      <c r="N4" s="762"/>
      <c r="O4" s="762"/>
      <c r="P4" s="762"/>
      <c r="Q4" s="762"/>
      <c r="R4" s="762"/>
      <c r="S4" s="762"/>
      <c r="T4" s="762"/>
      <c r="U4" s="762"/>
      <c r="V4" s="762"/>
      <c r="W4" s="762"/>
      <c r="X4" s="762"/>
      <c r="Y4" s="762"/>
      <c r="Z4" s="762"/>
      <c r="AA4" s="762"/>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580" t="s">
        <v>507</v>
      </c>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1"/>
      <c r="AN6" s="581"/>
      <c r="AO6" s="581"/>
      <c r="AP6" s="581"/>
      <c r="AQ6" s="582"/>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7"/>
      <c r="D7" s="585"/>
      <c r="E7" s="585"/>
      <c r="F7" s="585"/>
      <c r="G7" s="585"/>
      <c r="H7" s="585"/>
      <c r="I7" s="585"/>
      <c r="J7" s="585"/>
      <c r="K7" s="585"/>
      <c r="L7" s="585"/>
      <c r="M7" s="585"/>
      <c r="N7" s="585"/>
      <c r="O7" s="585"/>
      <c r="P7" s="585"/>
      <c r="Q7" s="585"/>
      <c r="R7" s="585"/>
      <c r="S7" s="585"/>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805" t="s">
        <v>43</v>
      </c>
      <c r="D8" s="806"/>
      <c r="E8" s="807"/>
      <c r="F8" s="808"/>
      <c r="G8" s="809" t="str">
        <f>'Datos del proceso'!A10</f>
        <v>TRANSFORMACIÓN CULTURAL PARA LA REVITALIZACIÓN DEL CENTRO</v>
      </c>
      <c r="H8" s="810"/>
      <c r="I8" s="810"/>
      <c r="J8" s="810"/>
      <c r="K8" s="810"/>
      <c r="L8" s="810"/>
      <c r="M8" s="810"/>
      <c r="N8" s="810"/>
      <c r="O8" s="810"/>
      <c r="P8" s="810"/>
      <c r="Q8" s="810"/>
      <c r="R8" s="810"/>
      <c r="S8" s="811"/>
      <c r="T8" s="812"/>
      <c r="U8" s="813"/>
      <c r="V8" s="813"/>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805" t="s">
        <v>130</v>
      </c>
      <c r="D9" s="806"/>
      <c r="E9" s="807"/>
      <c r="F9" s="808"/>
      <c r="G9" s="809"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810"/>
      <c r="I9" s="810"/>
      <c r="J9" s="810"/>
      <c r="K9" s="810"/>
      <c r="L9" s="810"/>
      <c r="M9" s="810"/>
      <c r="N9" s="810"/>
      <c r="O9" s="810"/>
      <c r="P9" s="810"/>
      <c r="Q9" s="810"/>
      <c r="R9" s="810"/>
      <c r="S9" s="811"/>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801"/>
      <c r="E10" s="801"/>
      <c r="F10" s="801"/>
      <c r="G10" s="369"/>
      <c r="I10" s="802"/>
      <c r="J10" s="802"/>
      <c r="K10" s="802"/>
      <c r="L10" s="802"/>
      <c r="M10" s="802"/>
      <c r="N10" s="802"/>
      <c r="O10" s="802"/>
      <c r="P10" s="802"/>
      <c r="Q10" s="802"/>
      <c r="R10" s="802"/>
      <c r="S10" s="802"/>
      <c r="T10" s="802"/>
      <c r="U10" s="802"/>
      <c r="V10" s="802"/>
      <c r="W10" s="802"/>
      <c r="X10" s="802"/>
      <c r="Y10" s="802"/>
      <c r="Z10" s="802"/>
      <c r="AA10" s="802"/>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86" t="s">
        <v>508</v>
      </c>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803"/>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78" t="s">
        <v>338</v>
      </c>
      <c r="D14" s="578"/>
      <c r="E14" s="606" t="s">
        <v>339</v>
      </c>
      <c r="F14" s="608"/>
      <c r="G14" s="606" t="s">
        <v>340</v>
      </c>
      <c r="H14" s="608"/>
      <c r="I14" s="606" t="s">
        <v>341</v>
      </c>
      <c r="J14" s="608"/>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184.5" customHeight="1" x14ac:dyDescent="0.25">
      <c r="C15" s="835" t="s">
        <v>597</v>
      </c>
      <c r="D15" s="835"/>
      <c r="E15" s="836" t="s">
        <v>598</v>
      </c>
      <c r="F15" s="837"/>
      <c r="G15" s="836" t="s">
        <v>592</v>
      </c>
      <c r="H15" s="837"/>
      <c r="I15" s="836" t="s">
        <v>591</v>
      </c>
      <c r="J15" s="837"/>
      <c r="K15" s="451" t="s">
        <v>659</v>
      </c>
      <c r="L15" s="395"/>
      <c r="M15" s="360" t="s">
        <v>558</v>
      </c>
      <c r="N15" s="175"/>
      <c r="O15" s="387" t="s">
        <v>594</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x14ac:dyDescent="0.25">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ht="27.75" x14ac:dyDescent="0.25">
      <c r="C17" s="785" t="s">
        <v>510</v>
      </c>
      <c r="D17" s="786"/>
      <c r="E17" s="786"/>
      <c r="F17" s="786"/>
      <c r="G17" s="786"/>
      <c r="H17" s="786"/>
      <c r="I17" s="786"/>
      <c r="J17" s="786"/>
      <c r="K17" s="786"/>
      <c r="L17" s="786"/>
      <c r="M17" s="786"/>
      <c r="N17" s="786"/>
      <c r="O17" s="786"/>
      <c r="P17" s="786"/>
      <c r="Q17" s="786"/>
      <c r="R17" s="786"/>
      <c r="S17" s="786"/>
      <c r="T17" s="786"/>
      <c r="U17" s="786"/>
      <c r="V17" s="786"/>
      <c r="W17" s="786"/>
      <c r="X17" s="786"/>
      <c r="Y17" s="786"/>
      <c r="Z17" s="786"/>
      <c r="AA17" s="786"/>
      <c r="AB17" s="786"/>
      <c r="AC17" s="786"/>
      <c r="AD17" s="786"/>
      <c r="AE17" s="786"/>
      <c r="AF17" s="786"/>
      <c r="AG17" s="78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R17" s="146"/>
      <c r="CS17" s="146"/>
    </row>
    <row r="18" spans="3:97" ht="6" customHeight="1" x14ac:dyDescent="0.25">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R18" s="146"/>
      <c r="CS18" s="146"/>
    </row>
    <row r="19" spans="3:97" ht="41.25" customHeight="1" x14ac:dyDescent="0.25">
      <c r="C19" s="787" t="s">
        <v>222</v>
      </c>
      <c r="D19" s="787"/>
      <c r="E19" s="787"/>
      <c r="F19" s="787"/>
      <c r="G19" s="787"/>
      <c r="H19" s="787"/>
      <c r="I19" s="787"/>
      <c r="J19" s="788" t="s">
        <v>141</v>
      </c>
      <c r="K19" s="789"/>
      <c r="L19" s="789"/>
      <c r="M19" s="789"/>
      <c r="N19" s="789"/>
      <c r="O19" s="789"/>
      <c r="P19" s="789"/>
      <c r="Q19" s="789"/>
      <c r="R19" s="790"/>
      <c r="S19" s="788" t="s">
        <v>142</v>
      </c>
      <c r="T19" s="789"/>
      <c r="U19" s="789"/>
      <c r="V19" s="789"/>
      <c r="W19" s="789"/>
      <c r="X19" s="789"/>
      <c r="Y19" s="790"/>
      <c r="Z19" s="577" t="s">
        <v>34</v>
      </c>
      <c r="AA19" s="577"/>
      <c r="AB19" s="577"/>
      <c r="AC19" s="577"/>
      <c r="AD19" s="577"/>
      <c r="AE19" s="577"/>
      <c r="AF19" s="577"/>
      <c r="AG19" s="577"/>
      <c r="AH19" s="146"/>
      <c r="AI19" s="154"/>
      <c r="AJ19" s="154"/>
      <c r="AK19" s="154"/>
      <c r="AL19" s="154"/>
      <c r="AM19" s="154"/>
      <c r="AN19" s="154"/>
      <c r="AO19" s="146"/>
      <c r="AP19" s="146"/>
      <c r="AQ19" s="155"/>
      <c r="AR19" s="155"/>
      <c r="AS19" s="155"/>
      <c r="AT19" s="155"/>
      <c r="AU19" s="155"/>
      <c r="AV19" s="155"/>
      <c r="AW19" s="155"/>
      <c r="AX19" s="155"/>
      <c r="AY19" s="155"/>
      <c r="AZ19" s="155"/>
      <c r="BA19" s="155"/>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K19" s="146"/>
      <c r="CL19" s="146"/>
    </row>
    <row r="20" spans="3:97" ht="25.5" customHeight="1" x14ac:dyDescent="0.25">
      <c r="C20" s="787"/>
      <c r="D20" s="787"/>
      <c r="E20" s="787"/>
      <c r="F20" s="787"/>
      <c r="G20" s="787"/>
      <c r="H20" s="787"/>
      <c r="I20" s="787"/>
      <c r="J20" s="595" t="s">
        <v>11</v>
      </c>
      <c r="K20" s="578" t="s">
        <v>163</v>
      </c>
      <c r="L20" s="578" t="s">
        <v>503</v>
      </c>
      <c r="M20" s="578" t="s">
        <v>8</v>
      </c>
      <c r="N20" s="578"/>
      <c r="O20" s="578"/>
      <c r="P20" s="578"/>
      <c r="Q20" s="578"/>
      <c r="R20" s="578"/>
      <c r="S20" s="595" t="s">
        <v>502</v>
      </c>
      <c r="T20" s="595" t="s">
        <v>485</v>
      </c>
      <c r="U20" s="595" t="s">
        <v>488</v>
      </c>
      <c r="V20" s="595" t="s">
        <v>486</v>
      </c>
      <c r="W20" s="595" t="s">
        <v>481</v>
      </c>
      <c r="X20" s="595" t="s">
        <v>489</v>
      </c>
      <c r="Y20" s="595" t="s">
        <v>29</v>
      </c>
      <c r="Z20" s="578" t="s">
        <v>34</v>
      </c>
      <c r="AA20" s="590" t="s">
        <v>496</v>
      </c>
      <c r="AB20" s="578" t="s">
        <v>35</v>
      </c>
      <c r="AC20" s="578" t="s">
        <v>236</v>
      </c>
      <c r="AD20" s="590" t="s">
        <v>506</v>
      </c>
      <c r="AE20" s="579" t="s">
        <v>38</v>
      </c>
      <c r="AF20" s="579" t="s">
        <v>37</v>
      </c>
      <c r="AG20" s="579" t="s">
        <v>39</v>
      </c>
      <c r="AH20" s="155"/>
      <c r="AI20" s="156"/>
      <c r="AJ20" s="156"/>
      <c r="AK20" s="156"/>
      <c r="AL20" s="156"/>
      <c r="AM20" s="156"/>
      <c r="AN20" s="156"/>
      <c r="AO20" s="155"/>
      <c r="AP20" s="155"/>
      <c r="AQ20" s="157"/>
      <c r="AR20" s="157"/>
      <c r="AS20" s="157"/>
      <c r="AT20" s="157"/>
      <c r="AU20" s="157"/>
      <c r="AV20" s="157"/>
      <c r="AW20" s="157"/>
      <c r="AX20" s="157"/>
      <c r="AY20" s="157"/>
      <c r="AZ20" s="157"/>
      <c r="BA20" s="157"/>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c r="BZ20" s="155"/>
      <c r="CA20" s="155"/>
      <c r="CB20" s="155"/>
      <c r="CC20" s="155"/>
      <c r="CD20" s="155"/>
    </row>
    <row r="21" spans="3:97" ht="89.25" customHeight="1" x14ac:dyDescent="0.25">
      <c r="C21" s="349" t="s">
        <v>478</v>
      </c>
      <c r="D21" s="352" t="s">
        <v>480</v>
      </c>
      <c r="E21" s="368" t="s">
        <v>481</v>
      </c>
      <c r="F21" s="353" t="s">
        <v>238</v>
      </c>
      <c r="G21" s="368" t="s">
        <v>481</v>
      </c>
      <c r="H21" s="787" t="s">
        <v>239</v>
      </c>
      <c r="I21" s="787"/>
      <c r="J21" s="595"/>
      <c r="K21" s="590"/>
      <c r="L21" s="590"/>
      <c r="M21" s="294" t="s">
        <v>490</v>
      </c>
      <c r="N21" s="294" t="s">
        <v>492</v>
      </c>
      <c r="O21" s="294" t="s">
        <v>487</v>
      </c>
      <c r="P21" s="294" t="s">
        <v>499</v>
      </c>
      <c r="Q21" s="294" t="s">
        <v>500</v>
      </c>
      <c r="R21" s="294" t="s">
        <v>501</v>
      </c>
      <c r="S21" s="783"/>
      <c r="T21" s="783"/>
      <c r="U21" s="783"/>
      <c r="V21" s="783"/>
      <c r="W21" s="783"/>
      <c r="X21" s="783"/>
      <c r="Y21" s="783"/>
      <c r="Z21" s="590"/>
      <c r="AA21" s="774"/>
      <c r="AB21" s="590"/>
      <c r="AC21" s="590"/>
      <c r="AD21" s="774"/>
      <c r="AE21" s="593"/>
      <c r="AF21" s="579"/>
      <c r="AG21" s="579"/>
      <c r="AH21" s="155"/>
      <c r="AI21" s="160"/>
      <c r="AJ21" s="156"/>
      <c r="AK21" s="160"/>
      <c r="AL21" s="156"/>
      <c r="AM21" s="160"/>
      <c r="AN21" s="156"/>
      <c r="AO21" s="155"/>
      <c r="AP21" s="155"/>
      <c r="AQ21" s="157"/>
      <c r="AR21" s="157"/>
      <c r="AS21" s="157"/>
      <c r="AT21" s="157"/>
      <c r="AU21" s="157"/>
      <c r="AV21" s="157"/>
      <c r="AW21" s="157"/>
      <c r="AX21" s="157"/>
      <c r="AY21" s="157"/>
      <c r="AZ21" s="157"/>
      <c r="BA21" s="157"/>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row>
    <row r="22" spans="3:97" ht="190.5" customHeight="1" x14ac:dyDescent="0.25">
      <c r="C22" s="775">
        <f>((5*4)*12)</f>
        <v>240</v>
      </c>
      <c r="D22" s="710" t="str">
        <f>IF(C22&lt;=0,"",IF(C22&lt;=2,"Muy Baja",IF(C22&lt;=24,"Baja",IF(C22&lt;=500,"Media",IF(C22&lt;=5000,"Alta","Muy Alta")))))</f>
        <v>Media</v>
      </c>
      <c r="E22" s="777">
        <f>IF(D22="","",IF(D22="Muy Baja",0.2,IF(D22="Baja",0.4,IF(D22="Media",0.6,IF(D22="Alta",0.8,IF(D22="Muy Alta",1,))))))</f>
        <v>0.6</v>
      </c>
      <c r="F22" s="615" t="str">
        <f>IF(H56="Si","Catastrófico",IF(H60&lt;=5,"Moderado",IF(H60&lt;=11,"Mayor","Catastrófico")))</f>
        <v>Mayor</v>
      </c>
      <c r="G22" s="780">
        <f>IF(F22="","",IF(F22="Leve",0.2,IF(F22="Menor",0.4,IF(F22="Moderado",0.6,IF(F22="Mayor",0.8,IF(F22="Catastrófico",1,))))))</f>
        <v>0.8</v>
      </c>
      <c r="H22" s="615" t="str">
        <f>IF(OR(AND(D22="Muy Baja",F22="Leve"),AND(D22="Muy Baja",F22="Menor"),AND(D22="Baja",F22="Leve")),"Bajo",IF(OR(AND(D22="Muy baja",F22="Moderado"),AND(D22="Baja",F22="Menor"),AND(D22="Baja",F22="Moderado"),AND(D22="Media",F22="Leve"),AND(D22="Media",F22="Menor"),AND(D22="Media",F22="Moderado"),AND(D22="Alta",F22="Leve"),AND(D22="Alta",F22="Menor")),"Moderado",IF(OR(AND(D22="Muy Baja",F22="Mayor"),AND(D22="Baja",F22="Mayor"),AND(D22="Media",F22="Mayor"),AND(D22="Alta",F22="Moderado"),AND(D22="Alta",F22="Mayor"),AND(D22="Muy Alta",F22="Leve"),AND(D22="Muy Alta",F22="Menor"),AND(D22="Muy Alta",F22="Moderado"),AND(D22="Muy Alta",F22="Mayor")),"Alto",IF(OR(AND(D22="Muy Baja",F22="Catastrófico"),AND(D22="Baja",F22="Catastrófico"),AND(D22="Media",F22="Catastrófico"),AND(D22="Alta",F22="Catastrófico"),AND(D22="Muy Alta",F22="Catastrófico")),"Extremo",""))))</f>
        <v>Alto</v>
      </c>
      <c r="I22" s="615"/>
      <c r="J22" s="278">
        <v>1</v>
      </c>
      <c r="K22" s="383"/>
      <c r="L22" s="280" t="str">
        <f>IF(OR(M22="Preventivo",M22="Detectivo"),"Probabilidad",IF(M22="Correctivo","Impacto",""))</f>
        <v>Probabilidad</v>
      </c>
      <c r="M22" s="281" t="s">
        <v>14</v>
      </c>
      <c r="N22" s="281" t="s">
        <v>9</v>
      </c>
      <c r="O22" s="282" t="str">
        <f>IF(AND(M22="Preventivo",N22="Automático"),"50%",IF(AND(M22="Preventivo",N22="Manual"),"40%",IF(AND(M22="Detectivo",N22="Automático"),"40%",IF(AND(M22="Detectivo",N22="Manual"),"30%",IF(AND(M22="Correctivo",N22="Automático"),"35%",IF(AND(M22="Correctivo",N22="Manual"),"25%",""))))))</f>
        <v>40%</v>
      </c>
      <c r="P22" s="281" t="s">
        <v>493</v>
      </c>
      <c r="Q22" s="281" t="s">
        <v>22</v>
      </c>
      <c r="R22" s="281" t="s">
        <v>497</v>
      </c>
      <c r="S22" s="283">
        <f>IFERROR(IF(L22="Probabilidad",(E22-(+E22*O22)),IF(L22="Impacto",E22,"")),"")</f>
        <v>0.36</v>
      </c>
      <c r="T22" s="284" t="str">
        <f>IFERROR(IF(S22="","",IF(S22&lt;=0.2,"Muy Baja",IF(S22&lt;=0.4,"Baja",IF(S22&lt;=0.6,"Media",IF(S22&lt;=0.8,"Alta","Muy Alta"))))),"")</f>
        <v>Baja</v>
      </c>
      <c r="U22" s="282">
        <f>+S22</f>
        <v>0.36</v>
      </c>
      <c r="V22" s="284" t="str">
        <f>IFERROR(IF(W22="","",IF(W22&lt;=0.2,"Leve",IF(W22&lt;=0.4,"Menor",IF(W22&lt;=0.6,"Moderado",IF(W22&lt;=0.8,"Mayor","Catastrófico"))))),"")</f>
        <v>Mayor</v>
      </c>
      <c r="W22" s="282">
        <f>IFERROR(IF(L22="Impacto",(G22-(+G22*O22)),IF(L22="Probabilidad",G22,"")),"")</f>
        <v>0.8</v>
      </c>
      <c r="X22" s="285" t="str">
        <f>IFERROR(IF(OR(AND(T22="Muy Baja",V22="Leve"),AND(T22="Muy Baja",V22="Menor"),AND(T22="Baja",V22="Leve")),"Bajo",IF(OR(AND(T22="Muy baja",V22="Moderado"),AND(T22="Baja",V22="Menor"),AND(T22="Baja",V22="Moderado"),AND(T22="Media",V22="Leve"),AND(T22="Media",V22="Menor"),AND(T22="Media",V22="Moderado"),AND(T22="Alta",V22="Leve"),AND(T22="Alta",V22="Menor")),"Moderado",IF(OR(AND(T22="Muy Baja",V22="Mayor"),AND(T22="Baja",V22="Mayor"),AND(T22="Media",V22="Mayor"),AND(T22="Alta",V22="Moderado"),AND(T22="Alta",V22="Mayor"),AND(T22="Muy Alta",V22="Leve"),AND(T22="Muy Alta",V22="Menor"),AND(T22="Muy Alta",V22="Moderado"),AND(T22="Muy Alta",V22="Mayor")),"Alto",IF(OR(AND(T22="Muy Baja",V22="Catastrófico"),AND(T22="Baja",V22="Catastrófico"),AND(T22="Media",V22="Catastrófico"),AND(T22="Alta",V22="Catastrófico"),AND(T22="Muy Alta",V22="Catastrófico")),"Extremo","")))),"")</f>
        <v>Alto</v>
      </c>
      <c r="Y22" s="281" t="s">
        <v>30</v>
      </c>
      <c r="Z22" s="405"/>
      <c r="AA22" s="409"/>
      <c r="AB22" s="403"/>
      <c r="AC22" s="402"/>
      <c r="AD22" s="402"/>
      <c r="AE22" s="288"/>
      <c r="AF22" s="286"/>
      <c r="AG22" s="287"/>
      <c r="AH22" s="155"/>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162.75" customHeight="1" x14ac:dyDescent="0.25">
      <c r="C23" s="776"/>
      <c r="D23" s="711"/>
      <c r="E23" s="778"/>
      <c r="F23" s="615"/>
      <c r="G23" s="781"/>
      <c r="H23" s="615"/>
      <c r="I23" s="615"/>
      <c r="J23" s="278">
        <v>2</v>
      </c>
      <c r="K23" s="383"/>
      <c r="L23" s="280" t="str">
        <f>IF(OR(M23="Preventivo",M23="Detectivo"),"Probabilidad",IF(M23="Correctivo","Impacto",""))</f>
        <v/>
      </c>
      <c r="M23" s="281"/>
      <c r="N23" s="281"/>
      <c r="O23" s="282" t="str">
        <f>IF(AND(M23="Preventivo",N23="Automático"),"50%",IF(AND(M23="Preventivo",N23="Manual"),"40%",IF(AND(M23="Detectivo",N23="Automático"),"40%",IF(AND(M23="Detectivo",N23="Manual"),"30%",IF(AND(M23="Correctivo",N23="Automático"),"35%",IF(AND(M23="Correctivo",N23="Manual"),"25%",""))))))</f>
        <v/>
      </c>
      <c r="P23" s="281"/>
      <c r="Q23" s="281"/>
      <c r="R23" s="281"/>
      <c r="S23" s="283" t="str">
        <f>IFERROR(IF(L23="Probabilidad",(E22-(+E22*O23)),IF(L23="Impacto",E22,"")),"")</f>
        <v/>
      </c>
      <c r="T23" s="284" t="str">
        <f>IFERROR(IF(S23="","",IF(S23&lt;=0.2,"Muy Baja",IF(S23&lt;=0.4,"Baja",IF(S23&lt;=0.6,"Media",IF(S23&lt;=0.8,"Alta","Muy Alta"))))),"")</f>
        <v/>
      </c>
      <c r="U23" s="282" t="str">
        <f>+S23</f>
        <v/>
      </c>
      <c r="V23" s="284" t="str">
        <f>IFERROR(IF(W23="","",IF(W23&lt;=0.2,"Leve",IF(W23&lt;=0.4,"Menor",IF(W23&lt;=0.6,"Moderado",IF(W23&lt;=0.8,"Mayor","Catastrófico"))))),"")</f>
        <v/>
      </c>
      <c r="W23" s="282" t="str">
        <f>IFERROR(IF(L23="Impacto",(G22-(+G22*O23)),IF(L23="Probabilidad",G22,"")),"")</f>
        <v/>
      </c>
      <c r="X23" s="285"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
      </c>
      <c r="Y23" s="281"/>
      <c r="Z23" s="286"/>
      <c r="AA23" s="286"/>
      <c r="AB23" s="403"/>
      <c r="AC23" s="402"/>
      <c r="AD23" s="402"/>
      <c r="AE23" s="288"/>
      <c r="AF23" s="286"/>
      <c r="AG23" s="287"/>
      <c r="AH23" s="155"/>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50.25" customHeight="1" x14ac:dyDescent="0.25">
      <c r="C24" s="776"/>
      <c r="D24" s="711"/>
      <c r="E24" s="779"/>
      <c r="F24" s="615"/>
      <c r="G24" s="782"/>
      <c r="H24" s="615"/>
      <c r="I24" s="620"/>
      <c r="J24" s="784" t="s">
        <v>576</v>
      </c>
      <c r="K24" s="834"/>
      <c r="L24" s="834"/>
      <c r="M24" s="834"/>
      <c r="N24" s="834"/>
      <c r="O24" s="834"/>
      <c r="P24" s="834"/>
      <c r="Q24" s="834"/>
      <c r="R24" s="834"/>
      <c r="S24" s="376" t="e">
        <f>(($S$22*$O$23))</f>
        <v>#VALUE!</v>
      </c>
      <c r="T24" s="284"/>
      <c r="U24" s="282"/>
      <c r="V24" s="284"/>
      <c r="W24" s="282"/>
      <c r="X24" s="285"/>
      <c r="Y24" s="281"/>
      <c r="Z24" s="175"/>
      <c r="AA24" s="286"/>
      <c r="AB24" s="403"/>
      <c r="AC24" s="402"/>
      <c r="AD24" s="402"/>
      <c r="AE24" s="175"/>
      <c r="AF24" s="175"/>
      <c r="AG24" s="175"/>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65.25" customHeight="1" x14ac:dyDescent="0.25">
      <c r="C25" s="182" t="s">
        <v>513</v>
      </c>
      <c r="D25" s="304">
        <f>VLOOKUP(D22,D79:F83,2,0)</f>
        <v>0</v>
      </c>
      <c r="E25" s="304"/>
      <c r="F25" s="304">
        <f>VLOOKUP(F22,D87:F91,2,0)</f>
        <v>0</v>
      </c>
      <c r="G25" s="370"/>
      <c r="J25" s="784"/>
      <c r="K25" s="834"/>
      <c r="L25" s="834"/>
      <c r="M25" s="834"/>
      <c r="N25" s="834"/>
      <c r="O25" s="834"/>
      <c r="P25" s="834"/>
      <c r="Q25" s="834"/>
      <c r="R25" s="834"/>
      <c r="S25" s="376" t="e">
        <f>(($S$22-$S$24))</f>
        <v>#VALUE!</v>
      </c>
      <c r="T25" s="284" t="str">
        <f>IFERROR(IF(S25="","",IF(S25&lt;=0.2,"Muy Baja",IF(S25&lt;=0.4,"Baja",IF(S25&lt;=0.6,"Media",IF(S25&lt;=0.8,"Alta","Muy Alta"))))),"")</f>
        <v/>
      </c>
      <c r="U25" s="282" t="e">
        <f t="shared" ref="U25" si="0">+S25</f>
        <v>#VALUE!</v>
      </c>
      <c r="V25" s="284" t="str">
        <f t="shared" ref="V25" si="1">IFERROR(IF(W25="","",IF(W25&lt;=0.2,"Leve",IF(W25&lt;=0.4,"Menor",IF(W25&lt;=0.6,"Moderado",IF(W25&lt;=0.8,"Mayor","Catastrófico"))))),"")</f>
        <v/>
      </c>
      <c r="W25" s="282" t="str">
        <f>IFERROR(IF(L23="Impacto",(G22-(+G22*O23)),IF(L23="Probabilidad",G22,"")),"")</f>
        <v/>
      </c>
      <c r="X25" s="285" t="str">
        <f t="shared" ref="X25" si="2">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
      </c>
      <c r="Y25" s="158"/>
      <c r="Z25" s="158"/>
      <c r="AA25" s="158"/>
      <c r="AB25" s="147"/>
      <c r="AC25" s="147"/>
      <c r="AD25" s="147"/>
      <c r="AE25" s="147"/>
      <c r="AF25" s="175"/>
      <c r="AG25" s="17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27.75" customHeight="1" x14ac:dyDescent="0.25">
      <c r="F26" s="167"/>
      <c r="G26" s="167"/>
      <c r="J26" s="157"/>
      <c r="K26" s="382"/>
      <c r="L26" s="382"/>
      <c r="M26" s="382"/>
      <c r="N26" s="382"/>
      <c r="O26" s="382"/>
      <c r="P26" s="382"/>
      <c r="Q26" s="382"/>
      <c r="R26" s="382"/>
      <c r="S26" s="382"/>
      <c r="T26" s="382"/>
      <c r="U26" s="382"/>
      <c r="V26" s="382"/>
      <c r="W26" s="382"/>
      <c r="X26" s="382"/>
      <c r="Y26" s="146"/>
      <c r="Z26" s="146"/>
      <c r="AA26" s="146"/>
      <c r="AB26" s="401"/>
      <c r="AC26" s="401"/>
      <c r="AD26" s="401"/>
      <c r="AE26" s="401"/>
      <c r="AF26" s="175"/>
      <c r="AG26" s="17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x14ac:dyDescent="0.25">
      <c r="F27" s="168"/>
      <c r="G27" s="168"/>
      <c r="J27" s="157"/>
      <c r="K27" s="382"/>
      <c r="L27" s="382"/>
      <c r="M27" s="382"/>
      <c r="N27" s="382"/>
      <c r="O27" s="382"/>
      <c r="P27" s="382"/>
      <c r="Q27" s="382"/>
      <c r="R27" s="382"/>
      <c r="S27" s="382"/>
      <c r="T27" s="382"/>
      <c r="U27" s="382"/>
      <c r="V27" s="382"/>
      <c r="W27" s="382"/>
      <c r="X27" s="382"/>
      <c r="Y27" s="146"/>
      <c r="Z27" s="146"/>
      <c r="AA27" s="146"/>
      <c r="AB27" s="147"/>
      <c r="AC27" s="147"/>
      <c r="AD27" s="147"/>
      <c r="AE27" s="147"/>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x14ac:dyDescent="0.25">
      <c r="J28" s="157"/>
      <c r="K28" s="382"/>
      <c r="L28" s="382"/>
      <c r="M28" s="382"/>
      <c r="N28" s="382"/>
      <c r="O28" s="382"/>
      <c r="P28" s="382"/>
      <c r="Q28" s="382"/>
      <c r="R28" s="382"/>
      <c r="S28" s="382"/>
      <c r="T28" s="382"/>
      <c r="U28" s="382"/>
      <c r="V28" s="382"/>
      <c r="W28" s="382"/>
      <c r="X28" s="382"/>
      <c r="AB28" s="147"/>
      <c r="AC28" s="147"/>
      <c r="AD28" s="147"/>
      <c r="AE28" s="147"/>
      <c r="AF28" s="175"/>
      <c r="AG28" s="175"/>
    </row>
    <row r="29" spans="3:97" x14ac:dyDescent="0.25">
      <c r="J29" s="758"/>
      <c r="K29" s="763"/>
      <c r="L29" s="763"/>
      <c r="M29" s="758"/>
      <c r="N29" s="758"/>
      <c r="O29" s="763"/>
      <c r="P29" s="763"/>
      <c r="Q29" s="763"/>
      <c r="R29" s="322"/>
      <c r="S29" s="322"/>
    </row>
    <row r="30" spans="3:97" ht="15" customHeight="1" x14ac:dyDescent="0.25">
      <c r="J30" s="758"/>
      <c r="K30" s="763"/>
      <c r="L30" s="763"/>
      <c r="M30" s="758"/>
      <c r="N30" s="758"/>
      <c r="O30" s="763"/>
      <c r="P30" s="763"/>
      <c r="Q30" s="763"/>
      <c r="R30" s="322"/>
      <c r="S30" s="322"/>
    </row>
    <row r="31" spans="3:97" ht="15" customHeight="1" x14ac:dyDescent="0.25">
      <c r="J31" s="758"/>
      <c r="K31" s="763"/>
      <c r="L31" s="763"/>
      <c r="M31" s="758"/>
      <c r="N31" s="758"/>
      <c r="O31" s="763"/>
      <c r="P31" s="763"/>
      <c r="Q31" s="763"/>
      <c r="R31" s="322"/>
      <c r="S31" s="322"/>
    </row>
    <row r="32" spans="3:97" x14ac:dyDescent="0.25">
      <c r="J32" s="758"/>
      <c r="K32" s="763"/>
      <c r="L32" s="763"/>
      <c r="M32" s="758"/>
      <c r="N32" s="758"/>
      <c r="O32" s="763"/>
      <c r="P32" s="763"/>
      <c r="Q32" s="763"/>
      <c r="R32" s="322"/>
      <c r="S32" s="322"/>
    </row>
    <row r="34" spans="4:23" ht="15" customHeight="1" x14ac:dyDescent="0.25"/>
    <row r="36" spans="4:23" ht="15" customHeight="1" x14ac:dyDescent="0.25">
      <c r="S36" s="766"/>
      <c r="T36" s="766"/>
      <c r="U36" s="766"/>
      <c r="V36" s="766"/>
      <c r="W36" s="766"/>
    </row>
    <row r="37" spans="4:23" ht="15" customHeight="1" x14ac:dyDescent="0.25">
      <c r="D37" s="767" t="s">
        <v>247</v>
      </c>
      <c r="E37" s="767"/>
      <c r="F37" s="767"/>
      <c r="G37" s="767"/>
      <c r="H37" s="767"/>
      <c r="J37" s="768"/>
      <c r="K37" s="768"/>
      <c r="L37" s="768"/>
      <c r="M37" s="768"/>
      <c r="N37" s="768"/>
      <c r="O37" s="768"/>
      <c r="P37" s="768"/>
      <c r="Q37" s="768"/>
      <c r="S37" s="766"/>
      <c r="T37" s="766"/>
      <c r="U37" s="766"/>
      <c r="V37" s="766"/>
      <c r="W37" s="766"/>
    </row>
    <row r="38" spans="4:23" x14ac:dyDescent="0.25">
      <c r="D38" s="146"/>
      <c r="E38" s="146"/>
      <c r="F38" s="146"/>
      <c r="G38" s="146"/>
      <c r="H38" s="146"/>
    </row>
    <row r="39" spans="4:23" ht="15" customHeight="1" x14ac:dyDescent="0.25">
      <c r="D39" s="769" t="s">
        <v>204</v>
      </c>
      <c r="E39" s="152"/>
      <c r="F39" s="771" t="s">
        <v>248</v>
      </c>
      <c r="G39" s="356"/>
      <c r="H39" s="153" t="s">
        <v>249</v>
      </c>
      <c r="L39" s="773"/>
      <c r="M39" s="773"/>
      <c r="N39" s="773"/>
      <c r="O39" s="773"/>
      <c r="P39" s="773"/>
      <c r="Q39" s="773"/>
      <c r="S39" s="614"/>
      <c r="T39" s="614"/>
      <c r="U39" s="614"/>
      <c r="V39" s="614"/>
      <c r="W39" s="614"/>
    </row>
    <row r="40" spans="4:23" x14ac:dyDescent="0.25">
      <c r="D40" s="770"/>
      <c r="E40" s="355"/>
      <c r="F40" s="772"/>
      <c r="G40" s="357"/>
      <c r="H40" s="350" t="s">
        <v>257</v>
      </c>
      <c r="J40" s="177"/>
      <c r="K40" s="177"/>
      <c r="L40" s="163"/>
      <c r="M40" s="163"/>
      <c r="N40" s="163"/>
      <c r="O40" s="163"/>
      <c r="P40" s="163"/>
      <c r="Q40" s="163"/>
      <c r="S40" s="614"/>
      <c r="T40" s="614"/>
      <c r="U40" s="614"/>
      <c r="V40" s="614"/>
      <c r="W40" s="614"/>
    </row>
    <row r="41" spans="4:23" ht="42.75" customHeight="1" x14ac:dyDescent="0.25">
      <c r="D41" s="362">
        <v>1</v>
      </c>
      <c r="E41" s="362"/>
      <c r="F41" s="361" t="s">
        <v>262</v>
      </c>
      <c r="G41" s="361"/>
      <c r="H41" s="360" t="s">
        <v>377</v>
      </c>
      <c r="J41" s="762"/>
      <c r="K41" s="761"/>
      <c r="L41" s="758"/>
      <c r="M41" s="763"/>
      <c r="N41" s="758"/>
      <c r="O41" s="763"/>
      <c r="P41" s="758"/>
      <c r="Q41" s="763"/>
      <c r="S41" s="614"/>
      <c r="T41" s="614"/>
      <c r="U41" s="614"/>
      <c r="V41" s="614"/>
      <c r="W41" s="614"/>
    </row>
    <row r="42" spans="4:23" ht="43.5" customHeight="1" x14ac:dyDescent="0.25">
      <c r="D42" s="362">
        <v>2</v>
      </c>
      <c r="E42" s="362"/>
      <c r="F42" s="361" t="s">
        <v>266</v>
      </c>
      <c r="G42" s="361"/>
      <c r="H42" s="360" t="s">
        <v>377</v>
      </c>
      <c r="J42" s="762"/>
      <c r="K42" s="761"/>
      <c r="L42" s="758"/>
      <c r="M42" s="763"/>
      <c r="N42" s="758"/>
      <c r="O42" s="763"/>
      <c r="P42" s="758"/>
      <c r="Q42" s="763"/>
      <c r="S42" s="149"/>
      <c r="T42" s="149"/>
      <c r="U42" s="149"/>
      <c r="V42" s="149"/>
      <c r="W42" s="149"/>
    </row>
    <row r="43" spans="4:23" ht="30" x14ac:dyDescent="0.25">
      <c r="D43" s="362">
        <v>3</v>
      </c>
      <c r="E43" s="362"/>
      <c r="F43" s="361" t="s">
        <v>269</v>
      </c>
      <c r="G43" s="361"/>
      <c r="H43" s="360" t="s">
        <v>378</v>
      </c>
      <c r="J43" s="762"/>
      <c r="K43" s="386"/>
      <c r="L43" s="358"/>
      <c r="M43" s="385"/>
      <c r="N43" s="358"/>
      <c r="O43" s="385"/>
      <c r="P43" s="358"/>
      <c r="Q43" s="385"/>
      <c r="S43" s="149"/>
      <c r="T43" s="149"/>
      <c r="U43" s="149"/>
      <c r="V43" s="149"/>
      <c r="W43" s="149"/>
    </row>
    <row r="44" spans="4:23" ht="46.5" customHeight="1" x14ac:dyDescent="0.25">
      <c r="D44" s="362">
        <v>4</v>
      </c>
      <c r="E44" s="362"/>
      <c r="F44" s="361" t="s">
        <v>273</v>
      </c>
      <c r="G44" s="361"/>
      <c r="H44" s="360" t="s">
        <v>378</v>
      </c>
      <c r="J44" s="765"/>
      <c r="K44" s="761"/>
      <c r="L44" s="762"/>
      <c r="M44" s="763"/>
      <c r="N44" s="762"/>
      <c r="O44" s="763"/>
      <c r="P44" s="762"/>
      <c r="Q44" s="763"/>
      <c r="S44" s="149"/>
      <c r="T44" s="149"/>
      <c r="U44" s="149"/>
      <c r="V44" s="149"/>
      <c r="W44" s="149"/>
    </row>
    <row r="45" spans="4:23" ht="46.5" customHeight="1" x14ac:dyDescent="0.25">
      <c r="D45" s="362">
        <v>5</v>
      </c>
      <c r="E45" s="362"/>
      <c r="F45" s="361" t="s">
        <v>278</v>
      </c>
      <c r="G45" s="361"/>
      <c r="H45" s="360" t="s">
        <v>377</v>
      </c>
      <c r="J45" s="765"/>
      <c r="K45" s="761"/>
      <c r="L45" s="762"/>
      <c r="M45" s="763"/>
      <c r="N45" s="762"/>
      <c r="O45" s="763"/>
      <c r="P45" s="762"/>
      <c r="Q45" s="763"/>
      <c r="S45" s="149"/>
      <c r="T45" s="149"/>
      <c r="U45" s="149"/>
      <c r="V45" s="149"/>
      <c r="W45" s="149"/>
    </row>
    <row r="46" spans="4:23" ht="41.25" customHeight="1" x14ac:dyDescent="0.25">
      <c r="D46" s="362">
        <v>6</v>
      </c>
      <c r="E46" s="362"/>
      <c r="F46" s="361" t="s">
        <v>279</v>
      </c>
      <c r="G46" s="361"/>
      <c r="H46" s="360" t="s">
        <v>378</v>
      </c>
      <c r="J46" s="765"/>
      <c r="K46" s="761"/>
      <c r="L46" s="758"/>
      <c r="M46" s="763"/>
      <c r="N46" s="758"/>
      <c r="O46" s="763"/>
      <c r="P46" s="758"/>
      <c r="Q46" s="763"/>
      <c r="S46" s="149"/>
      <c r="T46" s="149"/>
      <c r="U46" s="149"/>
      <c r="V46" s="149"/>
      <c r="W46" s="149"/>
    </row>
    <row r="47" spans="4:23" ht="41.25" customHeight="1" x14ac:dyDescent="0.25">
      <c r="D47" s="362">
        <v>7</v>
      </c>
      <c r="E47" s="362"/>
      <c r="F47" s="361" t="s">
        <v>284</v>
      </c>
      <c r="G47" s="361"/>
      <c r="H47" s="360" t="s">
        <v>378</v>
      </c>
      <c r="J47" s="765"/>
      <c r="K47" s="761"/>
      <c r="L47" s="758"/>
      <c r="M47" s="763"/>
      <c r="N47" s="758"/>
      <c r="O47" s="763"/>
      <c r="P47" s="758"/>
      <c r="Q47" s="763"/>
      <c r="S47" s="149"/>
      <c r="T47" s="149"/>
      <c r="U47" s="149"/>
      <c r="V47" s="149"/>
      <c r="W47" s="149"/>
    </row>
    <row r="48" spans="4:23" ht="50.25" customHeight="1" x14ac:dyDescent="0.25">
      <c r="D48" s="362">
        <v>8</v>
      </c>
      <c r="E48" s="362"/>
      <c r="F48" s="361" t="s">
        <v>511</v>
      </c>
      <c r="G48" s="361"/>
      <c r="H48" s="360" t="s">
        <v>378</v>
      </c>
      <c r="J48" s="765"/>
      <c r="K48" s="761"/>
      <c r="L48" s="758"/>
      <c r="M48" s="763"/>
      <c r="N48" s="758"/>
      <c r="O48" s="763"/>
      <c r="P48" s="758"/>
      <c r="Q48" s="763"/>
      <c r="S48" s="149"/>
      <c r="T48" s="149"/>
      <c r="U48" s="149"/>
      <c r="V48" s="149"/>
      <c r="W48" s="149"/>
    </row>
    <row r="49" spans="4:25" ht="42" customHeight="1" x14ac:dyDescent="0.25">
      <c r="D49" s="362">
        <v>9</v>
      </c>
      <c r="E49" s="362"/>
      <c r="F49" s="361" t="s">
        <v>285</v>
      </c>
      <c r="G49" s="361"/>
      <c r="H49" s="360" t="s">
        <v>377</v>
      </c>
      <c r="J49" s="765"/>
      <c r="K49" s="761"/>
      <c r="L49" s="758"/>
      <c r="M49" s="763"/>
      <c r="N49" s="758"/>
      <c r="O49" s="763"/>
      <c r="P49" s="758"/>
      <c r="Q49" s="763"/>
      <c r="S49" s="149"/>
      <c r="T49" s="149"/>
      <c r="U49" s="149"/>
      <c r="V49" s="149"/>
      <c r="W49" s="149"/>
    </row>
    <row r="50" spans="4:25" ht="42" customHeight="1" x14ac:dyDescent="0.25">
      <c r="D50" s="362">
        <v>10</v>
      </c>
      <c r="E50" s="362"/>
      <c r="F50" s="361" t="s">
        <v>289</v>
      </c>
      <c r="G50" s="361"/>
      <c r="H50" s="360" t="s">
        <v>377</v>
      </c>
      <c r="J50" s="765"/>
      <c r="K50" s="761"/>
      <c r="L50" s="758"/>
      <c r="M50" s="763"/>
      <c r="N50" s="758"/>
      <c r="O50" s="763"/>
      <c r="P50" s="758"/>
      <c r="Q50" s="763"/>
      <c r="X50" s="359"/>
    </row>
    <row r="51" spans="4:25" ht="48.75" customHeight="1" x14ac:dyDescent="0.25">
      <c r="D51" s="362">
        <v>11</v>
      </c>
      <c r="E51" s="362"/>
      <c r="F51" s="361" t="s">
        <v>290</v>
      </c>
      <c r="G51" s="361"/>
      <c r="H51" s="360" t="s">
        <v>377</v>
      </c>
      <c r="J51" s="764"/>
      <c r="K51" s="761"/>
      <c r="L51" s="758"/>
      <c r="M51" s="763"/>
      <c r="N51" s="758"/>
      <c r="O51" s="763"/>
      <c r="P51" s="758"/>
      <c r="Q51" s="763"/>
      <c r="S51" s="758"/>
      <c r="T51" s="758"/>
      <c r="U51" s="758"/>
      <c r="V51" s="760"/>
      <c r="W51" s="359"/>
      <c r="X51" s="359"/>
      <c r="Y51" s="163"/>
    </row>
    <row r="52" spans="4:25" ht="21" customHeight="1" x14ac:dyDescent="0.25">
      <c r="D52" s="362">
        <v>12</v>
      </c>
      <c r="E52" s="362"/>
      <c r="F52" s="361" t="s">
        <v>296</v>
      </c>
      <c r="G52" s="361"/>
      <c r="H52" s="360" t="s">
        <v>377</v>
      </c>
      <c r="J52" s="764"/>
      <c r="K52" s="761"/>
      <c r="L52" s="758"/>
      <c r="M52" s="763"/>
      <c r="N52" s="758"/>
      <c r="O52" s="763"/>
      <c r="P52" s="758"/>
      <c r="Q52" s="763"/>
      <c r="S52" s="758"/>
      <c r="T52" s="758"/>
      <c r="U52" s="758"/>
      <c r="V52" s="760"/>
      <c r="W52" s="359"/>
      <c r="X52" s="359"/>
      <c r="Y52" s="163"/>
    </row>
    <row r="53" spans="4:25" ht="27.75" customHeight="1" x14ac:dyDescent="0.25">
      <c r="D53" s="362">
        <v>13</v>
      </c>
      <c r="E53" s="362"/>
      <c r="F53" s="361" t="s">
        <v>297</v>
      </c>
      <c r="G53" s="361"/>
      <c r="H53" s="360" t="s">
        <v>377</v>
      </c>
      <c r="J53" s="764"/>
      <c r="K53" s="761"/>
      <c r="L53" s="758"/>
      <c r="M53" s="763"/>
      <c r="N53" s="758"/>
      <c r="O53" s="763"/>
      <c r="P53" s="758"/>
      <c r="Q53" s="763"/>
      <c r="S53" s="758"/>
      <c r="T53" s="758"/>
      <c r="U53" s="758"/>
      <c r="V53" s="760"/>
      <c r="W53" s="359"/>
      <c r="Y53" s="163"/>
    </row>
    <row r="54" spans="4:25" ht="48" customHeight="1" x14ac:dyDescent="0.25">
      <c r="D54" s="362">
        <v>14</v>
      </c>
      <c r="E54" s="362"/>
      <c r="F54" s="361" t="s">
        <v>298</v>
      </c>
      <c r="G54" s="361"/>
      <c r="H54" s="360" t="s">
        <v>378</v>
      </c>
      <c r="J54" s="758"/>
      <c r="K54" s="761"/>
      <c r="L54" s="762"/>
      <c r="M54" s="763"/>
      <c r="N54" s="762"/>
      <c r="O54" s="763"/>
      <c r="P54" s="762"/>
      <c r="Q54" s="763"/>
      <c r="Y54" s="163"/>
    </row>
    <row r="55" spans="4:25" ht="48" customHeight="1" x14ac:dyDescent="0.25">
      <c r="D55" s="362">
        <v>15</v>
      </c>
      <c r="E55" s="362"/>
      <c r="F55" s="361" t="s">
        <v>302</v>
      </c>
      <c r="G55" s="361"/>
      <c r="H55" s="360" t="s">
        <v>377</v>
      </c>
      <c r="J55" s="758"/>
      <c r="K55" s="761"/>
      <c r="L55" s="762"/>
      <c r="M55" s="763"/>
      <c r="N55" s="762"/>
      <c r="O55" s="763"/>
      <c r="P55" s="762"/>
      <c r="Q55" s="763"/>
      <c r="Y55" s="163"/>
    </row>
    <row r="56" spans="4:25" ht="63" customHeight="1" x14ac:dyDescent="0.25">
      <c r="D56" s="164">
        <v>16</v>
      </c>
      <c r="E56" s="164"/>
      <c r="F56" s="297" t="s">
        <v>303</v>
      </c>
      <c r="G56" s="297"/>
      <c r="H56" s="360" t="s">
        <v>378</v>
      </c>
      <c r="K56" s="177"/>
      <c r="L56" s="177"/>
      <c r="M56" s="385"/>
      <c r="N56" s="163"/>
      <c r="O56" s="385"/>
      <c r="P56" s="163"/>
      <c r="Q56" s="385"/>
      <c r="Y56" s="163"/>
    </row>
    <row r="57" spans="4:25" ht="45" customHeight="1" x14ac:dyDescent="0.25">
      <c r="D57" s="362">
        <v>17</v>
      </c>
      <c r="E57" s="362"/>
      <c r="F57" s="298" t="s">
        <v>306</v>
      </c>
      <c r="G57" s="298"/>
      <c r="H57" s="360" t="s">
        <v>377</v>
      </c>
      <c r="J57" s="758"/>
      <c r="L57" s="154"/>
      <c r="M57" s="358"/>
      <c r="N57" s="177"/>
      <c r="O57" s="358"/>
      <c r="P57" s="177"/>
      <c r="Q57" s="358"/>
      <c r="Y57" s="163"/>
    </row>
    <row r="58" spans="4:25" ht="31.5" customHeight="1" x14ac:dyDescent="0.25">
      <c r="D58" s="362">
        <v>18</v>
      </c>
      <c r="E58" s="362"/>
      <c r="F58" s="298" t="s">
        <v>309</v>
      </c>
      <c r="G58" s="298"/>
      <c r="H58" s="360" t="s">
        <v>378</v>
      </c>
      <c r="J58" s="758"/>
      <c r="K58" s="168"/>
      <c r="L58" s="168"/>
      <c r="R58" s="758"/>
      <c r="Y58" s="163"/>
    </row>
    <row r="59" spans="4:25" ht="36.75" customHeight="1" x14ac:dyDescent="0.25">
      <c r="D59" s="363">
        <v>19</v>
      </c>
      <c r="E59" s="363"/>
      <c r="F59" s="176" t="s">
        <v>311</v>
      </c>
      <c r="G59" s="176"/>
      <c r="H59" s="360" t="s">
        <v>378</v>
      </c>
      <c r="J59" s="758"/>
      <c r="K59" s="168"/>
      <c r="L59" s="154"/>
      <c r="M59" s="759"/>
      <c r="N59" s="759"/>
      <c r="O59" s="759"/>
      <c r="P59" s="759"/>
      <c r="Q59" s="759"/>
      <c r="R59" s="758"/>
      <c r="S59" s="358"/>
      <c r="Y59" s="163"/>
    </row>
    <row r="60" spans="4:25" ht="33" customHeight="1" x14ac:dyDescent="0.25">
      <c r="F60" s="351" t="s">
        <v>314</v>
      </c>
      <c r="G60" s="351"/>
      <c r="H60" s="351">
        <f>COUNTIF(H41:H59,"Si")</f>
        <v>10</v>
      </c>
      <c r="J60" s="758"/>
      <c r="K60" s="168"/>
      <c r="L60" s="154"/>
      <c r="M60" s="759"/>
      <c r="N60" s="759"/>
      <c r="O60" s="759"/>
      <c r="P60" s="759"/>
      <c r="Q60" s="759"/>
      <c r="R60" s="758"/>
      <c r="S60" s="358"/>
      <c r="Y60" s="163"/>
    </row>
    <row r="61" spans="4:25" x14ac:dyDescent="0.25">
      <c r="J61" s="354"/>
      <c r="K61" s="157"/>
      <c r="R61" s="358"/>
      <c r="S61" s="358"/>
      <c r="Y61" s="163"/>
    </row>
    <row r="62" spans="4:25" x14ac:dyDescent="0.25">
      <c r="S62" s="358"/>
      <c r="Y62" s="163"/>
    </row>
    <row r="63" spans="4:25" x14ac:dyDescent="0.25">
      <c r="X63" s="163"/>
      <c r="Y63" s="163"/>
    </row>
    <row r="64" spans="4:25" x14ac:dyDescent="0.25">
      <c r="T64" s="163"/>
      <c r="U64" s="163"/>
      <c r="V64" s="163"/>
      <c r="W64" s="163"/>
      <c r="X64" s="163"/>
      <c r="Y64" s="163"/>
    </row>
    <row r="65" spans="4:23" x14ac:dyDescent="0.25">
      <c r="T65" s="163"/>
      <c r="U65" s="163"/>
      <c r="V65" s="163"/>
      <c r="W65" s="163"/>
    </row>
    <row r="78" spans="4:23" ht="21" customHeight="1" x14ac:dyDescent="0.3">
      <c r="D78" s="757" t="s">
        <v>522</v>
      </c>
      <c r="E78" s="757"/>
      <c r="F78" s="757"/>
      <c r="G78" s="146"/>
      <c r="I78" s="609" t="s">
        <v>469</v>
      </c>
      <c r="J78" s="609"/>
      <c r="K78" s="609"/>
      <c r="L78" s="609"/>
      <c r="M78" s="609"/>
    </row>
    <row r="79" spans="4:23" ht="21" customHeight="1" x14ac:dyDescent="0.3">
      <c r="D79" s="310" t="s">
        <v>514</v>
      </c>
      <c r="E79" s="310"/>
      <c r="F79" s="305">
        <v>0.2</v>
      </c>
      <c r="G79" s="371"/>
      <c r="I79" s="1"/>
      <c r="J79" s="5"/>
      <c r="K79" s="295" t="s">
        <v>13</v>
      </c>
      <c r="L79" s="295" t="s">
        <v>498</v>
      </c>
      <c r="M79" s="1"/>
      <c r="N79" s="140" t="s">
        <v>265</v>
      </c>
    </row>
    <row r="80" spans="4:23" ht="21" customHeight="1" x14ac:dyDescent="0.3">
      <c r="D80" s="310" t="s">
        <v>515</v>
      </c>
      <c r="E80" s="310"/>
      <c r="F80" s="305">
        <v>0.4</v>
      </c>
      <c r="G80" s="371"/>
      <c r="I80" s="1"/>
      <c r="J80" s="5"/>
      <c r="K80" s="1" t="s">
        <v>14</v>
      </c>
      <c r="L80" s="1" t="s">
        <v>595</v>
      </c>
      <c r="M80" s="1"/>
      <c r="N80" s="140" t="s">
        <v>559</v>
      </c>
    </row>
    <row r="81" spans="4:14" ht="21" customHeight="1" x14ac:dyDescent="0.3">
      <c r="D81" s="311" t="s">
        <v>516</v>
      </c>
      <c r="E81" s="311"/>
      <c r="F81" s="306">
        <v>0.6</v>
      </c>
      <c r="G81" s="372"/>
      <c r="I81"/>
      <c r="J81" s="5"/>
      <c r="K81" s="1" t="s">
        <v>15</v>
      </c>
      <c r="L81" s="1" t="s">
        <v>9</v>
      </c>
      <c r="M81" s="1"/>
    </row>
    <row r="82" spans="4:14" ht="21" customHeight="1" x14ac:dyDescent="0.3">
      <c r="D82" s="311" t="s">
        <v>517</v>
      </c>
      <c r="E82" s="311"/>
      <c r="F82" s="306">
        <v>0.8</v>
      </c>
      <c r="G82" s="372"/>
      <c r="I82" s="1"/>
      <c r="J82" s="5"/>
      <c r="K82" s="1" t="s">
        <v>16</v>
      </c>
      <c r="L82" s="1"/>
      <c r="M82" s="1"/>
      <c r="N82" s="140" t="s">
        <v>560</v>
      </c>
    </row>
    <row r="83" spans="4:14" ht="21" customHeight="1" x14ac:dyDescent="0.3">
      <c r="D83" s="312" t="s">
        <v>518</v>
      </c>
      <c r="E83" s="312"/>
      <c r="F83" s="307">
        <v>1</v>
      </c>
      <c r="G83" s="373"/>
      <c r="I83" s="1"/>
      <c r="J83" s="5"/>
      <c r="K83" s="1"/>
      <c r="L83" s="1"/>
      <c r="M83" s="1"/>
      <c r="N83" s="140" t="s">
        <v>561</v>
      </c>
    </row>
    <row r="84" spans="4:14" ht="21" customHeight="1" x14ac:dyDescent="0.3">
      <c r="D84" s="146"/>
      <c r="E84" s="146"/>
      <c r="F84" s="146"/>
      <c r="G84" s="146"/>
      <c r="I84" s="1"/>
      <c r="J84" s="5"/>
      <c r="K84" s="295" t="s">
        <v>18</v>
      </c>
      <c r="L84" s="295" t="s">
        <v>21</v>
      </c>
      <c r="M84" s="1"/>
    </row>
    <row r="85" spans="4:14" ht="21" customHeight="1" x14ac:dyDescent="0.3">
      <c r="D85" s="146"/>
      <c r="E85" s="146"/>
      <c r="F85" s="146"/>
      <c r="G85" s="146"/>
      <c r="I85" s="1"/>
      <c r="J85" s="5"/>
      <c r="K85" s="1" t="s">
        <v>493</v>
      </c>
      <c r="L85" s="1" t="s">
        <v>22</v>
      </c>
      <c r="M85" s="1"/>
      <c r="N85" s="140" t="s">
        <v>276</v>
      </c>
    </row>
    <row r="86" spans="4:14" ht="21" customHeight="1" x14ac:dyDescent="0.3">
      <c r="D86" s="757" t="s">
        <v>523</v>
      </c>
      <c r="E86" s="757"/>
      <c r="F86" s="757"/>
      <c r="G86" s="146"/>
      <c r="I86" s="1"/>
      <c r="J86" s="5"/>
      <c r="K86" s="1" t="s">
        <v>494</v>
      </c>
      <c r="L86" s="1" t="s">
        <v>23</v>
      </c>
      <c r="M86" s="1"/>
      <c r="N86" s="140" t="s">
        <v>562</v>
      </c>
    </row>
    <row r="87" spans="4:14" ht="21" customHeight="1" x14ac:dyDescent="0.3">
      <c r="D87" s="313" t="s">
        <v>519</v>
      </c>
      <c r="E87" s="313"/>
      <c r="F87" s="308">
        <v>0.2</v>
      </c>
      <c r="G87" s="374"/>
      <c r="I87" s="1"/>
      <c r="J87" s="5"/>
      <c r="K87" s="1"/>
      <c r="L87" s="1"/>
      <c r="M87" s="1"/>
    </row>
    <row r="88" spans="4:14" ht="21" customHeight="1" x14ac:dyDescent="0.3">
      <c r="D88" s="313" t="s">
        <v>520</v>
      </c>
      <c r="E88" s="313"/>
      <c r="F88" s="308">
        <v>0.4</v>
      </c>
      <c r="G88" s="374"/>
      <c r="I88" s="1"/>
      <c r="J88" s="5"/>
      <c r="K88" s="1"/>
      <c r="L88" s="1"/>
      <c r="M88" s="1"/>
      <c r="N88" s="140" t="s">
        <v>282</v>
      </c>
    </row>
    <row r="89" spans="4:14" ht="21" customHeight="1" x14ac:dyDescent="0.3">
      <c r="D89" s="311" t="s">
        <v>447</v>
      </c>
      <c r="E89" s="311"/>
      <c r="F89" s="306">
        <v>0.6</v>
      </c>
      <c r="G89" s="372"/>
      <c r="I89" s="1"/>
      <c r="J89" s="5"/>
      <c r="K89" s="295" t="s">
        <v>496</v>
      </c>
      <c r="L89" s="295" t="s">
        <v>29</v>
      </c>
      <c r="M89" s="1"/>
      <c r="N89" s="140" t="s">
        <v>336</v>
      </c>
    </row>
    <row r="90" spans="4:14" ht="21" customHeight="1" x14ac:dyDescent="0.3">
      <c r="D90" s="312" t="s">
        <v>521</v>
      </c>
      <c r="E90" s="312"/>
      <c r="F90" s="307">
        <v>0.8</v>
      </c>
      <c r="G90" s="373"/>
      <c r="I90" s="1"/>
      <c r="J90" s="5"/>
      <c r="K90" s="1" t="s">
        <v>497</v>
      </c>
      <c r="L90" s="1" t="s">
        <v>30</v>
      </c>
      <c r="M90" s="1"/>
      <c r="N90" s="140" t="s">
        <v>563</v>
      </c>
    </row>
    <row r="91" spans="4:14" ht="21" customHeight="1" x14ac:dyDescent="0.3">
      <c r="D91" s="314" t="s">
        <v>524</v>
      </c>
      <c r="E91" s="314"/>
      <c r="F91" s="309">
        <v>1</v>
      </c>
      <c r="G91" s="375"/>
      <c r="I91" s="1"/>
      <c r="J91" s="5"/>
      <c r="K91" s="1" t="s">
        <v>27</v>
      </c>
      <c r="L91" s="1" t="s">
        <v>504</v>
      </c>
      <c r="M91" s="1"/>
    </row>
    <row r="92" spans="4:14" ht="16.5" x14ac:dyDescent="0.3">
      <c r="I92" s="1"/>
      <c r="J92" s="5"/>
      <c r="K92" s="1"/>
      <c r="L92" s="1" t="s">
        <v>31</v>
      </c>
      <c r="M92" s="1"/>
      <c r="N92" s="140" t="s">
        <v>288</v>
      </c>
    </row>
    <row r="93" spans="4:14" ht="16.5" x14ac:dyDescent="0.3">
      <c r="I93" s="1"/>
      <c r="J93" s="5"/>
      <c r="K93" s="295" t="s">
        <v>39</v>
      </c>
      <c r="L93" s="1" t="s">
        <v>505</v>
      </c>
      <c r="M93" s="1"/>
      <c r="N93" s="140" t="s">
        <v>564</v>
      </c>
    </row>
    <row r="94" spans="4:14" ht="16.5" x14ac:dyDescent="0.3">
      <c r="I94" s="1"/>
      <c r="J94" s="5"/>
      <c r="K94" s="1" t="s">
        <v>40</v>
      </c>
      <c r="L94" s="1" t="s">
        <v>32</v>
      </c>
      <c r="M94" s="1"/>
    </row>
    <row r="95" spans="4:14" x14ac:dyDescent="0.25">
      <c r="K95" s="140" t="s">
        <v>41</v>
      </c>
      <c r="N95" s="140" t="s">
        <v>293</v>
      </c>
    </row>
    <row r="96" spans="4:14" x14ac:dyDescent="0.25">
      <c r="N96" s="140" t="s">
        <v>565</v>
      </c>
    </row>
    <row r="98" spans="14:14" x14ac:dyDescent="0.25">
      <c r="N98" s="140" t="s">
        <v>301</v>
      </c>
    </row>
    <row r="99" spans="14:14" x14ac:dyDescent="0.25">
      <c r="N99" s="140" t="s">
        <v>566</v>
      </c>
    </row>
    <row r="100" spans="14:14" x14ac:dyDescent="0.25">
      <c r="N100" s="140" t="s">
        <v>567</v>
      </c>
    </row>
    <row r="118" spans="6:6" x14ac:dyDescent="0.25">
      <c r="F118" s="140" t="s">
        <v>395</v>
      </c>
    </row>
    <row r="120" spans="6:6" x14ac:dyDescent="0.25">
      <c r="F120" s="140" t="s">
        <v>377</v>
      </c>
    </row>
    <row r="121" spans="6:6" x14ac:dyDescent="0.25">
      <c r="F121" s="140" t="s">
        <v>378</v>
      </c>
    </row>
    <row r="283" spans="4:20" x14ac:dyDescent="0.25">
      <c r="J283" s="165"/>
      <c r="K283" s="165"/>
      <c r="L283" s="165"/>
    </row>
    <row r="286" spans="4:20" x14ac:dyDescent="0.25">
      <c r="M286" s="165"/>
      <c r="N286" s="165"/>
      <c r="O286" s="165"/>
      <c r="S286" s="165"/>
      <c r="T286" s="165"/>
    </row>
    <row r="287" spans="4:20" x14ac:dyDescent="0.25">
      <c r="D287" s="143"/>
    </row>
    <row r="288" spans="4:20" x14ac:dyDescent="0.25">
      <c r="D288" s="143"/>
    </row>
    <row r="289" spans="4:18" x14ac:dyDescent="0.25">
      <c r="D289" s="143"/>
    </row>
    <row r="290" spans="4:18" x14ac:dyDescent="0.25">
      <c r="D290" s="143"/>
    </row>
    <row r="291" spans="4:18" x14ac:dyDescent="0.25">
      <c r="D291" s="143"/>
      <c r="I291" s="165"/>
      <c r="P291" s="165"/>
      <c r="Q291" s="165"/>
    </row>
    <row r="292" spans="4:18" x14ac:dyDescent="0.25">
      <c r="D292" s="166"/>
      <c r="E292" s="165"/>
      <c r="F292" s="165"/>
      <c r="G292" s="165"/>
      <c r="H292" s="165"/>
    </row>
    <row r="300" spans="4:18" x14ac:dyDescent="0.25">
      <c r="R300" s="165"/>
    </row>
  </sheetData>
  <mergeCells count="130">
    <mergeCell ref="D78:F78"/>
    <mergeCell ref="I78:M78"/>
    <mergeCell ref="D86:F86"/>
    <mergeCell ref="P54:P55"/>
    <mergeCell ref="Q54:Q55"/>
    <mergeCell ref="J57:J60"/>
    <mergeCell ref="R58:R60"/>
    <mergeCell ref="M59:Q59"/>
    <mergeCell ref="M60:Q60"/>
    <mergeCell ref="P51:P53"/>
    <mergeCell ref="Q51:Q53"/>
    <mergeCell ref="S51:U53"/>
    <mergeCell ref="V51:V53"/>
    <mergeCell ref="J54:J55"/>
    <mergeCell ref="K54:K55"/>
    <mergeCell ref="L54:L55"/>
    <mergeCell ref="M54:M55"/>
    <mergeCell ref="N54:N55"/>
    <mergeCell ref="O54:O55"/>
    <mergeCell ref="J51:J53"/>
    <mergeCell ref="K51:K53"/>
    <mergeCell ref="L51:L53"/>
    <mergeCell ref="M51:M53"/>
    <mergeCell ref="N51:N53"/>
    <mergeCell ref="O51:O53"/>
    <mergeCell ref="J49:J50"/>
    <mergeCell ref="K49:K50"/>
    <mergeCell ref="L49:L50"/>
    <mergeCell ref="M49:M50"/>
    <mergeCell ref="N49:N50"/>
    <mergeCell ref="O49:O50"/>
    <mergeCell ref="P49:P50"/>
    <mergeCell ref="Q49:Q50"/>
    <mergeCell ref="J46:J48"/>
    <mergeCell ref="K46:K48"/>
    <mergeCell ref="L46:L48"/>
    <mergeCell ref="M46:M48"/>
    <mergeCell ref="N46:N48"/>
    <mergeCell ref="O46:O48"/>
    <mergeCell ref="J44:J45"/>
    <mergeCell ref="K44:K45"/>
    <mergeCell ref="L44:L45"/>
    <mergeCell ref="M44:M45"/>
    <mergeCell ref="N44:N45"/>
    <mergeCell ref="O44:O45"/>
    <mergeCell ref="P44:P45"/>
    <mergeCell ref="Q44:Q45"/>
    <mergeCell ref="P46:P48"/>
    <mergeCell ref="Q46:Q48"/>
    <mergeCell ref="W39:W41"/>
    <mergeCell ref="J41:J43"/>
    <mergeCell ref="K41:K42"/>
    <mergeCell ref="L41:L42"/>
    <mergeCell ref="M41:M42"/>
    <mergeCell ref="N41:N42"/>
    <mergeCell ref="O41:O42"/>
    <mergeCell ref="P41:P42"/>
    <mergeCell ref="Q41:Q42"/>
    <mergeCell ref="D39:D40"/>
    <mergeCell ref="F39:F40"/>
    <mergeCell ref="L39:M39"/>
    <mergeCell ref="N39:O39"/>
    <mergeCell ref="P39:Q39"/>
    <mergeCell ref="S39:S41"/>
    <mergeCell ref="T39:T41"/>
    <mergeCell ref="U39:U41"/>
    <mergeCell ref="V39:V41"/>
    <mergeCell ref="J29:J32"/>
    <mergeCell ref="K29:L32"/>
    <mergeCell ref="M29:N32"/>
    <mergeCell ref="O29:O32"/>
    <mergeCell ref="P29:P32"/>
    <mergeCell ref="Q29:Q32"/>
    <mergeCell ref="H21:I21"/>
    <mergeCell ref="S36:W37"/>
    <mergeCell ref="D37:H37"/>
    <mergeCell ref="J37:Q37"/>
    <mergeCell ref="C22:C24"/>
    <mergeCell ref="D22:D24"/>
    <mergeCell ref="E22:E24"/>
    <mergeCell ref="F22:F24"/>
    <mergeCell ref="G22:G24"/>
    <mergeCell ref="H22:I24"/>
    <mergeCell ref="AB20:AB21"/>
    <mergeCell ref="AC20:AC21"/>
    <mergeCell ref="AD20:AD21"/>
    <mergeCell ref="K20:K21"/>
    <mergeCell ref="L20:L21"/>
    <mergeCell ref="M20:R20"/>
    <mergeCell ref="S20:S21"/>
    <mergeCell ref="T20:T21"/>
    <mergeCell ref="U20:U21"/>
    <mergeCell ref="J24:J25"/>
    <mergeCell ref="K24:R25"/>
    <mergeCell ref="C17:AG17"/>
    <mergeCell ref="C19:I20"/>
    <mergeCell ref="J19:R19"/>
    <mergeCell ref="S19:Y19"/>
    <mergeCell ref="Z19:AG19"/>
    <mergeCell ref="J20:J21"/>
    <mergeCell ref="AE20:AE21"/>
    <mergeCell ref="AF20:AF21"/>
    <mergeCell ref="AG20:AG21"/>
    <mergeCell ref="V20:V21"/>
    <mergeCell ref="W20:W21"/>
    <mergeCell ref="X20:X21"/>
    <mergeCell ref="Y20:Y21"/>
    <mergeCell ref="Z20:Z21"/>
    <mergeCell ref="AA20:AA21"/>
    <mergeCell ref="D10:F10"/>
    <mergeCell ref="I10:AA10"/>
    <mergeCell ref="C12:AA12"/>
    <mergeCell ref="C14:D14"/>
    <mergeCell ref="E14:F14"/>
    <mergeCell ref="G14:H14"/>
    <mergeCell ref="I14:J14"/>
    <mergeCell ref="C15:D15"/>
    <mergeCell ref="E15:F15"/>
    <mergeCell ref="G15:H15"/>
    <mergeCell ref="I15:J15"/>
    <mergeCell ref="I4:O4"/>
    <mergeCell ref="P4:S4"/>
    <mergeCell ref="T4:W4"/>
    <mergeCell ref="X4:AA4"/>
    <mergeCell ref="C6:AQ7"/>
    <mergeCell ref="C8:F8"/>
    <mergeCell ref="G8:S8"/>
    <mergeCell ref="T8:V8"/>
    <mergeCell ref="C9:F9"/>
    <mergeCell ref="G9:S9"/>
  </mergeCells>
  <conditionalFormatting sqref="H22">
    <cfRule type="containsText" dxfId="209" priority="41" operator="containsText" text="Extremo">
      <formula>NOT(ISERROR(SEARCH("Extremo",H22)))</formula>
    </cfRule>
    <cfRule type="containsText" dxfId="208" priority="42" operator="containsText" text="Alto">
      <formula>NOT(ISERROR(SEARCH("Alto",H22)))</formula>
    </cfRule>
    <cfRule type="containsText" dxfId="207" priority="43" operator="containsText" text="Moderado">
      <formula>NOT(ISERROR(SEARCH("Moderado",H22)))</formula>
    </cfRule>
    <cfRule type="containsText" dxfId="206" priority="44" operator="containsText" text="Bajo">
      <formula>NOT(ISERROR(SEARCH("Bajo",H22)))</formula>
    </cfRule>
  </conditionalFormatting>
  <conditionalFormatting sqref="R29:S32">
    <cfRule type="containsText" dxfId="205" priority="38" operator="containsText" text="Fuerte">
      <formula>NOT(ISERROR(SEARCH("Fuerte",R29)))</formula>
    </cfRule>
    <cfRule type="containsText" dxfId="204" priority="39" operator="containsText" text="Moderado">
      <formula>NOT(ISERROR(SEARCH("Moderado",R29)))</formula>
    </cfRule>
    <cfRule type="containsText" dxfId="203" priority="40" operator="containsText" text="Débil">
      <formula>NOT(ISERROR(SEARCH("Débil",R29)))</formula>
    </cfRule>
  </conditionalFormatting>
  <conditionalFormatting sqref="D22">
    <cfRule type="cellIs" dxfId="202" priority="33" operator="equal">
      <formula>"Muy Alta"</formula>
    </cfRule>
    <cfRule type="cellIs" dxfId="201" priority="34" operator="equal">
      <formula>"Alta"</formula>
    </cfRule>
    <cfRule type="cellIs" dxfId="200" priority="35" operator="equal">
      <formula>"Media"</formula>
    </cfRule>
    <cfRule type="cellIs" dxfId="199" priority="36" operator="equal">
      <formula>"Baja"</formula>
    </cfRule>
    <cfRule type="cellIs" dxfId="198" priority="37" operator="equal">
      <formula>"Muy Baja"</formula>
    </cfRule>
  </conditionalFormatting>
  <conditionalFormatting sqref="S24:S25">
    <cfRule type="containsText" dxfId="197" priority="15" operator="containsText" text="Fuerte">
      <formula>NOT(ISERROR(SEARCH("Fuerte",S24)))</formula>
    </cfRule>
    <cfRule type="containsText" dxfId="196" priority="16" operator="containsText" text="Moderado">
      <formula>NOT(ISERROR(SEARCH("Moderado",S24)))</formula>
    </cfRule>
    <cfRule type="containsText" dxfId="195" priority="17" operator="containsText" text="Débil">
      <formula>NOT(ISERROR(SEARCH("Débil",S24)))</formula>
    </cfRule>
  </conditionalFormatting>
  <conditionalFormatting sqref="T22:T25">
    <cfRule type="cellIs" dxfId="194" priority="10" operator="equal">
      <formula>"Muy Alta"</formula>
    </cfRule>
    <cfRule type="cellIs" dxfId="193" priority="11" operator="equal">
      <formula>"Alta"</formula>
    </cfRule>
    <cfRule type="cellIs" dxfId="192" priority="12" operator="equal">
      <formula>"Media"</formula>
    </cfRule>
    <cfRule type="cellIs" dxfId="191" priority="13" operator="equal">
      <formula>"Baja"</formula>
    </cfRule>
    <cfRule type="cellIs" dxfId="190" priority="14" operator="equal">
      <formula>"Muy Baja"</formula>
    </cfRule>
  </conditionalFormatting>
  <conditionalFormatting sqref="V22:V25">
    <cfRule type="cellIs" dxfId="189" priority="5" operator="equal">
      <formula>"Catastrófico"</formula>
    </cfRule>
    <cfRule type="cellIs" dxfId="188" priority="6" operator="equal">
      <formula>"Mayor"</formula>
    </cfRule>
    <cfRule type="cellIs" dxfId="187" priority="7" operator="equal">
      <formula>"Moderado"</formula>
    </cfRule>
    <cfRule type="cellIs" dxfId="186" priority="8" operator="equal">
      <formula>"Menor"</formula>
    </cfRule>
    <cfRule type="cellIs" dxfId="185" priority="9" operator="equal">
      <formula>"Leve"</formula>
    </cfRule>
  </conditionalFormatting>
  <conditionalFormatting sqref="X22:X25">
    <cfRule type="cellIs" dxfId="184" priority="1" operator="equal">
      <formula>"Extremo"</formula>
    </cfRule>
    <cfRule type="cellIs" dxfId="183" priority="2" operator="equal">
      <formula>"Alto"</formula>
    </cfRule>
    <cfRule type="cellIs" dxfId="182" priority="3" operator="equal">
      <formula>"Moderado"</formula>
    </cfRule>
    <cfRule type="cellIs" dxfId="181" priority="4" operator="equal">
      <formula>"Bajo"</formula>
    </cfRule>
  </conditionalFormatting>
  <dataValidations count="15">
    <dataValidation type="list" allowBlank="1" showInputMessage="1" showErrorMessage="1" sqref="H41:H59" xr:uid="{EF5DFEF3-5141-4EA4-9562-882ADEC21A93}">
      <formula1>$F$120:$F$121</formula1>
    </dataValidation>
    <dataValidation type="list" allowBlank="1" showInputMessage="1" showErrorMessage="1" sqref="M22:M23" xr:uid="{D7FA451B-3ABA-4E08-B9D2-9087E68D9FCB}">
      <formula1>$K$80:$K$82</formula1>
    </dataValidation>
    <dataValidation type="list" allowBlank="1" showInputMessage="1" showErrorMessage="1" sqref="N22:N23" xr:uid="{DAAAD4A4-56AC-48ED-AF6D-B96476CB28E1}">
      <formula1>$L$80:$L$81</formula1>
    </dataValidation>
    <dataValidation type="list" allowBlank="1" showInputMessage="1" showErrorMessage="1" sqref="P22:P23" xr:uid="{A8F414D1-9FE5-4F3C-BC44-E79C670E526F}">
      <formula1>$K$85:$K$86</formula1>
    </dataValidation>
    <dataValidation type="list" allowBlank="1" showInputMessage="1" showErrorMessage="1" sqref="Q22:Q23" xr:uid="{5D06AAE0-E280-42F9-9C27-48CB8AEDD522}">
      <formula1>$L$85:$L$86</formula1>
    </dataValidation>
    <dataValidation type="list" allowBlank="1" showInputMessage="1" showErrorMessage="1" sqref="R22:R23" xr:uid="{1610824C-1785-488D-BB3B-8E1097A28BC7}">
      <formula1>$K$90:$K$91</formula1>
    </dataValidation>
    <dataValidation type="list" allowBlank="1" showInputMessage="1" showErrorMessage="1" sqref="Y22:Y24" xr:uid="{4C39B3D9-DA4A-4BD4-947E-7C55A4F69438}">
      <formula1>$L$90:$L$94</formula1>
    </dataValidation>
    <dataValidation type="list" allowBlank="1" showInputMessage="1" showErrorMessage="1" sqref="AG22:AG23" xr:uid="{BC04DACA-AB29-4D1B-A9A3-AF23EC536AE1}">
      <formula1>$K$94:$K$95</formula1>
    </dataValidation>
    <dataValidation type="list" allowBlank="1" showInputMessage="1" showErrorMessage="1" sqref="L41:L42 N41:N42 P41:P42" xr:uid="{7D647578-B8B9-456E-84B2-AA3530D488E0}">
      <formula1>$N$79:$N$80</formula1>
    </dataValidation>
    <dataValidation type="list" allowBlank="1" showInputMessage="1" showErrorMessage="1" sqref="L43 N43 P43" xr:uid="{0A52940D-E6A4-49E6-B0FB-9B38684841AC}">
      <formula1>$N$82:$N$83</formula1>
    </dataValidation>
    <dataValidation type="list" allowBlank="1" showInputMessage="1" showErrorMessage="1" sqref="L44:L45 N44:N45 P44:P45" xr:uid="{C76E4FC7-87BE-46DA-A766-44BAFD922C23}">
      <formula1>$N$85:$N$86</formula1>
    </dataValidation>
    <dataValidation type="list" allowBlank="1" showInputMessage="1" showErrorMessage="1" sqref="L46:L48 N46:N48 P46:P48" xr:uid="{960B5907-8DA6-4239-9B11-D60DAA40C6CE}">
      <formula1>$N$88:$N$90</formula1>
    </dataValidation>
    <dataValidation type="list" allowBlank="1" showInputMessage="1" showErrorMessage="1" sqref="L49:L50 N49:N50 P49:P50" xr:uid="{476F4C9B-2C53-4508-8948-FA0DD70857C2}">
      <formula1>$N$92:$N$93</formula1>
    </dataValidation>
    <dataValidation type="list" allowBlank="1" showInputMessage="1" showErrorMessage="1" sqref="L51:L53 N51:N53 P51:P53" xr:uid="{E4349A74-F060-43C9-8310-B3085CDA4338}">
      <formula1>$N$95:$N$96</formula1>
    </dataValidation>
    <dataValidation type="list" allowBlank="1" showInputMessage="1" showErrorMessage="1" sqref="L54:L55 N54:N55 P54:P55" xr:uid="{43BF8CB7-113A-453E-ACF4-4A224F7A97E5}">
      <formula1>$N$98:$N$100</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8" stopIfTrue="1" operator="containsText" id="{08C05A94-32FC-45C0-B81D-70047AF5249F}">
            <xm:f>NOT(ISERROR(SEARCH($D$90,F22)))</xm:f>
            <xm:f>$D$90</xm:f>
            <x14:dxf>
              <fill>
                <patternFill>
                  <bgColor theme="9" tint="-0.24994659260841701"/>
                </patternFill>
              </fill>
            </x14:dxf>
          </x14:cfRule>
          <x14:cfRule type="containsText" priority="29" stopIfTrue="1" operator="containsText" id="{166773C4-3928-4133-B049-0197E95B65CB}">
            <xm:f>NOT(ISERROR(SEARCH($D$91,F22)))</xm:f>
            <xm:f>$D$91</xm:f>
            <x14:dxf>
              <fill>
                <patternFill>
                  <bgColor rgb="FFFF0000"/>
                </patternFill>
              </fill>
            </x14:dxf>
          </x14:cfRule>
          <x14:cfRule type="containsText" priority="30" stopIfTrue="1" operator="containsText" id="{786D2174-BA65-45B8-A074-CAC21E0B86F5}">
            <xm:f>NOT(ISERROR(SEARCH($D$88,F22)))</xm:f>
            <xm:f>$D$88</xm:f>
            <x14:dxf>
              <fill>
                <patternFill>
                  <bgColor theme="6"/>
                </patternFill>
              </fill>
            </x14:dxf>
          </x14:cfRule>
          <x14:cfRule type="containsText" priority="31" stopIfTrue="1" operator="containsText" id="{9A035C5D-BC28-43FA-B5FA-8862CBF512C4}">
            <xm:f>NOT(ISERROR(SEARCH($D$89,F22)))</xm:f>
            <xm:f>$D$89</xm:f>
            <x14:dxf>
              <fill>
                <patternFill>
                  <bgColor rgb="FFFFFF00"/>
                </patternFill>
              </fill>
            </x14:dxf>
          </x14:cfRule>
          <x14:cfRule type="containsText" priority="32" stopIfTrue="1" operator="containsText" id="{814CD8FE-3AA5-468A-98BA-37B61496AC68}">
            <xm:f>NOT(ISERROR(SEARCH($D$87,F22)))</xm:f>
            <xm:f>$D$87</xm:f>
            <x14:dxf>
              <fill>
                <patternFill>
                  <bgColor theme="6"/>
                </patternFill>
              </fill>
            </x14:dxf>
          </x14:cfRule>
          <xm:sqref>F22:G22 F23:F24</xm:sqref>
        </x14:conditionalFormatting>
        <x14:conditionalFormatting xmlns:xm="http://schemas.microsoft.com/office/excel/2006/main">
          <x14:cfRule type="containsText" priority="23" stopIfTrue="1" operator="containsText" id="{23F9886F-4497-427A-92EF-096C4C60DE09}">
            <xm:f>NOT(ISERROR(SEARCH($F$83,D25)))</xm:f>
            <xm:f>$F$83</xm:f>
            <x14:dxf>
              <fill>
                <patternFill>
                  <bgColor theme="9" tint="-0.24994659260841701"/>
                </patternFill>
              </fill>
            </x14:dxf>
          </x14:cfRule>
          <x14:cfRule type="containsText" priority="24" stopIfTrue="1" operator="containsText" id="{BCB9EF81-F8D5-43DE-AEFE-D31047696D8E}">
            <xm:f>NOT(ISERROR(SEARCH($F$82,D25)))</xm:f>
            <xm:f>$F$82</xm:f>
            <x14:dxf>
              <fill>
                <patternFill>
                  <bgColor rgb="FFFFFF00"/>
                </patternFill>
              </fill>
            </x14:dxf>
          </x14:cfRule>
          <x14:cfRule type="containsText" priority="25" stopIfTrue="1" operator="containsText" id="{BC9BF807-C586-4E25-9776-AB5E39066886}">
            <xm:f>NOT(ISERROR(SEARCH($F$81,D25)))</xm:f>
            <xm:f>$F$81</xm:f>
            <x14:dxf>
              <fill>
                <patternFill>
                  <bgColor rgb="FFFFFF00"/>
                </patternFill>
              </fill>
            </x14:dxf>
          </x14:cfRule>
          <x14:cfRule type="containsText" priority="26" stopIfTrue="1" operator="containsText" id="{156C7B73-11CB-4CA9-8390-9A46C187D3F7}">
            <xm:f>NOT(ISERROR(SEARCH($F$80,D25)))</xm:f>
            <xm:f>$F$80</xm:f>
            <x14:dxf>
              <fill>
                <patternFill>
                  <bgColor rgb="FF92D050"/>
                </patternFill>
              </fill>
            </x14:dxf>
          </x14:cfRule>
          <x14:cfRule type="containsText" priority="27" stopIfTrue="1" operator="containsText" id="{44AA7CE1-6C5B-4ECB-B18C-732EDFFF0199}">
            <xm:f>NOT(ISERROR(SEARCH($F$79,D25)))</xm:f>
            <xm:f>$F$79</xm:f>
            <x14:dxf>
              <fill>
                <patternFill>
                  <bgColor rgb="FF92D050"/>
                </patternFill>
              </fill>
            </x14:dxf>
          </x14:cfRule>
          <xm:sqref>D25:E25</xm:sqref>
        </x14:conditionalFormatting>
        <x14:conditionalFormatting xmlns:xm="http://schemas.microsoft.com/office/excel/2006/main">
          <x14:cfRule type="containsText" priority="18" stopIfTrue="1" operator="containsText" id="{C8A027BD-90E7-4C3C-9498-1E5C8721879F}">
            <xm:f>NOT(ISERROR(SEARCH($F$91,F25)))</xm:f>
            <xm:f>$F$91</xm:f>
            <x14:dxf>
              <fill>
                <patternFill>
                  <bgColor rgb="FFFF0000"/>
                </patternFill>
              </fill>
            </x14:dxf>
          </x14:cfRule>
          <x14:cfRule type="containsText" priority="19" stopIfTrue="1" operator="containsText" id="{3E7D80D0-5DD2-44AB-A8F2-ED1D29506EEF}">
            <xm:f>NOT(ISERROR(SEARCH($F$90,F25)))</xm:f>
            <xm:f>$F$90</xm:f>
            <x14:dxf>
              <fill>
                <patternFill>
                  <bgColor theme="9" tint="-0.24994659260841701"/>
                </patternFill>
              </fill>
            </x14:dxf>
          </x14:cfRule>
          <x14:cfRule type="containsText" priority="20" stopIfTrue="1" operator="containsText" id="{638083F1-D210-413F-963A-07E18955A4FC}">
            <xm:f>NOT(ISERROR(SEARCH($F$89,F25)))</xm:f>
            <xm:f>$F$89</xm:f>
            <x14:dxf>
              <fill>
                <patternFill>
                  <bgColor rgb="FFFFFF00"/>
                </patternFill>
              </fill>
            </x14:dxf>
          </x14:cfRule>
          <x14:cfRule type="containsText" priority="21" stopIfTrue="1" operator="containsText" id="{96A0691B-7632-435E-9F25-09BF6E0DE197}">
            <xm:f>NOT(ISERROR(SEARCH($F$88,F25)))</xm:f>
            <xm:f>$F$88</xm:f>
            <x14:dxf>
              <fill>
                <patternFill>
                  <bgColor rgb="FF92D050"/>
                </patternFill>
              </fill>
            </x14:dxf>
          </x14:cfRule>
          <x14:cfRule type="containsText" priority="22" stopIfTrue="1" operator="containsText" id="{3D403894-AB19-475E-833E-E756263F4D49}">
            <xm:f>NOT(ISERROR(SEARCH($F$87,F25)))</xm:f>
            <xm:f>$F$87</xm:f>
            <x14:dxf>
              <fill>
                <patternFill>
                  <bgColor rgb="FF92D050"/>
                </patternFill>
              </fill>
            </x14:dxf>
          </x14:cfRule>
          <xm:sqref>F25:G25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E7BD1-30A6-4E45-807C-5064EB613062}">
  <sheetPr>
    <tabColor rgb="FF002060"/>
  </sheetPr>
  <dimension ref="A1:BV120"/>
  <sheetViews>
    <sheetView topLeftCell="A7" zoomScale="70" zoomScaleNormal="70" workbookViewId="0">
      <selection activeCell="AK11" sqref="AK11"/>
    </sheetView>
  </sheetViews>
  <sheetFormatPr baseColWidth="10" defaultRowHeight="16.5" x14ac:dyDescent="0.3"/>
  <cols>
    <col min="1" max="1" width="4" style="2" bestFit="1" customWidth="1"/>
    <col min="2" max="2" width="22.28515625" style="2" customWidth="1"/>
    <col min="3" max="3" width="17.85546875" style="2" customWidth="1"/>
    <col min="4" max="6" width="16.140625" style="2" customWidth="1"/>
    <col min="7" max="7" width="32.42578125" style="1" customWidth="1"/>
    <col min="8" max="8" width="19" style="5" customWidth="1"/>
    <col min="9" max="9" width="17.85546875" style="1" customWidth="1"/>
    <col min="10" max="10" width="16.5703125" style="1" customWidth="1"/>
    <col min="11" max="11" width="9" style="1" customWidth="1"/>
    <col min="12" max="12" width="27.28515625" style="1" bestFit="1" customWidth="1"/>
    <col min="13" max="13" width="30.5703125" style="1" hidden="1" customWidth="1"/>
    <col min="14" max="14" width="17.5703125" style="1" customWidth="1"/>
    <col min="15" max="15" width="9.28515625" style="1" customWidth="1"/>
    <col min="16" max="16" width="16" style="1" customWidth="1"/>
    <col min="17" max="17" width="5.85546875" style="1" customWidth="1"/>
    <col min="18" max="18" width="31" style="1" customWidth="1"/>
    <col min="19" max="19" width="15.140625" style="1" bestFit="1" customWidth="1"/>
    <col min="20" max="20" width="8.85546875" style="1" customWidth="1"/>
    <col min="21" max="22" width="8.140625" style="1" customWidth="1"/>
    <col min="23" max="25" width="9.5703125" style="1" customWidth="1"/>
    <col min="26" max="26" width="7.28515625" style="1" customWidth="1"/>
    <col min="27" max="27" width="8.7109375" style="1" customWidth="1"/>
    <col min="28" max="28" width="10.42578125" style="1" customWidth="1"/>
    <col min="29" max="29" width="9.28515625" style="1" customWidth="1"/>
    <col min="30" max="30" width="9.140625" style="1" customWidth="1"/>
    <col min="31" max="31" width="8.42578125" style="1" customWidth="1"/>
    <col min="32" max="32" width="7.28515625" style="1" customWidth="1"/>
    <col min="33" max="33" width="29" style="1" customWidth="1"/>
    <col min="34" max="34" width="23" style="1" customWidth="1"/>
    <col min="35" max="35" width="20.5703125" style="1" customWidth="1"/>
    <col min="36" max="37" width="16.85546875" style="1" customWidth="1"/>
    <col min="38" max="38" width="14.85546875" style="1" customWidth="1"/>
    <col min="39" max="39" width="18.5703125" style="1" customWidth="1"/>
    <col min="40" max="40" width="21" style="1" customWidth="1"/>
    <col min="41" max="16384" width="11.42578125" style="1"/>
  </cols>
  <sheetData>
    <row r="1" spans="1:74" ht="138.75" customHeight="1" x14ac:dyDescent="0.3"/>
    <row r="2" spans="1:74" ht="76.5" customHeight="1" x14ac:dyDescent="0.3"/>
    <row r="3" spans="1:74" ht="19.5" customHeight="1" thickBot="1" x14ac:dyDescent="0.35"/>
    <row r="4" spans="1:74" ht="16.5" customHeight="1" x14ac:dyDescent="0.3">
      <c r="A4" s="580" t="s">
        <v>530</v>
      </c>
      <c r="B4" s="581"/>
      <c r="C4" s="581"/>
      <c r="D4" s="581"/>
      <c r="E4" s="581"/>
      <c r="F4" s="581"/>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c r="AI4" s="581"/>
      <c r="AJ4" s="581"/>
      <c r="AK4" s="581"/>
      <c r="AL4" s="581"/>
      <c r="AM4" s="581"/>
      <c r="AN4" s="582"/>
    </row>
    <row r="5" spans="1:74" ht="24" customHeight="1" thickBot="1" x14ac:dyDescent="0.35">
      <c r="A5" s="717"/>
      <c r="B5" s="585"/>
      <c r="C5" s="585"/>
      <c r="D5" s="585"/>
      <c r="E5" s="585"/>
      <c r="F5" s="585"/>
      <c r="G5" s="585"/>
      <c r="H5" s="585"/>
      <c r="I5" s="585"/>
      <c r="J5" s="585"/>
      <c r="K5" s="585"/>
      <c r="L5" s="585"/>
      <c r="M5" s="585"/>
      <c r="N5" s="585"/>
      <c r="O5" s="585"/>
      <c r="P5" s="585"/>
      <c r="Q5" s="585"/>
      <c r="R5" s="585"/>
      <c r="S5" s="585"/>
      <c r="T5" s="585"/>
      <c r="U5" s="585"/>
      <c r="V5" s="585"/>
      <c r="W5" s="585"/>
      <c r="X5" s="585"/>
      <c r="Y5" s="585"/>
      <c r="Z5" s="585"/>
      <c r="AA5" s="585"/>
      <c r="AB5" s="585"/>
      <c r="AC5" s="585"/>
      <c r="AD5" s="585"/>
      <c r="AE5" s="585"/>
      <c r="AF5" s="585"/>
      <c r="AG5" s="585"/>
      <c r="AH5" s="585"/>
      <c r="AI5" s="585"/>
      <c r="AJ5" s="585"/>
      <c r="AK5" s="585"/>
      <c r="AL5" s="585"/>
      <c r="AM5" s="585"/>
      <c r="AN5" s="586"/>
    </row>
    <row r="6" spans="1:74" ht="26.25" customHeight="1" x14ac:dyDescent="0.3">
      <c r="A6" s="587" t="s">
        <v>43</v>
      </c>
      <c r="B6" s="587"/>
      <c r="C6" s="588" t="str">
        <f>'Datos del proceso'!A10</f>
        <v>TRANSFORMACIÓN CULTURAL PARA LA REVITALIZACIÓN DEL CENTRO</v>
      </c>
      <c r="D6" s="588"/>
      <c r="E6" s="588"/>
      <c r="F6" s="588"/>
      <c r="G6" s="588"/>
      <c r="H6" s="588"/>
      <c r="I6" s="588"/>
      <c r="J6" s="588"/>
      <c r="K6" s="588"/>
      <c r="L6" s="588"/>
      <c r="M6" s="588"/>
      <c r="N6" s="588"/>
      <c r="O6" s="588"/>
      <c r="P6" s="588"/>
      <c r="Q6" s="589"/>
      <c r="R6" s="589"/>
      <c r="S6" s="589"/>
      <c r="T6" s="272"/>
      <c r="U6" s="272"/>
      <c r="V6" s="272"/>
      <c r="W6" s="272"/>
      <c r="X6" s="272"/>
      <c r="Y6" s="272"/>
      <c r="Z6" s="272"/>
      <c r="AA6" s="272"/>
      <c r="AB6" s="272"/>
      <c r="AC6" s="272"/>
      <c r="AD6" s="272"/>
      <c r="AE6" s="272"/>
      <c r="AF6" s="272"/>
      <c r="AG6" s="272"/>
      <c r="AH6" s="272"/>
      <c r="AI6" s="272"/>
      <c r="AJ6" s="272"/>
      <c r="AK6" s="272"/>
      <c r="AL6" s="272"/>
      <c r="AM6" s="272"/>
      <c r="AN6" s="272"/>
    </row>
    <row r="7" spans="1:74" ht="30" customHeight="1" x14ac:dyDescent="0.3">
      <c r="A7" s="718" t="s">
        <v>130</v>
      </c>
      <c r="B7" s="718"/>
      <c r="C7" s="842"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D7" s="842"/>
      <c r="E7" s="842"/>
      <c r="F7" s="842"/>
      <c r="G7" s="842"/>
      <c r="H7" s="842"/>
      <c r="I7" s="842"/>
      <c r="J7" s="842"/>
      <c r="K7" s="842"/>
      <c r="L7" s="842"/>
      <c r="M7" s="842"/>
      <c r="N7" s="842"/>
      <c r="O7" s="842"/>
      <c r="P7" s="842"/>
      <c r="Q7" s="272"/>
      <c r="R7" s="272"/>
      <c r="S7" s="272"/>
      <c r="T7" s="272"/>
      <c r="U7" s="272"/>
      <c r="V7" s="272"/>
      <c r="W7" s="272"/>
      <c r="X7" s="272"/>
      <c r="Y7" s="272"/>
      <c r="Z7" s="272"/>
      <c r="AA7" s="272"/>
      <c r="AB7" s="272"/>
      <c r="AC7" s="272"/>
      <c r="AD7" s="272"/>
      <c r="AE7" s="272"/>
      <c r="AF7" s="272"/>
      <c r="AG7" s="272"/>
      <c r="AH7" s="272"/>
      <c r="AI7" s="272"/>
      <c r="AJ7" s="272"/>
      <c r="AK7" s="272"/>
      <c r="AL7" s="272"/>
      <c r="AM7" s="272"/>
      <c r="AN7" s="272"/>
    </row>
    <row r="8" spans="1:74" s="274" customFormat="1" ht="15" x14ac:dyDescent="0.2">
      <c r="A8" s="699" t="s">
        <v>139</v>
      </c>
      <c r="B8" s="699"/>
      <c r="C8" s="699"/>
      <c r="D8" s="699"/>
      <c r="E8" s="699"/>
      <c r="F8" s="699"/>
      <c r="G8" s="699"/>
      <c r="H8" s="699"/>
      <c r="I8" s="699"/>
      <c r="J8" s="699" t="s">
        <v>140</v>
      </c>
      <c r="K8" s="699"/>
      <c r="L8" s="699"/>
      <c r="M8" s="699"/>
      <c r="N8" s="699"/>
      <c r="O8" s="699"/>
      <c r="P8" s="699"/>
      <c r="Q8" s="699" t="s">
        <v>141</v>
      </c>
      <c r="R8" s="699"/>
      <c r="S8" s="699"/>
      <c r="T8" s="699"/>
      <c r="U8" s="699"/>
      <c r="V8" s="699"/>
      <c r="W8" s="699"/>
      <c r="X8" s="699"/>
      <c r="Y8" s="699"/>
      <c r="Z8" s="699" t="s">
        <v>142</v>
      </c>
      <c r="AA8" s="699"/>
      <c r="AB8" s="699"/>
      <c r="AC8" s="699"/>
      <c r="AD8" s="699"/>
      <c r="AE8" s="699"/>
      <c r="AF8" s="699"/>
      <c r="AG8" s="699" t="s">
        <v>34</v>
      </c>
      <c r="AH8" s="699"/>
      <c r="AI8" s="699"/>
      <c r="AJ8" s="699"/>
      <c r="AK8" s="699"/>
      <c r="AL8" s="699"/>
      <c r="AM8" s="699"/>
      <c r="AN8" s="699"/>
    </row>
    <row r="9" spans="1:74" s="274" customFormat="1" ht="16.5" customHeight="1" x14ac:dyDescent="0.2">
      <c r="A9" s="720" t="s">
        <v>0</v>
      </c>
      <c r="B9" s="838" t="s">
        <v>645</v>
      </c>
      <c r="C9" s="840" t="s">
        <v>218</v>
      </c>
      <c r="D9" s="840" t="s">
        <v>533</v>
      </c>
      <c r="E9" s="838" t="s">
        <v>13</v>
      </c>
      <c r="F9" s="838" t="s">
        <v>317</v>
      </c>
      <c r="G9" s="840" t="s">
        <v>318</v>
      </c>
      <c r="H9" s="840" t="s">
        <v>531</v>
      </c>
      <c r="I9" s="590" t="s">
        <v>478</v>
      </c>
      <c r="J9" s="593" t="s">
        <v>480</v>
      </c>
      <c r="K9" s="578" t="s">
        <v>481</v>
      </c>
      <c r="L9" s="578" t="s">
        <v>479</v>
      </c>
      <c r="M9" s="578" t="s">
        <v>92</v>
      </c>
      <c r="N9" s="578" t="s">
        <v>482</v>
      </c>
      <c r="O9" s="578" t="s">
        <v>483</v>
      </c>
      <c r="P9" s="578" t="s">
        <v>484</v>
      </c>
      <c r="Q9" s="595" t="s">
        <v>11</v>
      </c>
      <c r="R9" s="578" t="s">
        <v>163</v>
      </c>
      <c r="S9" s="578" t="s">
        <v>503</v>
      </c>
      <c r="T9" s="578" t="s">
        <v>8</v>
      </c>
      <c r="U9" s="578"/>
      <c r="V9" s="578"/>
      <c r="W9" s="578"/>
      <c r="X9" s="578"/>
      <c r="Y9" s="578"/>
      <c r="Z9" s="595" t="s">
        <v>502</v>
      </c>
      <c r="AA9" s="595" t="s">
        <v>485</v>
      </c>
      <c r="AB9" s="595" t="s">
        <v>488</v>
      </c>
      <c r="AC9" s="595" t="s">
        <v>486</v>
      </c>
      <c r="AD9" s="595" t="s">
        <v>481</v>
      </c>
      <c r="AE9" s="595" t="s">
        <v>489</v>
      </c>
      <c r="AF9" s="595" t="s">
        <v>29</v>
      </c>
      <c r="AG9" s="578" t="s">
        <v>34</v>
      </c>
      <c r="AH9" s="590" t="s">
        <v>496</v>
      </c>
      <c r="AI9" s="578" t="s">
        <v>35</v>
      </c>
      <c r="AJ9" s="578" t="s">
        <v>236</v>
      </c>
      <c r="AK9" s="590" t="s">
        <v>506</v>
      </c>
      <c r="AL9" s="578" t="s">
        <v>38</v>
      </c>
      <c r="AM9" s="578" t="s">
        <v>37</v>
      </c>
      <c r="AN9" s="578" t="s">
        <v>39</v>
      </c>
    </row>
    <row r="10" spans="1:74" s="277" customFormat="1" ht="110.25" customHeight="1" x14ac:dyDescent="0.25">
      <c r="A10" s="720"/>
      <c r="B10" s="839"/>
      <c r="C10" s="841"/>
      <c r="D10" s="841"/>
      <c r="E10" s="839"/>
      <c r="F10" s="839"/>
      <c r="G10" s="841"/>
      <c r="H10" s="841"/>
      <c r="I10" s="591"/>
      <c r="J10" s="594"/>
      <c r="K10" s="578"/>
      <c r="L10" s="578"/>
      <c r="M10" s="578"/>
      <c r="N10" s="577"/>
      <c r="O10" s="578"/>
      <c r="P10" s="578"/>
      <c r="Q10" s="595"/>
      <c r="R10" s="578"/>
      <c r="S10" s="578"/>
      <c r="T10" s="294" t="s">
        <v>490</v>
      </c>
      <c r="U10" s="294" t="s">
        <v>492</v>
      </c>
      <c r="V10" s="294" t="s">
        <v>487</v>
      </c>
      <c r="W10" s="294" t="s">
        <v>499</v>
      </c>
      <c r="X10" s="294" t="s">
        <v>500</v>
      </c>
      <c r="Y10" s="294" t="s">
        <v>501</v>
      </c>
      <c r="Z10" s="595"/>
      <c r="AA10" s="595"/>
      <c r="AB10" s="595"/>
      <c r="AC10" s="595"/>
      <c r="AD10" s="595"/>
      <c r="AE10" s="595"/>
      <c r="AF10" s="595"/>
      <c r="AG10" s="578"/>
      <c r="AH10" s="591"/>
      <c r="AI10" s="578"/>
      <c r="AJ10" s="578"/>
      <c r="AK10" s="591"/>
      <c r="AL10" s="578"/>
      <c r="AM10" s="578"/>
      <c r="AN10" s="578"/>
      <c r="AO10" s="325"/>
      <c r="AP10" s="325"/>
      <c r="AQ10" s="325"/>
      <c r="AR10" s="325"/>
      <c r="AS10" s="325"/>
      <c r="AT10" s="325"/>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row>
    <row r="11" spans="1:74" s="291" customFormat="1" ht="113.25" customHeight="1" x14ac:dyDescent="0.25">
      <c r="A11" s="598">
        <v>1</v>
      </c>
      <c r="B11" s="599" t="s">
        <v>635</v>
      </c>
      <c r="C11" s="599" t="s">
        <v>527</v>
      </c>
      <c r="D11" s="599" t="s">
        <v>636</v>
      </c>
      <c r="E11" s="734" t="s">
        <v>637</v>
      </c>
      <c r="F11" s="734" t="s">
        <v>638</v>
      </c>
      <c r="G11" s="600" t="s">
        <v>639</v>
      </c>
      <c r="H11" s="599" t="s">
        <v>640</v>
      </c>
      <c r="I11" s="601">
        <v>63</v>
      </c>
      <c r="J11" s="602" t="str">
        <f>IF(I11&lt;=0,"",IF(I11&lt;=2,"Muy Baja",IF(I11&lt;=24,"Baja",IF(I11&lt;=500,"Media",IF(I11&lt;=5000,"Alta","Muy Alta")))))</f>
        <v>Media</v>
      </c>
      <c r="K11" s="597">
        <f>IF(J11="","",IF(J11="Muy Baja",0.2,IF(J11="Baja",0.4,IF(J11="Media",0.6,IF(J11="Alta",0.8,IF(J11="Muy Alta",1,))))))</f>
        <v>0.6</v>
      </c>
      <c r="L11" s="599">
        <v>101</v>
      </c>
      <c r="M11" s="597">
        <f>IF(NOT(ISERROR(MATCH(L11,'[2]Tabla Impacto'!$B$221:$B$223,0))),'[2]Tabla Impacto'!$F$223&amp;"Por favor no seleccionar los criterios de impacto(Afectación Económica o presupuestal y Pérdida Reputacional)",L11)</f>
        <v>101</v>
      </c>
      <c r="N11" s="602" t="str">
        <f>IF(L11&lt;=0,"",IF(L11&lt;=10,"Leve",IF(L11&lt;=50,"Menor",IF(L11&lt;=100,"Moderado",IF(L11&lt;=500,"Mayor","Catastrófico")))))</f>
        <v>Mayor</v>
      </c>
      <c r="O11" s="597">
        <f>IF(N11="","",IF(N11="Leve",0.2,IF(N11="Menor",0.4,IF(N11="Moderado",0.6,IF(N11="Mayor",0.8,IF(N11="Catastrófico",1,))))))</f>
        <v>0.8</v>
      </c>
      <c r="P11" s="596" t="str">
        <f>IF(OR(AND(J11="Muy Baja",N11="Leve"),AND(J11="Muy Baja",N11="Menor"),AND(J11="Baja",N11="Leve")),"Bajo",IF(OR(AND(J11="Muy baja",N11="Moderado"),AND(J11="Baja",N11="Menor"),AND(J11="Baja",N11="Moderado"),AND(J11="Media",N11="Leve"),AND(J11="Media",N11="Menor"),AND(J11="Media",N11="Moderado"),AND(J11="Alta",N11="Leve"),AND(J11="Alta",N11="Menor")),"Moderado",IF(OR(AND(J11="Muy Baja",N11="Mayor"),AND(J11="Baja",N11="Mayor"),AND(J11="Media",N11="Mayor"),AND(J11="Alta",N11="Moderado"),AND(J11="Alta",N11="Mayor"),AND(J11="Muy Alta",N11="Leve"),AND(J11="Muy Alta",N11="Menor"),AND(J11="Muy Alta",N11="Moderado"),AND(J11="Muy Alta",N11="Mayor")),"Alto",IF(OR(AND(J11="Muy Baja",N11="Catastrófico"),AND(J11="Baja",N11="Catastrófico"),AND(J11="Media",N11="Catastrófico"),AND(J11="Alta",N11="Catastrófico"),AND(J11="Muy Alta",N11="Catastrófico")),"Extremo",""))))</f>
        <v>Alto</v>
      </c>
      <c r="Q11" s="278">
        <v>1</v>
      </c>
      <c r="R11" s="279" t="s">
        <v>641</v>
      </c>
      <c r="S11" s="280" t="str">
        <f t="shared" ref="S11" si="0">IF(OR(T11="Preventivo",T11="Detectivo"),"Probabilidad",IF(T11="Correctivo","Impacto",""))</f>
        <v>Probabilidad</v>
      </c>
      <c r="T11" s="281" t="s">
        <v>14</v>
      </c>
      <c r="U11" s="281" t="s">
        <v>9</v>
      </c>
      <c r="V11" s="282" t="str">
        <f>IF(AND(T11="Preventivo",U11="Automático"),"50%",IF(AND(T11="Preventivo",U11="Manual"),"40%",IF(AND(T11="Detectivo",U11="Automático"),"40%",IF(AND(T11="Detectivo",U11="Manual"),"30%",IF(AND(T11="Correctivo",U11="Automático"),"35%",IF(AND(T11="Correctivo",U11="Manual"),"25%",""))))))</f>
        <v>40%</v>
      </c>
      <c r="W11" s="281" t="s">
        <v>493</v>
      </c>
      <c r="X11" s="281" t="s">
        <v>22</v>
      </c>
      <c r="Y11" s="281" t="s">
        <v>497</v>
      </c>
      <c r="Z11" s="283">
        <f>IFERROR(IF(S11="Probabilidad",(K11-(+K11*V11)),IF(S11="Impacto",K11,"")),"")</f>
        <v>0.36</v>
      </c>
      <c r="AA11" s="284" t="str">
        <f>IFERROR(IF(Z11="","",IF(Z11&lt;=0.2,"Muy Baja",IF(Z11&lt;=0.4,"Baja",IF(Z11&lt;=0.6,"Media",IF(Z11&lt;=0.8,"Alta","Muy Alta"))))),"")</f>
        <v>Baja</v>
      </c>
      <c r="AB11" s="282">
        <f>+Z11</f>
        <v>0.36</v>
      </c>
      <c r="AC11" s="284" t="str">
        <f>IFERROR(IF(AD11="","",IF(AD11&lt;=0.2,"Leve",IF(AD11&lt;=0.4,"Menor",IF(AD11&lt;=0.6,"Moderado",IF(AD11&lt;=0.8,"Mayor","Catastrófico"))))),"")</f>
        <v>Mayor</v>
      </c>
      <c r="AD11" s="282">
        <f>IFERROR(IF(S11="Impacto",(O11-(+O11*V11)),IF(S11="Probabilidad",O11,"")),"")</f>
        <v>0.8</v>
      </c>
      <c r="AE11" s="285" t="str">
        <f>IFERROR(IF(OR(AND(AA11="Muy Baja",AC11="Leve"),AND(AA11="Muy Baja",AC11="Menor"),AND(AA11="Baja",AC11="Leve")),"Bajo",IF(OR(AND(AA11="Muy baja",AC11="Moderado"),AND(AA11="Baja",AC11="Menor"),AND(AA11="Baja",AC11="Moderado"),AND(AA11="Media",AC11="Leve"),AND(AA11="Media",AC11="Menor"),AND(AA11="Media",AC11="Moderado"),AND(AA11="Alta",AC11="Leve"),AND(AA11="Alta",AC11="Menor")),"Moderado",IF(OR(AND(AA11="Muy Baja",AC11="Mayor"),AND(AA11="Baja",AC11="Mayor"),AND(AA11="Media",AC11="Mayor"),AND(AA11="Alta",AC11="Moderado"),AND(AA11="Alta",AC11="Mayor"),AND(AA11="Muy Alta",AC11="Leve"),AND(AA11="Muy Alta",AC11="Menor"),AND(AA11="Muy Alta",AC11="Moderado"),AND(AA11="Muy Alta",AC11="Mayor")),"Alto",IF(OR(AND(AA11="Muy Baja",AC11="Catastrófico"),AND(AA11="Baja",AC11="Catastrófico"),AND(AA11="Media",AC11="Catastrófico"),AND(AA11="Alta",AC11="Catastrófico"),AND(AA11="Muy Alta",AC11="Catastrófico")),"Extremo","")))),"")</f>
        <v>Alto</v>
      </c>
      <c r="AF11" s="281" t="s">
        <v>30</v>
      </c>
      <c r="AG11" s="286" t="s">
        <v>642</v>
      </c>
      <c r="AH11" s="286" t="s">
        <v>643</v>
      </c>
      <c r="AI11" s="286" t="s">
        <v>644</v>
      </c>
      <c r="AJ11" s="288">
        <v>44866</v>
      </c>
      <c r="AK11" s="288">
        <v>45015</v>
      </c>
      <c r="AL11" s="288"/>
      <c r="AM11" s="286"/>
      <c r="AN11" s="289" t="s">
        <v>41</v>
      </c>
      <c r="AO11" s="326"/>
      <c r="AP11" s="326"/>
      <c r="AQ11" s="326"/>
      <c r="AR11" s="326"/>
      <c r="AS11" s="326"/>
      <c r="AT11" s="326"/>
      <c r="AU11" s="326"/>
      <c r="AV11" s="326"/>
      <c r="AW11" s="326"/>
      <c r="AX11" s="326"/>
      <c r="AY11" s="326"/>
      <c r="AZ11" s="326"/>
      <c r="BA11" s="326"/>
      <c r="BB11" s="326"/>
      <c r="BC11" s="326"/>
      <c r="BD11" s="326"/>
      <c r="BE11" s="326"/>
      <c r="BF11" s="326"/>
      <c r="BG11" s="326"/>
      <c r="BH11" s="326"/>
      <c r="BI11" s="326"/>
      <c r="BJ11" s="326"/>
      <c r="BK11" s="326"/>
      <c r="BL11" s="326"/>
      <c r="BM11" s="326"/>
      <c r="BN11" s="326"/>
      <c r="BO11" s="326"/>
      <c r="BP11" s="326"/>
      <c r="BQ11" s="326"/>
      <c r="BR11" s="326"/>
      <c r="BS11" s="326"/>
      <c r="BT11" s="326"/>
      <c r="BU11" s="326"/>
      <c r="BV11" s="323"/>
    </row>
    <row r="12" spans="1:74" s="293" customFormat="1" ht="60" customHeight="1" x14ac:dyDescent="0.2">
      <c r="A12" s="598"/>
      <c r="B12" s="599"/>
      <c r="C12" s="599"/>
      <c r="D12" s="599"/>
      <c r="E12" s="735"/>
      <c r="F12" s="735"/>
      <c r="G12" s="600"/>
      <c r="H12" s="599"/>
      <c r="I12" s="601"/>
      <c r="J12" s="602"/>
      <c r="K12" s="597"/>
      <c r="L12" s="599"/>
      <c r="M12" s="597">
        <f ca="1">IF(NOT(ISERROR(MATCH(L12,_xlfn.ANCHORARRAY(G15),0))),#REF!&amp;"Por favor no seleccionar los criterios de impacto",L12)</f>
        <v>0</v>
      </c>
      <c r="N12" s="602"/>
      <c r="O12" s="597"/>
      <c r="P12" s="596"/>
      <c r="Q12" s="278">
        <v>2</v>
      </c>
      <c r="R12" s="279"/>
      <c r="S12" s="280" t="str">
        <f t="shared" ref="S12:S30" si="1">IF(OR(T12="Preventivo",T12="Detectivo"),"Probabilidad",IF(T12="Correctivo","Impacto",""))</f>
        <v/>
      </c>
      <c r="T12" s="281"/>
      <c r="U12" s="281"/>
      <c r="V12" s="282" t="str">
        <f t="shared" ref="V12" si="2">IF(AND(T12="Preventivo",U12="Automático"),"50%",IF(AND(T12="Preventivo",U12="Manual"),"40%",IF(AND(T12="Detectivo",U12="Automático"),"40%",IF(AND(T12="Detectivo",U12="Manual"),"30%",IF(AND(T12="Correctivo",U12="Automático"),"35%",IF(AND(T12="Correctivo",U12="Manual"),"25%",""))))))</f>
        <v/>
      </c>
      <c r="W12" s="281"/>
      <c r="X12" s="281"/>
      <c r="Y12" s="281"/>
      <c r="Z12" s="283" t="str">
        <f>IFERROR(IF(AND(S11="Probabilidad",S12="Probabilidad"),(AB11-(+AB11*V12)),IF(S12="Probabilidad",(K11-(+K11*V12)),IF(S12="Impacto",AB11,""))),"")</f>
        <v/>
      </c>
      <c r="AA12" s="284" t="str">
        <f t="shared" ref="AA12:AA30" si="3">IFERROR(IF(Z12="","",IF(Z12&lt;=0.2,"Muy Baja",IF(Z12&lt;=0.4,"Baja",IF(Z12&lt;=0.6,"Media",IF(Z12&lt;=0.8,"Alta","Muy Alta"))))),"")</f>
        <v/>
      </c>
      <c r="AB12" s="282" t="str">
        <f t="shared" ref="AB12" si="4">+Z12</f>
        <v/>
      </c>
      <c r="AC12" s="284" t="str">
        <f t="shared" ref="AC12:AC30" si="5">IFERROR(IF(AD12="","",IF(AD12&lt;=0.2,"Leve",IF(AD12&lt;=0.4,"Menor",IF(AD12&lt;=0.6,"Moderado",IF(AD12&lt;=0.8,"Mayor","Catastrófico"))))),"")</f>
        <v/>
      </c>
      <c r="AD12" s="282" t="str">
        <f>IFERROR(IF(AND(S11="Impacto",S12="Impacto"),(AD11-(+AD11*V12)),IF(S12="Impacto",($O$11-(+$O$11*V12)),IF(S12="Probabilidad",AD11,""))),"")</f>
        <v/>
      </c>
      <c r="AE12" s="285" t="str">
        <f t="shared" ref="AE12" si="6">IFERROR(IF(OR(AND(AA12="Muy Baja",AC12="Leve"),AND(AA12="Muy Baja",AC12="Menor"),AND(AA12="Baja",AC12="Leve")),"Bajo",IF(OR(AND(AA12="Muy baja",AC12="Moderado"),AND(AA12="Baja",AC12="Menor"),AND(AA12="Baja",AC12="Moderado"),AND(AA12="Media",AC12="Leve"),AND(AA12="Media",AC12="Menor"),AND(AA12="Media",AC12="Moderado"),AND(AA12="Alta",AC12="Leve"),AND(AA12="Alta",AC12="Menor")),"Moderado",IF(OR(AND(AA12="Muy Baja",AC12="Mayor"),AND(AA12="Baja",AC12="Mayor"),AND(AA12="Media",AC12="Mayor"),AND(AA12="Alta",AC12="Moderado"),AND(AA12="Alta",AC12="Mayor"),AND(AA12="Muy Alta",AC12="Leve"),AND(AA12="Muy Alta",AC12="Menor"),AND(AA12="Muy Alta",AC12="Moderado"),AND(AA12="Muy Alta",AC12="Mayor")),"Alto",IF(OR(AND(AA12="Muy Baja",AC12="Catastrófico"),AND(AA12="Baja",AC12="Catastrófico"),AND(AA12="Media",AC12="Catastrófico"),AND(AA12="Alta",AC12="Catastrófico"),AND(AA12="Muy Alta",AC12="Catastrófico")),"Extremo","")))),"")</f>
        <v/>
      </c>
      <c r="AF12" s="281"/>
      <c r="AG12" s="286"/>
      <c r="AH12" s="286"/>
      <c r="AI12" s="287"/>
      <c r="AJ12" s="288"/>
      <c r="AK12" s="288"/>
      <c r="AL12" s="288"/>
      <c r="AM12" s="286"/>
      <c r="AN12" s="289"/>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324"/>
    </row>
    <row r="13" spans="1:74" s="293" customFormat="1" ht="69" customHeight="1" x14ac:dyDescent="0.2">
      <c r="A13" s="598">
        <v>2</v>
      </c>
      <c r="B13" s="599"/>
      <c r="C13" s="599"/>
      <c r="D13" s="599"/>
      <c r="E13" s="734"/>
      <c r="F13" s="734"/>
      <c r="G13" s="600"/>
      <c r="H13" s="599"/>
      <c r="I13" s="601"/>
      <c r="J13" s="602" t="str">
        <f t="shared" ref="J13" si="7">IF(I13&lt;=0,"",IF(I13&lt;=2,"Muy Baja",IF(I13&lt;=24,"Baja",IF(I13&lt;=500,"Media",IF(I13&lt;=5000,"Alta","Muy Alta")))))</f>
        <v/>
      </c>
      <c r="K13" s="597" t="str">
        <f t="shared" ref="K13" si="8">IF(J13="","",IF(J13="Muy Baja",0.2,IF(J13="Baja",0.4,IF(J13="Media",0.6,IF(J13="Alta",0.8,IF(J13="Muy Alta",1,))))))</f>
        <v/>
      </c>
      <c r="L13" s="599"/>
      <c r="M13" s="597">
        <f>IF(NOT(ISERROR(MATCH(L13,'[2]Tabla Impacto'!$B$221:$B$223,0))),'[2]Tabla Impacto'!$F$223&amp;"Por favor no seleccionar los criterios de impacto(Afectación Económica o presupuestal y Pérdida Reputacional)",L13)</f>
        <v>0</v>
      </c>
      <c r="N13" s="602" t="str">
        <f t="shared" ref="N13" si="9">IF(L13&lt;=0,"",IF(L13&lt;=10,"Leve",IF(L13&lt;=50,"Menor",IF(L13&lt;=100,"Moderado",IF(L13&lt;=500,"Mayor","Catastrófico")))))</f>
        <v/>
      </c>
      <c r="O13" s="597" t="str">
        <f t="shared" ref="O13" si="10">IF(N13="","",IF(N13="Leve",0.2,IF(N13="Menor",0.4,IF(N13="Moderado",0.6,IF(N13="Mayor",0.8,IF(N13="Catastrófico",1,))))))</f>
        <v/>
      </c>
      <c r="P13" s="596" t="str">
        <f t="shared" ref="P13" si="11">IF(OR(AND(J13="Muy Baja",N13="Leve"),AND(J13="Muy Baja",N13="Menor"),AND(J13="Baja",N13="Leve")),"Bajo",IF(OR(AND(J13="Muy baja",N13="Moderado"),AND(J13="Baja",N13="Menor"),AND(J13="Baja",N13="Moderado"),AND(J13="Media",N13="Leve"),AND(J13="Media",N13="Menor"),AND(J13="Media",N13="Moderado"),AND(J13="Alta",N13="Leve"),AND(J13="Alta",N13="Menor")),"Moderado",IF(OR(AND(J13="Muy Baja",N13="Mayor"),AND(J13="Baja",N13="Mayor"),AND(J13="Media",N13="Mayor"),AND(J13="Alta",N13="Moderado"),AND(J13="Alta",N13="Mayor"),AND(J13="Muy Alta",N13="Leve"),AND(J13="Muy Alta",N13="Menor"),AND(J13="Muy Alta",N13="Moderado"),AND(J13="Muy Alta",N13="Mayor")),"Alto",IF(OR(AND(J13="Muy Baja",N13="Catastrófico"),AND(J13="Baja",N13="Catastrófico"),AND(J13="Media",N13="Catastrófico"),AND(J13="Alta",N13="Catastrófico"),AND(J13="Muy Alta",N13="Catastrófico")),"Extremo",""))))</f>
        <v/>
      </c>
      <c r="Q13" s="278">
        <v>1</v>
      </c>
      <c r="R13" s="279"/>
      <c r="S13" s="280" t="str">
        <f t="shared" si="1"/>
        <v/>
      </c>
      <c r="T13" s="281"/>
      <c r="U13" s="281"/>
      <c r="V13" s="282" t="str">
        <f>IF(AND(T13="Preventivo",U13="Automático"),"50%",IF(AND(T13="Preventivo",U13="Manual"),"40%",IF(AND(T13="Detectivo",U13="Automático"),"40%",IF(AND(T13="Detectivo",U13="Manual"),"30%",IF(AND(T13="Correctivo",U13="Automático"),"35%",IF(AND(T13="Correctivo",U13="Manual"),"25%",""))))))</f>
        <v/>
      </c>
      <c r="W13" s="281"/>
      <c r="X13" s="281"/>
      <c r="Y13" s="281"/>
      <c r="Z13" s="283" t="str">
        <f>IFERROR(IF(S13="Probabilidad",(K13-(+K13*V13)),IF(S13="Impacto",K13,"")),"")</f>
        <v/>
      </c>
      <c r="AA13" s="284" t="str">
        <f>IFERROR(IF(Z13="","",IF(Z13&lt;=0.2,"Muy Baja",IF(Z13&lt;=0.4,"Baja",IF(Z13&lt;=0.6,"Media",IF(Z13&lt;=0.8,"Alta","Muy Alta"))))),"")</f>
        <v/>
      </c>
      <c r="AB13" s="282" t="str">
        <f>+Z13</f>
        <v/>
      </c>
      <c r="AC13" s="284" t="str">
        <f>IFERROR(IF(AD13="","",IF(AD13&lt;=0.2,"Leve",IF(AD13&lt;=0.4,"Menor",IF(AD13&lt;=0.6,"Moderado",IF(AD13&lt;=0.8,"Mayor","Catastrófico"))))),"")</f>
        <v/>
      </c>
      <c r="AD13" s="282" t="str">
        <f>IFERROR(IF(S13="Impacto",(O13-(+O13*V13)),IF(S13="Probabilidad",O13,"")),"")</f>
        <v/>
      </c>
      <c r="AE13" s="285" t="str">
        <f>IFERROR(IF(OR(AND(AA13="Muy Baja",AC13="Leve"),AND(AA13="Muy Baja",AC13="Menor"),AND(AA13="Baja",AC13="Leve")),"Bajo",IF(OR(AND(AA13="Muy baja",AC13="Moderado"),AND(AA13="Baja",AC13="Menor"),AND(AA13="Baja",AC13="Moderado"),AND(AA13="Media",AC13="Leve"),AND(AA13="Media",AC13="Menor"),AND(AA13="Media",AC13="Moderado"),AND(AA13="Alta",AC13="Leve"),AND(AA13="Alta",AC13="Menor")),"Moderado",IF(OR(AND(AA13="Muy Baja",AC13="Mayor"),AND(AA13="Baja",AC13="Mayor"),AND(AA13="Media",AC13="Mayor"),AND(AA13="Alta",AC13="Moderado"),AND(AA13="Alta",AC13="Mayor"),AND(AA13="Muy Alta",AC13="Leve"),AND(AA13="Muy Alta",AC13="Menor"),AND(AA13="Muy Alta",AC13="Moderado"),AND(AA13="Muy Alta",AC13="Mayor")),"Alto",IF(OR(AND(AA13="Muy Baja",AC13="Catastrófico"),AND(AA13="Baja",AC13="Catastrófico"),AND(AA13="Media",AC13="Catastrófico"),AND(AA13="Alta",AC13="Catastrófico"),AND(AA13="Muy Alta",AC13="Catastrófico")),"Extremo","")))),"")</f>
        <v/>
      </c>
      <c r="AF13" s="281"/>
      <c r="AG13" s="286"/>
      <c r="AH13" s="286"/>
      <c r="AI13" s="287"/>
      <c r="AJ13" s="288"/>
      <c r="AK13" s="288"/>
      <c r="AL13" s="288"/>
      <c r="AM13" s="286"/>
      <c r="AN13" s="289"/>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324"/>
    </row>
    <row r="14" spans="1:74" s="293" customFormat="1" ht="69" customHeight="1" x14ac:dyDescent="0.2">
      <c r="A14" s="598"/>
      <c r="B14" s="599"/>
      <c r="C14" s="599"/>
      <c r="D14" s="599"/>
      <c r="E14" s="735"/>
      <c r="F14" s="735"/>
      <c r="G14" s="600"/>
      <c r="H14" s="599"/>
      <c r="I14" s="601"/>
      <c r="J14" s="602"/>
      <c r="K14" s="597"/>
      <c r="L14" s="599"/>
      <c r="M14" s="597">
        <f ca="1">IF(NOT(ISERROR(MATCH(L14,_xlfn.ANCHORARRAY(G17),0))),#REF!&amp;"Por favor no seleccionar los criterios de impacto",L14)</f>
        <v>0</v>
      </c>
      <c r="N14" s="602"/>
      <c r="O14" s="597"/>
      <c r="P14" s="596"/>
      <c r="Q14" s="278">
        <v>2</v>
      </c>
      <c r="R14" s="279"/>
      <c r="S14" s="280" t="str">
        <f t="shared" si="1"/>
        <v/>
      </c>
      <c r="T14" s="281"/>
      <c r="U14" s="281"/>
      <c r="V14" s="282" t="str">
        <f t="shared" ref="V14" si="12">IF(AND(T14="Preventivo",U14="Automático"),"50%",IF(AND(T14="Preventivo",U14="Manual"),"40%",IF(AND(T14="Detectivo",U14="Automático"),"40%",IF(AND(T14="Detectivo",U14="Manual"),"30%",IF(AND(T14="Correctivo",U14="Automático"),"35%",IF(AND(T14="Correctivo",U14="Manual"),"25%",""))))))</f>
        <v/>
      </c>
      <c r="W14" s="281"/>
      <c r="X14" s="281"/>
      <c r="Y14" s="281"/>
      <c r="Z14" s="283" t="str">
        <f>IFERROR(IF(AND(S13="Probabilidad",S14="Probabilidad"),(AB13-(+AB13*V14)),IF(S14="Probabilidad",(K13-(+K13*V14)),IF(S14="Impacto",AB13,""))),"")</f>
        <v/>
      </c>
      <c r="AA14" s="284" t="str">
        <f t="shared" si="3"/>
        <v/>
      </c>
      <c r="AB14" s="282" t="str">
        <f t="shared" ref="AB14" si="13">+Z14</f>
        <v/>
      </c>
      <c r="AC14" s="284" t="str">
        <f t="shared" si="5"/>
        <v/>
      </c>
      <c r="AD14" s="282" t="str">
        <f>IFERROR(IF(AND(S13="Impacto",S14="Impacto"),(AD11-(+AD11*V14)),IF(S14="Impacto",($O$13-(+$O$13*V14)),IF(S14="Probabilidad",AD11,""))),"")</f>
        <v/>
      </c>
      <c r="AE14" s="285" t="str">
        <f t="shared" ref="AE14" si="14">IFERROR(IF(OR(AND(AA14="Muy Baja",AC14="Leve"),AND(AA14="Muy Baja",AC14="Menor"),AND(AA14="Baja",AC14="Leve")),"Bajo",IF(OR(AND(AA14="Muy baja",AC14="Moderado"),AND(AA14="Baja",AC14="Menor"),AND(AA14="Baja",AC14="Moderado"),AND(AA14="Media",AC14="Leve"),AND(AA14="Media",AC14="Menor"),AND(AA14="Media",AC14="Moderado"),AND(AA14="Alta",AC14="Leve"),AND(AA14="Alta",AC14="Menor")),"Moderado",IF(OR(AND(AA14="Muy Baja",AC14="Mayor"),AND(AA14="Baja",AC14="Mayor"),AND(AA14="Media",AC14="Mayor"),AND(AA14="Alta",AC14="Moderado"),AND(AA14="Alta",AC14="Mayor"),AND(AA14="Muy Alta",AC14="Leve"),AND(AA14="Muy Alta",AC14="Menor"),AND(AA14="Muy Alta",AC14="Moderado"),AND(AA14="Muy Alta",AC14="Mayor")),"Alto",IF(OR(AND(AA14="Muy Baja",AC14="Catastrófico"),AND(AA14="Baja",AC14="Catastrófico"),AND(AA14="Media",AC14="Catastrófico"),AND(AA14="Alta",AC14="Catastrófico"),AND(AA14="Muy Alta",AC14="Catastrófico")),"Extremo","")))),"")</f>
        <v/>
      </c>
      <c r="AF14" s="281"/>
      <c r="AG14" s="286"/>
      <c r="AH14" s="286"/>
      <c r="AI14" s="287"/>
      <c r="AJ14" s="288"/>
      <c r="AK14" s="288"/>
      <c r="AL14" s="288"/>
      <c r="AM14" s="286"/>
      <c r="AN14" s="289"/>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324"/>
    </row>
    <row r="15" spans="1:74" s="293" customFormat="1" ht="69" customHeight="1" x14ac:dyDescent="0.2">
      <c r="A15" s="598">
        <v>3</v>
      </c>
      <c r="B15" s="599"/>
      <c r="C15" s="599"/>
      <c r="D15" s="599"/>
      <c r="E15" s="734"/>
      <c r="F15" s="734"/>
      <c r="G15" s="600"/>
      <c r="H15" s="599"/>
      <c r="I15" s="601"/>
      <c r="J15" s="602" t="str">
        <f t="shared" ref="J15" si="15">IF(I15&lt;=0,"",IF(I15&lt;=2,"Muy Baja",IF(I15&lt;=24,"Baja",IF(I15&lt;=500,"Media",IF(I15&lt;=5000,"Alta","Muy Alta")))))</f>
        <v/>
      </c>
      <c r="K15" s="597" t="str">
        <f t="shared" ref="K15" si="16">IF(J15="","",IF(J15="Muy Baja",0.2,IF(J15="Baja",0.4,IF(J15="Media",0.6,IF(J15="Alta",0.8,IF(J15="Muy Alta",1,))))))</f>
        <v/>
      </c>
      <c r="L15" s="599"/>
      <c r="M15" s="597">
        <f>IF(NOT(ISERROR(MATCH(L15,'[2]Tabla Impacto'!$B$221:$B$223,0))),'[2]Tabla Impacto'!$F$223&amp;"Por favor no seleccionar los criterios de impacto(Afectación Económica o presupuestal y Pérdida Reputacional)",L15)</f>
        <v>0</v>
      </c>
      <c r="N15" s="602" t="str">
        <f t="shared" ref="N15" si="17">IF(L15&lt;=0,"",IF(L15&lt;=10,"Leve",IF(L15&lt;=50,"Menor",IF(L15&lt;=100,"Moderado",IF(L15&lt;=500,"Mayor","Catastrófico")))))</f>
        <v/>
      </c>
      <c r="O15" s="597" t="str">
        <f t="shared" ref="O15" si="18">IF(N15="","",IF(N15="Leve",0.2,IF(N15="Menor",0.4,IF(N15="Moderado",0.6,IF(N15="Mayor",0.8,IF(N15="Catastrófico",1,))))))</f>
        <v/>
      </c>
      <c r="P15" s="596" t="str">
        <f t="shared" ref="P15" si="19">IF(OR(AND(J15="Muy Baja",N15="Leve"),AND(J15="Muy Baja",N15="Menor"),AND(J15="Baja",N15="Leve")),"Bajo",IF(OR(AND(J15="Muy baja",N15="Moderado"),AND(J15="Baja",N15="Menor"),AND(J15="Baja",N15="Moderado"),AND(J15="Media",N15="Leve"),AND(J15="Media",N15="Menor"),AND(J15="Media",N15="Moderado"),AND(J15="Alta",N15="Leve"),AND(J15="Alta",N15="Menor")),"Moderado",IF(OR(AND(J15="Muy Baja",N15="Mayor"),AND(J15="Baja",N15="Mayor"),AND(J15="Media",N15="Mayor"),AND(J15="Alta",N15="Moderado"),AND(J15="Alta",N15="Mayor"),AND(J15="Muy Alta",N15="Leve"),AND(J15="Muy Alta",N15="Menor"),AND(J15="Muy Alta",N15="Moderado"),AND(J15="Muy Alta",N15="Mayor")),"Alto",IF(OR(AND(J15="Muy Baja",N15="Catastrófico"),AND(J15="Baja",N15="Catastrófico"),AND(J15="Media",N15="Catastrófico"),AND(J15="Alta",N15="Catastrófico"),AND(J15="Muy Alta",N15="Catastrófico")),"Extremo",""))))</f>
        <v/>
      </c>
      <c r="Q15" s="278">
        <v>1</v>
      </c>
      <c r="R15" s="279"/>
      <c r="S15" s="280" t="str">
        <f t="shared" si="1"/>
        <v/>
      </c>
      <c r="T15" s="281"/>
      <c r="U15" s="281"/>
      <c r="V15" s="282" t="str">
        <f>IF(AND(T15="Preventivo",U15="Automático"),"50%",IF(AND(T15="Preventivo",U15="Manual"),"40%",IF(AND(T15="Detectivo",U15="Automático"),"40%",IF(AND(T15="Detectivo",U15="Manual"),"30%",IF(AND(T15="Correctivo",U15="Automático"),"35%",IF(AND(T15="Correctivo",U15="Manual"),"25%",""))))))</f>
        <v/>
      </c>
      <c r="W15" s="281"/>
      <c r="X15" s="281"/>
      <c r="Y15" s="281"/>
      <c r="Z15" s="283" t="str">
        <f>IFERROR(IF(S15="Probabilidad",(K15-(+K15*V15)),IF(S15="Impacto",K15,"")),"")</f>
        <v/>
      </c>
      <c r="AA15" s="284" t="str">
        <f>IFERROR(IF(Z15="","",IF(Z15&lt;=0.2,"Muy Baja",IF(Z15&lt;=0.4,"Baja",IF(Z15&lt;=0.6,"Media",IF(Z15&lt;=0.8,"Alta","Muy Alta"))))),"")</f>
        <v/>
      </c>
      <c r="AB15" s="282" t="str">
        <f>+Z15</f>
        <v/>
      </c>
      <c r="AC15" s="284" t="str">
        <f>IFERROR(IF(AD15="","",IF(AD15&lt;=0.2,"Leve",IF(AD15&lt;=0.4,"Menor",IF(AD15&lt;=0.6,"Moderado",IF(AD15&lt;=0.8,"Mayor","Catastrófico"))))),"")</f>
        <v/>
      </c>
      <c r="AD15" s="282" t="str">
        <f>IFERROR(IF(S15="Impacto",(O15-(+O15*V15)),IF(S15="Probabilidad",O15,"")),"")</f>
        <v/>
      </c>
      <c r="AE15" s="285" t="str">
        <f>IFERROR(IF(OR(AND(AA15="Muy Baja",AC15="Leve"),AND(AA15="Muy Baja",AC15="Menor"),AND(AA15="Baja",AC15="Leve")),"Bajo",IF(OR(AND(AA15="Muy baja",AC15="Moderado"),AND(AA15="Baja",AC15="Menor"),AND(AA15="Baja",AC15="Moderado"),AND(AA15="Media",AC15="Leve"),AND(AA15="Media",AC15="Menor"),AND(AA15="Media",AC15="Moderado"),AND(AA15="Alta",AC15="Leve"),AND(AA15="Alta",AC15="Menor")),"Moderado",IF(OR(AND(AA15="Muy Baja",AC15="Mayor"),AND(AA15="Baja",AC15="Mayor"),AND(AA15="Media",AC15="Mayor"),AND(AA15="Alta",AC15="Moderado"),AND(AA15="Alta",AC15="Mayor"),AND(AA15="Muy Alta",AC15="Leve"),AND(AA15="Muy Alta",AC15="Menor"),AND(AA15="Muy Alta",AC15="Moderado"),AND(AA15="Muy Alta",AC15="Mayor")),"Alto",IF(OR(AND(AA15="Muy Baja",AC15="Catastrófico"),AND(AA15="Baja",AC15="Catastrófico"),AND(AA15="Media",AC15="Catastrófico"),AND(AA15="Alta",AC15="Catastrófico"),AND(AA15="Muy Alta",AC15="Catastrófico")),"Extremo","")))),"")</f>
        <v/>
      </c>
      <c r="AF15" s="281"/>
      <c r="AG15" s="286"/>
      <c r="AH15" s="286"/>
      <c r="AI15" s="287"/>
      <c r="AJ15" s="288"/>
      <c r="AK15" s="288"/>
      <c r="AL15" s="288"/>
      <c r="AM15" s="286"/>
      <c r="AN15" s="289"/>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324"/>
    </row>
    <row r="16" spans="1:74" s="293" customFormat="1" ht="69" customHeight="1" x14ac:dyDescent="0.2">
      <c r="A16" s="598"/>
      <c r="B16" s="599"/>
      <c r="C16" s="599"/>
      <c r="D16" s="599"/>
      <c r="E16" s="735"/>
      <c r="F16" s="735"/>
      <c r="G16" s="600"/>
      <c r="H16" s="599"/>
      <c r="I16" s="601"/>
      <c r="J16" s="602"/>
      <c r="K16" s="597"/>
      <c r="L16" s="599"/>
      <c r="M16" s="597">
        <f ca="1">IF(NOT(ISERROR(MATCH(L16,_xlfn.ANCHORARRAY(G19),0))),#REF!&amp;"Por favor no seleccionar los criterios de impacto",L16)</f>
        <v>0</v>
      </c>
      <c r="N16" s="602"/>
      <c r="O16" s="597"/>
      <c r="P16" s="596"/>
      <c r="Q16" s="278">
        <v>2</v>
      </c>
      <c r="R16" s="279"/>
      <c r="S16" s="280" t="str">
        <f t="shared" si="1"/>
        <v/>
      </c>
      <c r="T16" s="281"/>
      <c r="U16" s="281"/>
      <c r="V16" s="282" t="str">
        <f t="shared" ref="V16" si="20">IF(AND(T16="Preventivo",U16="Automático"),"50%",IF(AND(T16="Preventivo",U16="Manual"),"40%",IF(AND(T16="Detectivo",U16="Automático"),"40%",IF(AND(T16="Detectivo",U16="Manual"),"30%",IF(AND(T16="Correctivo",U16="Automático"),"35%",IF(AND(T16="Correctivo",U16="Manual"),"25%",""))))))</f>
        <v/>
      </c>
      <c r="W16" s="281"/>
      <c r="X16" s="281"/>
      <c r="Y16" s="281"/>
      <c r="Z16" s="283" t="str">
        <f>IFERROR(IF(AND(S15="Probabilidad",S16="Probabilidad"),(AB15-(+AB15*V16)),IF(S16="Probabilidad",(K15-(+K15*V16)),IF(S16="Impacto",AB15,""))),"")</f>
        <v/>
      </c>
      <c r="AA16" s="284" t="str">
        <f t="shared" si="3"/>
        <v/>
      </c>
      <c r="AB16" s="282" t="str">
        <f t="shared" ref="AB16" si="21">+Z16</f>
        <v/>
      </c>
      <c r="AC16" s="284" t="str">
        <f t="shared" si="5"/>
        <v/>
      </c>
      <c r="AD16" s="282" t="str">
        <f>IFERROR(IF(AND(S15="Impacto",S16="Impacto"),(AD13-(+AD13*V16)),IF(S16="Impacto",($O$15-(+$O$15*V16)),IF(S16="Probabilidad",AD13,""))),"")</f>
        <v/>
      </c>
      <c r="AE16" s="285" t="str">
        <f t="shared" ref="AE16" si="22">IFERROR(IF(OR(AND(AA16="Muy Baja",AC16="Leve"),AND(AA16="Muy Baja",AC16="Menor"),AND(AA16="Baja",AC16="Leve")),"Bajo",IF(OR(AND(AA16="Muy baja",AC16="Moderado"),AND(AA16="Baja",AC16="Menor"),AND(AA16="Baja",AC16="Moderado"),AND(AA16="Media",AC16="Leve"),AND(AA16="Media",AC16="Menor"),AND(AA16="Media",AC16="Moderado"),AND(AA16="Alta",AC16="Leve"),AND(AA16="Alta",AC16="Menor")),"Moderado",IF(OR(AND(AA16="Muy Baja",AC16="Mayor"),AND(AA16="Baja",AC16="Mayor"),AND(AA16="Media",AC16="Mayor"),AND(AA16="Alta",AC16="Moderado"),AND(AA16="Alta",AC16="Mayor"),AND(AA16="Muy Alta",AC16="Leve"),AND(AA16="Muy Alta",AC16="Menor"),AND(AA16="Muy Alta",AC16="Moderado"),AND(AA16="Muy Alta",AC16="Mayor")),"Alto",IF(OR(AND(AA16="Muy Baja",AC16="Catastrófico"),AND(AA16="Baja",AC16="Catastrófico"),AND(AA16="Media",AC16="Catastrófico"),AND(AA16="Alta",AC16="Catastrófico"),AND(AA16="Muy Alta",AC16="Catastrófico")),"Extremo","")))),"")</f>
        <v/>
      </c>
      <c r="AF16" s="281"/>
      <c r="AG16" s="286"/>
      <c r="AH16" s="286"/>
      <c r="AI16" s="287"/>
      <c r="AJ16" s="288"/>
      <c r="AK16" s="288"/>
      <c r="AL16" s="288"/>
      <c r="AM16" s="286"/>
      <c r="AN16" s="289"/>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324"/>
    </row>
    <row r="17" spans="1:74" s="293" customFormat="1" ht="69" customHeight="1" x14ac:dyDescent="0.2">
      <c r="A17" s="598">
        <v>4</v>
      </c>
      <c r="B17" s="599"/>
      <c r="C17" s="599"/>
      <c r="D17" s="599"/>
      <c r="E17" s="734"/>
      <c r="F17" s="734"/>
      <c r="G17" s="600"/>
      <c r="H17" s="599"/>
      <c r="I17" s="601"/>
      <c r="J17" s="602" t="str">
        <f t="shared" ref="J17" si="23">IF(I17&lt;=0,"",IF(I17&lt;=2,"Muy Baja",IF(I17&lt;=24,"Baja",IF(I17&lt;=500,"Media",IF(I17&lt;=5000,"Alta","Muy Alta")))))</f>
        <v/>
      </c>
      <c r="K17" s="597" t="str">
        <f t="shared" ref="K17" si="24">IF(J17="","",IF(J17="Muy Baja",0.2,IF(J17="Baja",0.4,IF(J17="Media",0.6,IF(J17="Alta",0.8,IF(J17="Muy Alta",1,))))))</f>
        <v/>
      </c>
      <c r="L17" s="599"/>
      <c r="M17" s="597">
        <f>IF(NOT(ISERROR(MATCH(L17,'[2]Tabla Impacto'!$B$221:$B$223,0))),'[2]Tabla Impacto'!$F$223&amp;"Por favor no seleccionar los criterios de impacto(Afectación Económica o presupuestal y Pérdida Reputacional)",L17)</f>
        <v>0</v>
      </c>
      <c r="N17" s="602" t="str">
        <f t="shared" ref="N17" si="25">IF(L17&lt;=0,"",IF(L17&lt;=10,"Leve",IF(L17&lt;=50,"Menor",IF(L17&lt;=100,"Moderado",IF(L17&lt;=500,"Mayor","Catastrófico")))))</f>
        <v/>
      </c>
      <c r="O17" s="597" t="str">
        <f t="shared" ref="O17" si="26">IF(N17="","",IF(N17="Leve",0.2,IF(N17="Menor",0.4,IF(N17="Moderado",0.6,IF(N17="Mayor",0.8,IF(N17="Catastrófico",1,))))))</f>
        <v/>
      </c>
      <c r="P17" s="596" t="str">
        <f t="shared" ref="P17" si="27">IF(OR(AND(J17="Muy Baja",N17="Leve"),AND(J17="Muy Baja",N17="Menor"),AND(J17="Baja",N17="Leve")),"Bajo",IF(OR(AND(J17="Muy baja",N17="Moderado"),AND(J17="Baja",N17="Menor"),AND(J17="Baja",N17="Moderado"),AND(J17="Media",N17="Leve"),AND(J17="Media",N17="Menor"),AND(J17="Media",N17="Moderado"),AND(J17="Alta",N17="Leve"),AND(J17="Alta",N17="Menor")),"Moderado",IF(OR(AND(J17="Muy Baja",N17="Mayor"),AND(J17="Baja",N17="Mayor"),AND(J17="Media",N17="Mayor"),AND(J17="Alta",N17="Moderado"),AND(J17="Alta",N17="Mayor"),AND(J17="Muy Alta",N17="Leve"),AND(J17="Muy Alta",N17="Menor"),AND(J17="Muy Alta",N17="Moderado"),AND(J17="Muy Alta",N17="Mayor")),"Alto",IF(OR(AND(J17="Muy Baja",N17="Catastrófico"),AND(J17="Baja",N17="Catastrófico"),AND(J17="Media",N17="Catastrófico"),AND(J17="Alta",N17="Catastrófico"),AND(J17="Muy Alta",N17="Catastrófico")),"Extremo",""))))</f>
        <v/>
      </c>
      <c r="Q17" s="278">
        <v>1</v>
      </c>
      <c r="R17" s="279"/>
      <c r="S17" s="280" t="str">
        <f t="shared" si="1"/>
        <v/>
      </c>
      <c r="T17" s="281"/>
      <c r="U17" s="281"/>
      <c r="V17" s="282" t="str">
        <f>IF(AND(T17="Preventivo",U17="Automático"),"50%",IF(AND(T17="Preventivo",U17="Manual"),"40%",IF(AND(T17="Detectivo",U17="Automático"),"40%",IF(AND(T17="Detectivo",U17="Manual"),"30%",IF(AND(T17="Correctivo",U17="Automático"),"35%",IF(AND(T17="Correctivo",U17="Manual"),"25%",""))))))</f>
        <v/>
      </c>
      <c r="W17" s="281"/>
      <c r="X17" s="281"/>
      <c r="Y17" s="281"/>
      <c r="Z17" s="283" t="str">
        <f>IFERROR(IF(S17="Probabilidad",(K17-(+K17*V17)),IF(S17="Impacto",K17,"")),"")</f>
        <v/>
      </c>
      <c r="AA17" s="284" t="str">
        <f>IFERROR(IF(Z17="","",IF(Z17&lt;=0.2,"Muy Baja",IF(Z17&lt;=0.4,"Baja",IF(Z17&lt;=0.6,"Media",IF(Z17&lt;=0.8,"Alta","Muy Alta"))))),"")</f>
        <v/>
      </c>
      <c r="AB17" s="282" t="str">
        <f>+Z17</f>
        <v/>
      </c>
      <c r="AC17" s="284" t="str">
        <f>IFERROR(IF(AD17="","",IF(AD17&lt;=0.2,"Leve",IF(AD17&lt;=0.4,"Menor",IF(AD17&lt;=0.6,"Moderado",IF(AD17&lt;=0.8,"Mayor","Catastrófico"))))),"")</f>
        <v/>
      </c>
      <c r="AD17" s="282" t="str">
        <f>IFERROR(IF(S17="Impacto",(O17-(+O17*V17)),IF(S17="Probabilidad",O17,"")),"")</f>
        <v/>
      </c>
      <c r="AE17" s="285" t="str">
        <f>IFERROR(IF(OR(AND(AA17="Muy Baja",AC17="Leve"),AND(AA17="Muy Baja",AC17="Menor"),AND(AA17="Baja",AC17="Leve")),"Bajo",IF(OR(AND(AA17="Muy baja",AC17="Moderado"),AND(AA17="Baja",AC17="Menor"),AND(AA17="Baja",AC17="Moderado"),AND(AA17="Media",AC17="Leve"),AND(AA17="Media",AC17="Menor"),AND(AA17="Media",AC17="Moderado"),AND(AA17="Alta",AC17="Leve"),AND(AA17="Alta",AC17="Menor")),"Moderado",IF(OR(AND(AA17="Muy Baja",AC17="Mayor"),AND(AA17="Baja",AC17="Mayor"),AND(AA17="Media",AC17="Mayor"),AND(AA17="Alta",AC17="Moderado"),AND(AA17="Alta",AC17="Mayor"),AND(AA17="Muy Alta",AC17="Leve"),AND(AA17="Muy Alta",AC17="Menor"),AND(AA17="Muy Alta",AC17="Moderado"),AND(AA17="Muy Alta",AC17="Mayor")),"Alto",IF(OR(AND(AA17="Muy Baja",AC17="Catastrófico"),AND(AA17="Baja",AC17="Catastrófico"),AND(AA17="Media",AC17="Catastrófico"),AND(AA17="Alta",AC17="Catastrófico"),AND(AA17="Muy Alta",AC17="Catastrófico")),"Extremo","")))),"")</f>
        <v/>
      </c>
      <c r="AF17" s="281"/>
      <c r="AG17" s="286"/>
      <c r="AH17" s="286"/>
      <c r="AI17" s="287"/>
      <c r="AJ17" s="288"/>
      <c r="AK17" s="288"/>
      <c r="AL17" s="288"/>
      <c r="AM17" s="286"/>
      <c r="AN17" s="289"/>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324"/>
    </row>
    <row r="18" spans="1:74" s="293" customFormat="1" ht="69" customHeight="1" x14ac:dyDescent="0.2">
      <c r="A18" s="598"/>
      <c r="B18" s="599"/>
      <c r="C18" s="599"/>
      <c r="D18" s="599"/>
      <c r="E18" s="735"/>
      <c r="F18" s="735"/>
      <c r="G18" s="600"/>
      <c r="H18" s="599"/>
      <c r="I18" s="601"/>
      <c r="J18" s="602"/>
      <c r="K18" s="597"/>
      <c r="L18" s="599"/>
      <c r="M18" s="597">
        <f ca="1">IF(NOT(ISERROR(MATCH(L18,_xlfn.ANCHORARRAY(G21),0))),#REF!&amp;"Por favor no seleccionar los criterios de impacto",L18)</f>
        <v>0</v>
      </c>
      <c r="N18" s="602"/>
      <c r="O18" s="597"/>
      <c r="P18" s="596"/>
      <c r="Q18" s="278">
        <v>2</v>
      </c>
      <c r="R18" s="279"/>
      <c r="S18" s="280" t="str">
        <f t="shared" si="1"/>
        <v/>
      </c>
      <c r="T18" s="281"/>
      <c r="U18" s="281"/>
      <c r="V18" s="282" t="str">
        <f t="shared" ref="V18" si="28">IF(AND(T18="Preventivo",U18="Automático"),"50%",IF(AND(T18="Preventivo",U18="Manual"),"40%",IF(AND(T18="Detectivo",U18="Automático"),"40%",IF(AND(T18="Detectivo",U18="Manual"),"30%",IF(AND(T18="Correctivo",U18="Automático"),"35%",IF(AND(T18="Correctivo",U18="Manual"),"25%",""))))))</f>
        <v/>
      </c>
      <c r="W18" s="281"/>
      <c r="X18" s="281"/>
      <c r="Y18" s="281"/>
      <c r="Z18" s="283" t="str">
        <f>IFERROR(IF(AND(S17="Probabilidad",S18="Probabilidad"),(AB17-(+AB17*V18)),IF(S18="Probabilidad",(K17-(+K17*V18)),IF(S18="Impacto",AB17,""))),"")</f>
        <v/>
      </c>
      <c r="AA18" s="284" t="str">
        <f t="shared" si="3"/>
        <v/>
      </c>
      <c r="AB18" s="282" t="str">
        <f t="shared" ref="AB18" si="29">+Z18</f>
        <v/>
      </c>
      <c r="AC18" s="284" t="str">
        <f t="shared" si="5"/>
        <v/>
      </c>
      <c r="AD18" s="282" t="str">
        <f>IFERROR(IF(AND(S17="Impacto",S18="Impacto"),(AD15-(+AD15*V18)),IF(S18="Impacto",($O$17-(+$O$17*V18)),IF(S18="Probabilidad",AD15,""))),"")</f>
        <v/>
      </c>
      <c r="AE18" s="285" t="str">
        <f t="shared" ref="AE18" si="30">IFERROR(IF(OR(AND(AA18="Muy Baja",AC18="Leve"),AND(AA18="Muy Baja",AC18="Menor"),AND(AA18="Baja",AC18="Leve")),"Bajo",IF(OR(AND(AA18="Muy baja",AC18="Moderado"),AND(AA18="Baja",AC18="Menor"),AND(AA18="Baja",AC18="Moderado"),AND(AA18="Media",AC18="Leve"),AND(AA18="Media",AC18="Menor"),AND(AA18="Media",AC18="Moderado"),AND(AA18="Alta",AC18="Leve"),AND(AA18="Alta",AC18="Menor")),"Moderado",IF(OR(AND(AA18="Muy Baja",AC18="Mayor"),AND(AA18="Baja",AC18="Mayor"),AND(AA18="Media",AC18="Mayor"),AND(AA18="Alta",AC18="Moderado"),AND(AA18="Alta",AC18="Mayor"),AND(AA18="Muy Alta",AC18="Leve"),AND(AA18="Muy Alta",AC18="Menor"),AND(AA18="Muy Alta",AC18="Moderado"),AND(AA18="Muy Alta",AC18="Mayor")),"Alto",IF(OR(AND(AA18="Muy Baja",AC18="Catastrófico"),AND(AA18="Baja",AC18="Catastrófico"),AND(AA18="Media",AC18="Catastrófico"),AND(AA18="Alta",AC18="Catastrófico"),AND(AA18="Muy Alta",AC18="Catastrófico")),"Extremo","")))),"")</f>
        <v/>
      </c>
      <c r="AF18" s="281"/>
      <c r="AG18" s="286"/>
      <c r="AH18" s="286"/>
      <c r="AI18" s="287"/>
      <c r="AJ18" s="288"/>
      <c r="AK18" s="288"/>
      <c r="AL18" s="288"/>
      <c r="AM18" s="286"/>
      <c r="AN18" s="289"/>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324"/>
    </row>
    <row r="19" spans="1:74" s="293" customFormat="1" ht="69" customHeight="1" x14ac:dyDescent="0.2">
      <c r="A19" s="598">
        <v>5</v>
      </c>
      <c r="B19" s="599"/>
      <c r="C19" s="599"/>
      <c r="D19" s="599"/>
      <c r="E19" s="734"/>
      <c r="F19" s="734"/>
      <c r="G19" s="600"/>
      <c r="H19" s="599"/>
      <c r="I19" s="601"/>
      <c r="J19" s="602" t="str">
        <f t="shared" ref="J19" si="31">IF(I19&lt;=0,"",IF(I19&lt;=2,"Muy Baja",IF(I19&lt;=24,"Baja",IF(I19&lt;=500,"Media",IF(I19&lt;=5000,"Alta","Muy Alta")))))</f>
        <v/>
      </c>
      <c r="K19" s="597" t="str">
        <f t="shared" ref="K19" si="32">IF(J19="","",IF(J19="Muy Baja",0.2,IF(J19="Baja",0.4,IF(J19="Media",0.6,IF(J19="Alta",0.8,IF(J19="Muy Alta",1,))))))</f>
        <v/>
      </c>
      <c r="L19" s="599"/>
      <c r="M19" s="597">
        <f>IF(NOT(ISERROR(MATCH(L19,'[2]Tabla Impacto'!$B$221:$B$223,0))),'[2]Tabla Impacto'!$F$223&amp;"Por favor no seleccionar los criterios de impacto(Afectación Económica o presupuestal y Pérdida Reputacional)",L19)</f>
        <v>0</v>
      </c>
      <c r="N19" s="602" t="str">
        <f t="shared" ref="N19" si="33">IF(L19&lt;=0,"",IF(L19&lt;=10,"Leve",IF(L19&lt;=50,"Menor",IF(L19&lt;=100,"Moderado",IF(L19&lt;=500,"Mayor","Catastrófico")))))</f>
        <v/>
      </c>
      <c r="O19" s="597" t="str">
        <f t="shared" ref="O19" si="34">IF(N19="","",IF(N19="Leve",0.2,IF(N19="Menor",0.4,IF(N19="Moderado",0.6,IF(N19="Mayor",0.8,IF(N19="Catastrófico",1,))))))</f>
        <v/>
      </c>
      <c r="P19" s="596" t="str">
        <f t="shared" ref="P19" si="35">IF(OR(AND(J19="Muy Baja",N19="Leve"),AND(J19="Muy Baja",N19="Menor"),AND(J19="Baja",N19="Leve")),"Bajo",IF(OR(AND(J19="Muy baja",N19="Moderado"),AND(J19="Baja",N19="Menor"),AND(J19="Baja",N19="Moderado"),AND(J19="Media",N19="Leve"),AND(J19="Media",N19="Menor"),AND(J19="Media",N19="Moderado"),AND(J19="Alta",N19="Leve"),AND(J19="Alta",N19="Menor")),"Moderado",IF(OR(AND(J19="Muy Baja",N19="Mayor"),AND(J19="Baja",N19="Mayor"),AND(J19="Media",N19="Mayor"),AND(J19="Alta",N19="Moderado"),AND(J19="Alta",N19="Mayor"),AND(J19="Muy Alta",N19="Leve"),AND(J19="Muy Alta",N19="Menor"),AND(J19="Muy Alta",N19="Moderado"),AND(J19="Muy Alta",N19="Mayor")),"Alto",IF(OR(AND(J19="Muy Baja",N19="Catastrófico"),AND(J19="Baja",N19="Catastrófico"),AND(J19="Media",N19="Catastrófico"),AND(J19="Alta",N19="Catastrófico"),AND(J19="Muy Alta",N19="Catastrófico")),"Extremo",""))))</f>
        <v/>
      </c>
      <c r="Q19" s="278">
        <v>1</v>
      </c>
      <c r="R19" s="279"/>
      <c r="S19" s="280" t="str">
        <f t="shared" si="1"/>
        <v/>
      </c>
      <c r="T19" s="281"/>
      <c r="U19" s="281"/>
      <c r="V19" s="282" t="str">
        <f>IF(AND(T19="Preventivo",U19="Automático"),"50%",IF(AND(T19="Preventivo",U19="Manual"),"40%",IF(AND(T19="Detectivo",U19="Automático"),"40%",IF(AND(T19="Detectivo",U19="Manual"),"30%",IF(AND(T19="Correctivo",U19="Automático"),"35%",IF(AND(T19="Correctivo",U19="Manual"),"25%",""))))))</f>
        <v/>
      </c>
      <c r="W19" s="281"/>
      <c r="X19" s="281"/>
      <c r="Y19" s="281"/>
      <c r="Z19" s="283" t="str">
        <f>IFERROR(IF(S19="Probabilidad",(K19-(+K19*V19)),IF(S19="Impacto",K19,"")),"")</f>
        <v/>
      </c>
      <c r="AA19" s="284" t="str">
        <f>IFERROR(IF(Z19="","",IF(Z19&lt;=0.2,"Muy Baja",IF(Z19&lt;=0.4,"Baja",IF(Z19&lt;=0.6,"Media",IF(Z19&lt;=0.8,"Alta","Muy Alta"))))),"")</f>
        <v/>
      </c>
      <c r="AB19" s="282" t="str">
        <f>+Z19</f>
        <v/>
      </c>
      <c r="AC19" s="284" t="str">
        <f>IFERROR(IF(AD19="","",IF(AD19&lt;=0.2,"Leve",IF(AD19&lt;=0.4,"Menor",IF(AD19&lt;=0.6,"Moderado",IF(AD19&lt;=0.8,"Mayor","Catastrófico"))))),"")</f>
        <v/>
      </c>
      <c r="AD19" s="282" t="str">
        <f>IFERROR(IF(S19="Impacto",(O19-(+O19*V19)),IF(S19="Probabilidad",O19,"")),"")</f>
        <v/>
      </c>
      <c r="AE19" s="285" t="str">
        <f>IFERROR(IF(OR(AND(AA19="Muy Baja",AC19="Leve"),AND(AA19="Muy Baja",AC19="Menor"),AND(AA19="Baja",AC19="Leve")),"Bajo",IF(OR(AND(AA19="Muy baja",AC19="Moderado"),AND(AA19="Baja",AC19="Menor"),AND(AA19="Baja",AC19="Moderado"),AND(AA19="Media",AC19="Leve"),AND(AA19="Media",AC19="Menor"),AND(AA19="Media",AC19="Moderado"),AND(AA19="Alta",AC19="Leve"),AND(AA19="Alta",AC19="Menor")),"Moderado",IF(OR(AND(AA19="Muy Baja",AC19="Mayor"),AND(AA19="Baja",AC19="Mayor"),AND(AA19="Media",AC19="Mayor"),AND(AA19="Alta",AC19="Moderado"),AND(AA19="Alta",AC19="Mayor"),AND(AA19="Muy Alta",AC19="Leve"),AND(AA19="Muy Alta",AC19="Menor"),AND(AA19="Muy Alta",AC19="Moderado"),AND(AA19="Muy Alta",AC19="Mayor")),"Alto",IF(OR(AND(AA19="Muy Baja",AC19="Catastrófico"),AND(AA19="Baja",AC19="Catastrófico"),AND(AA19="Media",AC19="Catastrófico"),AND(AA19="Alta",AC19="Catastrófico"),AND(AA19="Muy Alta",AC19="Catastrófico")),"Extremo","")))),"")</f>
        <v/>
      </c>
      <c r="AF19" s="281"/>
      <c r="AG19" s="286"/>
      <c r="AH19" s="286"/>
      <c r="AI19" s="287"/>
      <c r="AJ19" s="288"/>
      <c r="AK19" s="288"/>
      <c r="AL19" s="288"/>
      <c r="AM19" s="286"/>
      <c r="AN19" s="289"/>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324"/>
    </row>
    <row r="20" spans="1:74" s="293" customFormat="1" ht="69" customHeight="1" x14ac:dyDescent="0.2">
      <c r="A20" s="598"/>
      <c r="B20" s="599"/>
      <c r="C20" s="599"/>
      <c r="D20" s="599"/>
      <c r="E20" s="735"/>
      <c r="F20" s="735"/>
      <c r="G20" s="600"/>
      <c r="H20" s="599"/>
      <c r="I20" s="601"/>
      <c r="J20" s="602"/>
      <c r="K20" s="597"/>
      <c r="L20" s="599"/>
      <c r="M20" s="597">
        <f ca="1">IF(NOT(ISERROR(MATCH(L20,_xlfn.ANCHORARRAY(G23),0))),#REF!&amp;"Por favor no seleccionar los criterios de impacto",L20)</f>
        <v>0</v>
      </c>
      <c r="N20" s="602"/>
      <c r="O20" s="597"/>
      <c r="P20" s="596"/>
      <c r="Q20" s="278">
        <v>2</v>
      </c>
      <c r="R20" s="279"/>
      <c r="S20" s="280" t="str">
        <f t="shared" si="1"/>
        <v/>
      </c>
      <c r="T20" s="281"/>
      <c r="U20" s="281"/>
      <c r="V20" s="282" t="str">
        <f t="shared" ref="V20" si="36">IF(AND(T20="Preventivo",U20="Automático"),"50%",IF(AND(T20="Preventivo",U20="Manual"),"40%",IF(AND(T20="Detectivo",U20="Automático"),"40%",IF(AND(T20="Detectivo",U20="Manual"),"30%",IF(AND(T20="Correctivo",U20="Automático"),"35%",IF(AND(T20="Correctivo",U20="Manual"),"25%",""))))))</f>
        <v/>
      </c>
      <c r="W20" s="281"/>
      <c r="X20" s="281"/>
      <c r="Y20" s="281"/>
      <c r="Z20" s="283" t="str">
        <f>IFERROR(IF(AND(S19="Probabilidad",S20="Probabilidad"),(AB19-(+AB19*V20)),IF(S20="Probabilidad",(K19-(+K19*V20)),IF(S20="Impacto",AB19,""))),"")</f>
        <v/>
      </c>
      <c r="AA20" s="284" t="str">
        <f t="shared" si="3"/>
        <v/>
      </c>
      <c r="AB20" s="282" t="str">
        <f t="shared" ref="AB20" si="37">+Z20</f>
        <v/>
      </c>
      <c r="AC20" s="284" t="str">
        <f t="shared" si="5"/>
        <v/>
      </c>
      <c r="AD20" s="282" t="str">
        <f>IFERROR(IF(AND(S19="Impacto",S20="Impacto"),(AD17-(+AD17*V20)),IF(S20="Impacto",($O$19-(+$O$19*V20)),IF(S20="Probabilidad",AD17,""))),"")</f>
        <v/>
      </c>
      <c r="AE20" s="285" t="str">
        <f t="shared" ref="AE20" si="38">IFERROR(IF(OR(AND(AA20="Muy Baja",AC20="Leve"),AND(AA20="Muy Baja",AC20="Menor"),AND(AA20="Baja",AC20="Leve")),"Bajo",IF(OR(AND(AA20="Muy baja",AC20="Moderado"),AND(AA20="Baja",AC20="Menor"),AND(AA20="Baja",AC20="Moderado"),AND(AA20="Media",AC20="Leve"),AND(AA20="Media",AC20="Menor"),AND(AA20="Media",AC20="Moderado"),AND(AA20="Alta",AC20="Leve"),AND(AA20="Alta",AC20="Menor")),"Moderado",IF(OR(AND(AA20="Muy Baja",AC20="Mayor"),AND(AA20="Baja",AC20="Mayor"),AND(AA20="Media",AC20="Mayor"),AND(AA20="Alta",AC20="Moderado"),AND(AA20="Alta",AC20="Mayor"),AND(AA20="Muy Alta",AC20="Leve"),AND(AA20="Muy Alta",AC20="Menor"),AND(AA20="Muy Alta",AC20="Moderado"),AND(AA20="Muy Alta",AC20="Mayor")),"Alto",IF(OR(AND(AA20="Muy Baja",AC20="Catastrófico"),AND(AA20="Baja",AC20="Catastrófico"),AND(AA20="Media",AC20="Catastrófico"),AND(AA20="Alta",AC20="Catastrófico"),AND(AA20="Muy Alta",AC20="Catastrófico")),"Extremo","")))),"")</f>
        <v/>
      </c>
      <c r="AF20" s="281"/>
      <c r="AG20" s="286"/>
      <c r="AH20" s="286"/>
      <c r="AI20" s="287"/>
      <c r="AJ20" s="288"/>
      <c r="AK20" s="288"/>
      <c r="AL20" s="288"/>
      <c r="AM20" s="286"/>
      <c r="AN20" s="289"/>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324"/>
    </row>
    <row r="21" spans="1:74" s="293" customFormat="1" ht="69" customHeight="1" x14ac:dyDescent="0.2">
      <c r="A21" s="598">
        <v>6</v>
      </c>
      <c r="B21" s="599"/>
      <c r="C21" s="599"/>
      <c r="D21" s="599"/>
      <c r="E21" s="286"/>
      <c r="F21" s="286"/>
      <c r="G21" s="600"/>
      <c r="H21" s="599"/>
      <c r="I21" s="601"/>
      <c r="J21" s="602" t="str">
        <f t="shared" ref="J21" si="39">IF(I21&lt;=0,"",IF(I21&lt;=2,"Muy Baja",IF(I21&lt;=24,"Baja",IF(I21&lt;=500,"Media",IF(I21&lt;=5000,"Alta","Muy Alta")))))</f>
        <v/>
      </c>
      <c r="K21" s="597" t="str">
        <f t="shared" ref="K21" si="40">IF(J21="","",IF(J21="Muy Baja",0.2,IF(J21="Baja",0.4,IF(J21="Media",0.6,IF(J21="Alta",0.8,IF(J21="Muy Alta",1,))))))</f>
        <v/>
      </c>
      <c r="L21" s="599"/>
      <c r="M21" s="597">
        <f>IF(NOT(ISERROR(MATCH(L21,'[2]Tabla Impacto'!$B$221:$B$223,0))),'[2]Tabla Impacto'!$F$223&amp;"Por favor no seleccionar los criterios de impacto(Afectación Económica o presupuestal y Pérdida Reputacional)",L21)</f>
        <v>0</v>
      </c>
      <c r="N21" s="602" t="str">
        <f t="shared" ref="N21" si="41">IF(L21&lt;=0,"",IF(L21&lt;=10,"Leve",IF(L21&lt;=50,"Menor",IF(L21&lt;=100,"Moderado",IF(L21&lt;=500,"Mayor","Catastrófico")))))</f>
        <v/>
      </c>
      <c r="O21" s="597" t="str">
        <f t="shared" ref="O21" si="42">IF(N21="","",IF(N21="Leve",0.2,IF(N21="Menor",0.4,IF(N21="Moderado",0.6,IF(N21="Mayor",0.8,IF(N21="Catastrófico",1,))))))</f>
        <v/>
      </c>
      <c r="P21" s="596" t="str">
        <f t="shared" ref="P21" si="43">IF(OR(AND(J21="Muy Baja",N21="Leve"),AND(J21="Muy Baja",N21="Menor"),AND(J21="Baja",N21="Leve")),"Bajo",IF(OR(AND(J21="Muy baja",N21="Moderado"),AND(J21="Baja",N21="Menor"),AND(J21="Baja",N21="Moderado"),AND(J21="Media",N21="Leve"),AND(J21="Media",N21="Menor"),AND(J21="Media",N21="Moderado"),AND(J21="Alta",N21="Leve"),AND(J21="Alta",N21="Menor")),"Moderado",IF(OR(AND(J21="Muy Baja",N21="Mayor"),AND(J21="Baja",N21="Mayor"),AND(J21="Media",N21="Mayor"),AND(J21="Alta",N21="Moderado"),AND(J21="Alta",N21="Mayor"),AND(J21="Muy Alta",N21="Leve"),AND(J21="Muy Alta",N21="Menor"),AND(J21="Muy Alta",N21="Moderado"),AND(J21="Muy Alta",N21="Mayor")),"Alto",IF(OR(AND(J21="Muy Baja",N21="Catastrófico"),AND(J21="Baja",N21="Catastrófico"),AND(J21="Media",N21="Catastrófico"),AND(J21="Alta",N21="Catastrófico"),AND(J21="Muy Alta",N21="Catastrófico")),"Extremo",""))))</f>
        <v/>
      </c>
      <c r="Q21" s="278">
        <v>1</v>
      </c>
      <c r="R21" s="279"/>
      <c r="S21" s="280" t="str">
        <f t="shared" si="1"/>
        <v/>
      </c>
      <c r="T21" s="281"/>
      <c r="U21" s="281"/>
      <c r="V21" s="282" t="str">
        <f>IF(AND(T21="Preventivo",U21="Automático"),"50%",IF(AND(T21="Preventivo",U21="Manual"),"40%",IF(AND(T21="Detectivo",U21="Automático"),"40%",IF(AND(T21="Detectivo",U21="Manual"),"30%",IF(AND(T21="Correctivo",U21="Automático"),"35%",IF(AND(T21="Correctivo",U21="Manual"),"25%",""))))))</f>
        <v/>
      </c>
      <c r="W21" s="281"/>
      <c r="X21" s="281"/>
      <c r="Y21" s="281"/>
      <c r="Z21" s="283" t="str">
        <f>IFERROR(IF(S21="Probabilidad",(K21-(+K21*V21)),IF(S21="Impacto",K21,"")),"")</f>
        <v/>
      </c>
      <c r="AA21" s="284" t="str">
        <f>IFERROR(IF(Z21="","",IF(Z21&lt;=0.2,"Muy Baja",IF(Z21&lt;=0.4,"Baja",IF(Z21&lt;=0.6,"Media",IF(Z21&lt;=0.8,"Alta","Muy Alta"))))),"")</f>
        <v/>
      </c>
      <c r="AB21" s="282" t="str">
        <f>+Z21</f>
        <v/>
      </c>
      <c r="AC21" s="284" t="str">
        <f>IFERROR(IF(AD21="","",IF(AD21&lt;=0.2,"Leve",IF(AD21&lt;=0.4,"Menor",IF(AD21&lt;=0.6,"Moderado",IF(AD21&lt;=0.8,"Mayor","Catastrófico"))))),"")</f>
        <v/>
      </c>
      <c r="AD21" s="282" t="str">
        <f>IFERROR(IF(S21="Impacto",(O21-(+O21*V21)),IF(S21="Probabilidad",O21,"")),"")</f>
        <v/>
      </c>
      <c r="AE21" s="285" t="str">
        <f>IFERROR(IF(OR(AND(AA21="Muy Baja",AC21="Leve"),AND(AA21="Muy Baja",AC21="Menor"),AND(AA21="Baja",AC21="Leve")),"Bajo",IF(OR(AND(AA21="Muy baja",AC21="Moderado"),AND(AA21="Baja",AC21="Menor"),AND(AA21="Baja",AC21="Moderado"),AND(AA21="Media",AC21="Leve"),AND(AA21="Media",AC21="Menor"),AND(AA21="Media",AC21="Moderado"),AND(AA21="Alta",AC21="Leve"),AND(AA21="Alta",AC21="Menor")),"Moderado",IF(OR(AND(AA21="Muy Baja",AC21="Mayor"),AND(AA21="Baja",AC21="Mayor"),AND(AA21="Media",AC21="Mayor"),AND(AA21="Alta",AC21="Moderado"),AND(AA21="Alta",AC21="Mayor"),AND(AA21="Muy Alta",AC21="Leve"),AND(AA21="Muy Alta",AC21="Menor"),AND(AA21="Muy Alta",AC21="Moderado"),AND(AA21="Muy Alta",AC21="Mayor")),"Alto",IF(OR(AND(AA21="Muy Baja",AC21="Catastrófico"),AND(AA21="Baja",AC21="Catastrófico"),AND(AA21="Media",AC21="Catastrófico"),AND(AA21="Alta",AC21="Catastrófico"),AND(AA21="Muy Alta",AC21="Catastrófico")),"Extremo","")))),"")</f>
        <v/>
      </c>
      <c r="AF21" s="281"/>
      <c r="AG21" s="286"/>
      <c r="AH21" s="286"/>
      <c r="AI21" s="287"/>
      <c r="AJ21" s="288"/>
      <c r="AK21" s="288"/>
      <c r="AL21" s="288"/>
      <c r="AM21" s="286"/>
      <c r="AN21" s="289"/>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324"/>
    </row>
    <row r="22" spans="1:74" s="293" customFormat="1" ht="69" customHeight="1" x14ac:dyDescent="0.2">
      <c r="A22" s="598"/>
      <c r="B22" s="599"/>
      <c r="C22" s="599"/>
      <c r="D22" s="599"/>
      <c r="E22" s="286"/>
      <c r="F22" s="286"/>
      <c r="G22" s="600"/>
      <c r="H22" s="599"/>
      <c r="I22" s="601"/>
      <c r="J22" s="602"/>
      <c r="K22" s="597"/>
      <c r="L22" s="599"/>
      <c r="M22" s="597">
        <f ca="1">IF(NOT(ISERROR(MATCH(L22,_xlfn.ANCHORARRAY(G25),0))),#REF!&amp;"Por favor no seleccionar los criterios de impacto",L22)</f>
        <v>0</v>
      </c>
      <c r="N22" s="602"/>
      <c r="O22" s="597"/>
      <c r="P22" s="596"/>
      <c r="Q22" s="278">
        <v>2</v>
      </c>
      <c r="R22" s="279"/>
      <c r="S22" s="280" t="str">
        <f t="shared" si="1"/>
        <v/>
      </c>
      <c r="T22" s="281"/>
      <c r="U22" s="281"/>
      <c r="V22" s="282" t="str">
        <f t="shared" ref="V22" si="44">IF(AND(T22="Preventivo",U22="Automático"),"50%",IF(AND(T22="Preventivo",U22="Manual"),"40%",IF(AND(T22="Detectivo",U22="Automático"),"40%",IF(AND(T22="Detectivo",U22="Manual"),"30%",IF(AND(T22="Correctivo",U22="Automático"),"35%",IF(AND(T22="Correctivo",U22="Manual"),"25%",""))))))</f>
        <v/>
      </c>
      <c r="W22" s="281"/>
      <c r="X22" s="281"/>
      <c r="Y22" s="281"/>
      <c r="Z22" s="283" t="str">
        <f>IFERROR(IF(AND(S21="Probabilidad",S22="Probabilidad"),(AB21-(+AB21*V22)),IF(S22="Probabilidad",(K21-(+K21*V22)),IF(S22="Impacto",AB21,""))),"")</f>
        <v/>
      </c>
      <c r="AA22" s="284" t="str">
        <f t="shared" si="3"/>
        <v/>
      </c>
      <c r="AB22" s="282" t="str">
        <f t="shared" ref="AB22" si="45">+Z22</f>
        <v/>
      </c>
      <c r="AC22" s="284" t="str">
        <f t="shared" si="5"/>
        <v/>
      </c>
      <c r="AD22" s="282" t="str">
        <f>IFERROR(IF(AND(S21="Impacto",S22="Impacto"),(AD19-(+AD19*V22)),IF(S22="Impacto",($O$21-(+$O$21*V22)),IF(S22="Probabilidad",AD19,""))),"")</f>
        <v/>
      </c>
      <c r="AE22" s="285" t="str">
        <f t="shared" ref="AE22" si="46">IFERROR(IF(OR(AND(AA22="Muy Baja",AC22="Leve"),AND(AA22="Muy Baja",AC22="Menor"),AND(AA22="Baja",AC22="Leve")),"Bajo",IF(OR(AND(AA22="Muy baja",AC22="Moderado"),AND(AA22="Baja",AC22="Menor"),AND(AA22="Baja",AC22="Moderado"),AND(AA22="Media",AC22="Leve"),AND(AA22="Media",AC22="Menor"),AND(AA22="Media",AC22="Moderado"),AND(AA22="Alta",AC22="Leve"),AND(AA22="Alta",AC22="Menor")),"Moderado",IF(OR(AND(AA22="Muy Baja",AC22="Mayor"),AND(AA22="Baja",AC22="Mayor"),AND(AA22="Media",AC22="Mayor"),AND(AA22="Alta",AC22="Moderado"),AND(AA22="Alta",AC22="Mayor"),AND(AA22="Muy Alta",AC22="Leve"),AND(AA22="Muy Alta",AC22="Menor"),AND(AA22="Muy Alta",AC22="Moderado"),AND(AA22="Muy Alta",AC22="Mayor")),"Alto",IF(OR(AND(AA22="Muy Baja",AC22="Catastrófico"),AND(AA22="Baja",AC22="Catastrófico"),AND(AA22="Media",AC22="Catastrófico"),AND(AA22="Alta",AC22="Catastrófico"),AND(AA22="Muy Alta",AC22="Catastrófico")),"Extremo","")))),"")</f>
        <v/>
      </c>
      <c r="AF22" s="281"/>
      <c r="AG22" s="286"/>
      <c r="AH22" s="286"/>
      <c r="AI22" s="287"/>
      <c r="AJ22" s="288"/>
      <c r="AK22" s="288"/>
      <c r="AL22" s="288"/>
      <c r="AM22" s="286"/>
      <c r="AN22" s="289"/>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324"/>
    </row>
    <row r="23" spans="1:74" s="293" customFormat="1" ht="69" customHeight="1" x14ac:dyDescent="0.2">
      <c r="A23" s="598">
        <v>7</v>
      </c>
      <c r="B23" s="599"/>
      <c r="C23" s="599"/>
      <c r="D23" s="599"/>
      <c r="E23" s="286"/>
      <c r="F23" s="286"/>
      <c r="G23" s="600"/>
      <c r="H23" s="599"/>
      <c r="I23" s="601"/>
      <c r="J23" s="602" t="str">
        <f t="shared" ref="J23" si="47">IF(I23&lt;=0,"",IF(I23&lt;=2,"Muy Baja",IF(I23&lt;=24,"Baja",IF(I23&lt;=500,"Media",IF(I23&lt;=5000,"Alta","Muy Alta")))))</f>
        <v/>
      </c>
      <c r="K23" s="597" t="str">
        <f t="shared" ref="K23" si="48">IF(J23="","",IF(J23="Muy Baja",0.2,IF(J23="Baja",0.4,IF(J23="Media",0.6,IF(J23="Alta",0.8,IF(J23="Muy Alta",1,))))))</f>
        <v/>
      </c>
      <c r="L23" s="599"/>
      <c r="M23" s="597">
        <f>IF(NOT(ISERROR(MATCH(L23,'[2]Tabla Impacto'!$B$221:$B$223,0))),'[2]Tabla Impacto'!$F$223&amp;"Por favor no seleccionar los criterios de impacto(Afectación Económica o presupuestal y Pérdida Reputacional)",L23)</f>
        <v>0</v>
      </c>
      <c r="N23" s="602" t="str">
        <f t="shared" ref="N23" si="49">IF(L23&lt;=0,"",IF(L23&lt;=10,"Leve",IF(L23&lt;=50,"Menor",IF(L23&lt;=100,"Moderado",IF(L23&lt;=500,"Mayor","Catastrófico")))))</f>
        <v/>
      </c>
      <c r="O23" s="597" t="str">
        <f t="shared" ref="O23" si="50">IF(N23="","",IF(N23="Leve",0.2,IF(N23="Menor",0.4,IF(N23="Moderado",0.6,IF(N23="Mayor",0.8,IF(N23="Catastrófico",1,))))))</f>
        <v/>
      </c>
      <c r="P23" s="596" t="str">
        <f t="shared" ref="P23" si="51">IF(OR(AND(J23="Muy Baja",N23="Leve"),AND(J23="Muy Baja",N23="Menor"),AND(J23="Baja",N23="Leve")),"Bajo",IF(OR(AND(J23="Muy baja",N23="Moderado"),AND(J23="Baja",N23="Menor"),AND(J23="Baja",N23="Moderado"),AND(J23="Media",N23="Leve"),AND(J23="Media",N23="Menor"),AND(J23="Media",N23="Moderado"),AND(J23="Alta",N23="Leve"),AND(J23="Alta",N23="Menor")),"Moderado",IF(OR(AND(J23="Muy Baja",N23="Mayor"),AND(J23="Baja",N23="Mayor"),AND(J23="Media",N23="Mayor"),AND(J23="Alta",N23="Moderado"),AND(J23="Alta",N23="Mayor"),AND(J23="Muy Alta",N23="Leve"),AND(J23="Muy Alta",N23="Menor"),AND(J23="Muy Alta",N23="Moderado"),AND(J23="Muy Alta",N23="Mayor")),"Alto",IF(OR(AND(J23="Muy Baja",N23="Catastrófico"),AND(J23="Baja",N23="Catastrófico"),AND(J23="Media",N23="Catastrófico"),AND(J23="Alta",N23="Catastrófico"),AND(J23="Muy Alta",N23="Catastrófico")),"Extremo",""))))</f>
        <v/>
      </c>
      <c r="Q23" s="278">
        <v>1</v>
      </c>
      <c r="R23" s="279"/>
      <c r="S23" s="280" t="str">
        <f t="shared" si="1"/>
        <v/>
      </c>
      <c r="T23" s="281"/>
      <c r="U23" s="281"/>
      <c r="V23" s="282" t="str">
        <f>IF(AND(T23="Preventivo",U23="Automático"),"50%",IF(AND(T23="Preventivo",U23="Manual"),"40%",IF(AND(T23="Detectivo",U23="Automático"),"40%",IF(AND(T23="Detectivo",U23="Manual"),"30%",IF(AND(T23="Correctivo",U23="Automático"),"35%",IF(AND(T23="Correctivo",U23="Manual"),"25%",""))))))</f>
        <v/>
      </c>
      <c r="W23" s="281"/>
      <c r="X23" s="281"/>
      <c r="Y23" s="281"/>
      <c r="Z23" s="283" t="str">
        <f>IFERROR(IF(S23="Probabilidad",(K23-(+K23*V23)),IF(S23="Impacto",K23,"")),"")</f>
        <v/>
      </c>
      <c r="AA23" s="284" t="str">
        <f>IFERROR(IF(Z23="","",IF(Z23&lt;=0.2,"Muy Baja",IF(Z23&lt;=0.4,"Baja",IF(Z23&lt;=0.6,"Media",IF(Z23&lt;=0.8,"Alta","Muy Alta"))))),"")</f>
        <v/>
      </c>
      <c r="AB23" s="282" t="str">
        <f>+Z23</f>
        <v/>
      </c>
      <c r="AC23" s="284" t="str">
        <f>IFERROR(IF(AD23="","",IF(AD23&lt;=0.2,"Leve",IF(AD23&lt;=0.4,"Menor",IF(AD23&lt;=0.6,"Moderado",IF(AD23&lt;=0.8,"Mayor","Catastrófico"))))),"")</f>
        <v/>
      </c>
      <c r="AD23" s="282" t="str">
        <f>IFERROR(IF(S23="Impacto",(O23-(+O23*V23)),IF(S23="Probabilidad",O23,"")),"")</f>
        <v/>
      </c>
      <c r="AE23" s="285" t="str">
        <f>IFERROR(IF(OR(AND(AA23="Muy Baja",AC23="Leve"),AND(AA23="Muy Baja",AC23="Menor"),AND(AA23="Baja",AC23="Leve")),"Bajo",IF(OR(AND(AA23="Muy baja",AC23="Moderado"),AND(AA23="Baja",AC23="Menor"),AND(AA23="Baja",AC23="Moderado"),AND(AA23="Media",AC23="Leve"),AND(AA23="Media",AC23="Menor"),AND(AA23="Media",AC23="Moderado"),AND(AA23="Alta",AC23="Leve"),AND(AA23="Alta",AC23="Menor")),"Moderado",IF(OR(AND(AA23="Muy Baja",AC23="Mayor"),AND(AA23="Baja",AC23="Mayor"),AND(AA23="Media",AC23="Mayor"),AND(AA23="Alta",AC23="Moderado"),AND(AA23="Alta",AC23="Mayor"),AND(AA23="Muy Alta",AC23="Leve"),AND(AA23="Muy Alta",AC23="Menor"),AND(AA23="Muy Alta",AC23="Moderado"),AND(AA23="Muy Alta",AC23="Mayor")),"Alto",IF(OR(AND(AA23="Muy Baja",AC23="Catastrófico"),AND(AA23="Baja",AC23="Catastrófico"),AND(AA23="Media",AC23="Catastrófico"),AND(AA23="Alta",AC23="Catastrófico"),AND(AA23="Muy Alta",AC23="Catastrófico")),"Extremo","")))),"")</f>
        <v/>
      </c>
      <c r="AF23" s="281"/>
      <c r="AG23" s="286"/>
      <c r="AH23" s="286"/>
      <c r="AI23" s="287"/>
      <c r="AJ23" s="288"/>
      <c r="AK23" s="288"/>
      <c r="AL23" s="288"/>
      <c r="AM23" s="286"/>
      <c r="AN23" s="289"/>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324"/>
    </row>
    <row r="24" spans="1:74" s="293" customFormat="1" ht="69" customHeight="1" x14ac:dyDescent="0.2">
      <c r="A24" s="598"/>
      <c r="B24" s="599"/>
      <c r="C24" s="599"/>
      <c r="D24" s="599"/>
      <c r="E24" s="286"/>
      <c r="F24" s="286"/>
      <c r="G24" s="600"/>
      <c r="H24" s="599"/>
      <c r="I24" s="601"/>
      <c r="J24" s="602"/>
      <c r="K24" s="597"/>
      <c r="L24" s="599"/>
      <c r="M24" s="597">
        <f ca="1">IF(NOT(ISERROR(MATCH(L24,_xlfn.ANCHORARRAY(G27),0))),#REF!&amp;"Por favor no seleccionar los criterios de impacto",L24)</f>
        <v>0</v>
      </c>
      <c r="N24" s="602"/>
      <c r="O24" s="597"/>
      <c r="P24" s="596"/>
      <c r="Q24" s="278">
        <v>2</v>
      </c>
      <c r="R24" s="279"/>
      <c r="S24" s="280" t="str">
        <f t="shared" si="1"/>
        <v/>
      </c>
      <c r="T24" s="281"/>
      <c r="U24" s="281"/>
      <c r="V24" s="282" t="str">
        <f t="shared" ref="V24" si="52">IF(AND(T24="Preventivo",U24="Automático"),"50%",IF(AND(T24="Preventivo",U24="Manual"),"40%",IF(AND(T24="Detectivo",U24="Automático"),"40%",IF(AND(T24="Detectivo",U24="Manual"),"30%",IF(AND(T24="Correctivo",U24="Automático"),"35%",IF(AND(T24="Correctivo",U24="Manual"),"25%",""))))))</f>
        <v/>
      </c>
      <c r="W24" s="281"/>
      <c r="X24" s="281"/>
      <c r="Y24" s="281"/>
      <c r="Z24" s="283" t="str">
        <f>IFERROR(IF(AND(S23="Probabilidad",S24="Probabilidad"),(AB23-(+AB23*V24)),IF(S24="Probabilidad",(K23-(+K23*V24)),IF(S24="Impacto",AB23,""))),"")</f>
        <v/>
      </c>
      <c r="AA24" s="284" t="str">
        <f t="shared" si="3"/>
        <v/>
      </c>
      <c r="AB24" s="282" t="str">
        <f t="shared" ref="AB24" si="53">+Z24</f>
        <v/>
      </c>
      <c r="AC24" s="284" t="str">
        <f t="shared" si="5"/>
        <v/>
      </c>
      <c r="AD24" s="282" t="str">
        <f>IFERROR(IF(AND(S23="Impacto",S24="Impacto"),(AD21-(+AD21*V24)),IF(S24="Impacto",($O$23-(+$O$23*V24)),IF(S24="Probabilidad",AD21,""))),"")</f>
        <v/>
      </c>
      <c r="AE24" s="285" t="str">
        <f t="shared" ref="AE24" si="54">IFERROR(IF(OR(AND(AA24="Muy Baja",AC24="Leve"),AND(AA24="Muy Baja",AC24="Menor"),AND(AA24="Baja",AC24="Leve")),"Bajo",IF(OR(AND(AA24="Muy baja",AC24="Moderado"),AND(AA24="Baja",AC24="Menor"),AND(AA24="Baja",AC24="Moderado"),AND(AA24="Media",AC24="Leve"),AND(AA24="Media",AC24="Menor"),AND(AA24="Media",AC24="Moderado"),AND(AA24="Alta",AC24="Leve"),AND(AA24="Alta",AC24="Menor")),"Moderado",IF(OR(AND(AA24="Muy Baja",AC24="Mayor"),AND(AA24="Baja",AC24="Mayor"),AND(AA24="Media",AC24="Mayor"),AND(AA24="Alta",AC24="Moderado"),AND(AA24="Alta",AC24="Mayor"),AND(AA24="Muy Alta",AC24="Leve"),AND(AA24="Muy Alta",AC24="Menor"),AND(AA24="Muy Alta",AC24="Moderado"),AND(AA24="Muy Alta",AC24="Mayor")),"Alto",IF(OR(AND(AA24="Muy Baja",AC24="Catastrófico"),AND(AA24="Baja",AC24="Catastrófico"),AND(AA24="Media",AC24="Catastrófico"),AND(AA24="Alta",AC24="Catastrófico"),AND(AA24="Muy Alta",AC24="Catastrófico")),"Extremo","")))),"")</f>
        <v/>
      </c>
      <c r="AF24" s="281"/>
      <c r="AG24" s="286"/>
      <c r="AH24" s="286"/>
      <c r="AI24" s="287"/>
      <c r="AJ24" s="288"/>
      <c r="AK24" s="288"/>
      <c r="AL24" s="288"/>
      <c r="AM24" s="286"/>
      <c r="AN24" s="289"/>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324"/>
    </row>
    <row r="25" spans="1:74" s="293" customFormat="1" ht="69" customHeight="1" x14ac:dyDescent="0.2">
      <c r="A25" s="598">
        <v>8</v>
      </c>
      <c r="B25" s="599"/>
      <c r="C25" s="599"/>
      <c r="D25" s="599"/>
      <c r="E25" s="286"/>
      <c r="F25" s="286"/>
      <c r="G25" s="600"/>
      <c r="H25" s="599"/>
      <c r="I25" s="601"/>
      <c r="J25" s="602" t="str">
        <f t="shared" ref="J25" si="55">IF(I25&lt;=0,"",IF(I25&lt;=2,"Muy Baja",IF(I25&lt;=24,"Baja",IF(I25&lt;=500,"Media",IF(I25&lt;=5000,"Alta","Muy Alta")))))</f>
        <v/>
      </c>
      <c r="K25" s="597" t="str">
        <f t="shared" ref="K25" si="56">IF(J25="","",IF(J25="Muy Baja",0.2,IF(J25="Baja",0.4,IF(J25="Media",0.6,IF(J25="Alta",0.8,IF(J25="Muy Alta",1,))))))</f>
        <v/>
      </c>
      <c r="L25" s="599"/>
      <c r="M25" s="597">
        <f>IF(NOT(ISERROR(MATCH(L25,'[2]Tabla Impacto'!$B$221:$B$223,0))),'[2]Tabla Impacto'!$F$223&amp;"Por favor no seleccionar los criterios de impacto(Afectación Económica o presupuestal y Pérdida Reputacional)",L25)</f>
        <v>0</v>
      </c>
      <c r="N25" s="602" t="str">
        <f t="shared" ref="N25" si="57">IF(L25&lt;=0,"",IF(L25&lt;=10,"Leve",IF(L25&lt;=50,"Menor",IF(L25&lt;=100,"Moderado",IF(L25&lt;=500,"Mayor","Catastrófico")))))</f>
        <v/>
      </c>
      <c r="O25" s="597" t="str">
        <f t="shared" ref="O25" si="58">IF(N25="","",IF(N25="Leve",0.2,IF(N25="Menor",0.4,IF(N25="Moderado",0.6,IF(N25="Mayor",0.8,IF(N25="Catastrófico",1,))))))</f>
        <v/>
      </c>
      <c r="P25" s="596" t="str">
        <f t="shared" ref="P25" si="59">IF(OR(AND(J25="Muy Baja",N25="Leve"),AND(J25="Muy Baja",N25="Menor"),AND(J25="Baja",N25="Leve")),"Bajo",IF(OR(AND(J25="Muy baja",N25="Moderado"),AND(J25="Baja",N25="Menor"),AND(J25="Baja",N25="Moderado"),AND(J25="Media",N25="Leve"),AND(J25="Media",N25="Menor"),AND(J25="Media",N25="Moderado"),AND(J25="Alta",N25="Leve"),AND(J25="Alta",N25="Menor")),"Moderado",IF(OR(AND(J25="Muy Baja",N25="Mayor"),AND(J25="Baja",N25="Mayor"),AND(J25="Media",N25="Mayor"),AND(J25="Alta",N25="Moderado"),AND(J25="Alta",N25="Mayor"),AND(J25="Muy Alta",N25="Leve"),AND(J25="Muy Alta",N25="Menor"),AND(J25="Muy Alta",N25="Moderado"),AND(J25="Muy Alta",N25="Mayor")),"Alto",IF(OR(AND(J25="Muy Baja",N25="Catastrófico"),AND(J25="Baja",N25="Catastrófico"),AND(J25="Media",N25="Catastrófico"),AND(J25="Alta",N25="Catastrófico"),AND(J25="Muy Alta",N25="Catastrófico")),"Extremo",""))))</f>
        <v/>
      </c>
      <c r="Q25" s="278">
        <v>1</v>
      </c>
      <c r="R25" s="279"/>
      <c r="S25" s="280" t="str">
        <f t="shared" si="1"/>
        <v/>
      </c>
      <c r="T25" s="281"/>
      <c r="U25" s="281"/>
      <c r="V25" s="282" t="str">
        <f>IF(AND(T25="Preventivo",U25="Automático"),"50%",IF(AND(T25="Preventivo",U25="Manual"),"40%",IF(AND(T25="Detectivo",U25="Automático"),"40%",IF(AND(T25="Detectivo",U25="Manual"),"30%",IF(AND(T25="Correctivo",U25="Automático"),"35%",IF(AND(T25="Correctivo",U25="Manual"),"25%",""))))))</f>
        <v/>
      </c>
      <c r="W25" s="281"/>
      <c r="X25" s="281"/>
      <c r="Y25" s="281"/>
      <c r="Z25" s="283" t="str">
        <f>IFERROR(IF(S25="Probabilidad",(K25-(+K25*V25)),IF(S25="Impacto",K25,"")),"")</f>
        <v/>
      </c>
      <c r="AA25" s="284" t="str">
        <f>IFERROR(IF(Z25="","",IF(Z25&lt;=0.2,"Muy Baja",IF(Z25&lt;=0.4,"Baja",IF(Z25&lt;=0.6,"Media",IF(Z25&lt;=0.8,"Alta","Muy Alta"))))),"")</f>
        <v/>
      </c>
      <c r="AB25" s="282" t="str">
        <f>+Z25</f>
        <v/>
      </c>
      <c r="AC25" s="284" t="str">
        <f>IFERROR(IF(AD25="","",IF(AD25&lt;=0.2,"Leve",IF(AD25&lt;=0.4,"Menor",IF(AD25&lt;=0.6,"Moderado",IF(AD25&lt;=0.8,"Mayor","Catastrófico"))))),"")</f>
        <v/>
      </c>
      <c r="AD25" s="282" t="str">
        <f>IFERROR(IF(S25="Impacto",(O25-(+O25*V25)),IF(S25="Probabilidad",O25,"")),"")</f>
        <v/>
      </c>
      <c r="AE25" s="285" t="str">
        <f>IFERROR(IF(OR(AND(AA25="Muy Baja",AC25="Leve"),AND(AA25="Muy Baja",AC25="Menor"),AND(AA25="Baja",AC25="Leve")),"Bajo",IF(OR(AND(AA25="Muy baja",AC25="Moderado"),AND(AA25="Baja",AC25="Menor"),AND(AA25="Baja",AC25="Moderado"),AND(AA25="Media",AC25="Leve"),AND(AA25="Media",AC25="Menor"),AND(AA25="Media",AC25="Moderado"),AND(AA25="Alta",AC25="Leve"),AND(AA25="Alta",AC25="Menor")),"Moderado",IF(OR(AND(AA25="Muy Baja",AC25="Mayor"),AND(AA25="Baja",AC25="Mayor"),AND(AA25="Media",AC25="Mayor"),AND(AA25="Alta",AC25="Moderado"),AND(AA25="Alta",AC25="Mayor"),AND(AA25="Muy Alta",AC25="Leve"),AND(AA25="Muy Alta",AC25="Menor"),AND(AA25="Muy Alta",AC25="Moderado"),AND(AA25="Muy Alta",AC25="Mayor")),"Alto",IF(OR(AND(AA25="Muy Baja",AC25="Catastrófico"),AND(AA25="Baja",AC25="Catastrófico"),AND(AA25="Media",AC25="Catastrófico"),AND(AA25="Alta",AC25="Catastrófico"),AND(AA25="Muy Alta",AC25="Catastrófico")),"Extremo","")))),"")</f>
        <v/>
      </c>
      <c r="AF25" s="281"/>
      <c r="AG25" s="286"/>
      <c r="AH25" s="286"/>
      <c r="AI25" s="287"/>
      <c r="AJ25" s="288"/>
      <c r="AK25" s="288"/>
      <c r="AL25" s="288"/>
      <c r="AM25" s="286"/>
      <c r="AN25" s="289"/>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324"/>
    </row>
    <row r="26" spans="1:74" s="293" customFormat="1" ht="69" customHeight="1" x14ac:dyDescent="0.2">
      <c r="A26" s="598"/>
      <c r="B26" s="599"/>
      <c r="C26" s="599"/>
      <c r="D26" s="599"/>
      <c r="E26" s="286"/>
      <c r="F26" s="286"/>
      <c r="G26" s="600"/>
      <c r="H26" s="599"/>
      <c r="I26" s="601"/>
      <c r="J26" s="602"/>
      <c r="K26" s="597"/>
      <c r="L26" s="599"/>
      <c r="M26" s="597">
        <f ca="1">IF(NOT(ISERROR(MATCH(L26,_xlfn.ANCHORARRAY(G29),0))),#REF!&amp;"Por favor no seleccionar los criterios de impacto",L26)</f>
        <v>0</v>
      </c>
      <c r="N26" s="602"/>
      <c r="O26" s="597"/>
      <c r="P26" s="596"/>
      <c r="Q26" s="278">
        <v>2</v>
      </c>
      <c r="R26" s="279"/>
      <c r="S26" s="280" t="str">
        <f t="shared" si="1"/>
        <v/>
      </c>
      <c r="T26" s="281"/>
      <c r="U26" s="281"/>
      <c r="V26" s="282" t="str">
        <f t="shared" ref="V26" si="60">IF(AND(T26="Preventivo",U26="Automático"),"50%",IF(AND(T26="Preventivo",U26="Manual"),"40%",IF(AND(T26="Detectivo",U26="Automático"),"40%",IF(AND(T26="Detectivo",U26="Manual"),"30%",IF(AND(T26="Correctivo",U26="Automático"),"35%",IF(AND(T26="Correctivo",U26="Manual"),"25%",""))))))</f>
        <v/>
      </c>
      <c r="W26" s="281"/>
      <c r="X26" s="281"/>
      <c r="Y26" s="281"/>
      <c r="Z26" s="283" t="str">
        <f>IFERROR(IF(AND(S25="Probabilidad",S26="Probabilidad"),(AB25-(+AB25*V26)),IF(S26="Probabilidad",(K25-(+K25*V26)),IF(S26="Impacto",AB25,""))),"")</f>
        <v/>
      </c>
      <c r="AA26" s="284" t="str">
        <f t="shared" si="3"/>
        <v/>
      </c>
      <c r="AB26" s="282" t="str">
        <f t="shared" ref="AB26" si="61">+Z26</f>
        <v/>
      </c>
      <c r="AC26" s="284" t="str">
        <f t="shared" si="5"/>
        <v/>
      </c>
      <c r="AD26" s="282" t="str">
        <f>IFERROR(IF(AND(S25="Impacto",S26="Impacto"),(AD23-(+AD23*V26)),IF(S26="Impacto",($O$25-(+$O$25*V26)),IF(S26="Probabilidad",AD23,""))),"")</f>
        <v/>
      </c>
      <c r="AE26" s="285" t="str">
        <f t="shared" ref="AE26" si="62">IFERROR(IF(OR(AND(AA26="Muy Baja",AC26="Leve"),AND(AA26="Muy Baja",AC26="Menor"),AND(AA26="Baja",AC26="Leve")),"Bajo",IF(OR(AND(AA26="Muy baja",AC26="Moderado"),AND(AA26="Baja",AC26="Menor"),AND(AA26="Baja",AC26="Moderado"),AND(AA26="Media",AC26="Leve"),AND(AA26="Media",AC26="Menor"),AND(AA26="Media",AC26="Moderado"),AND(AA26="Alta",AC26="Leve"),AND(AA26="Alta",AC26="Menor")),"Moderado",IF(OR(AND(AA26="Muy Baja",AC26="Mayor"),AND(AA26="Baja",AC26="Mayor"),AND(AA26="Media",AC26="Mayor"),AND(AA26="Alta",AC26="Moderado"),AND(AA26="Alta",AC26="Mayor"),AND(AA26="Muy Alta",AC26="Leve"),AND(AA26="Muy Alta",AC26="Menor"),AND(AA26="Muy Alta",AC26="Moderado"),AND(AA26="Muy Alta",AC26="Mayor")),"Alto",IF(OR(AND(AA26="Muy Baja",AC26="Catastrófico"),AND(AA26="Baja",AC26="Catastrófico"),AND(AA26="Media",AC26="Catastrófico"),AND(AA26="Alta",AC26="Catastrófico"),AND(AA26="Muy Alta",AC26="Catastrófico")),"Extremo","")))),"")</f>
        <v/>
      </c>
      <c r="AF26" s="281"/>
      <c r="AG26" s="286"/>
      <c r="AH26" s="286"/>
      <c r="AI26" s="287"/>
      <c r="AJ26" s="288"/>
      <c r="AK26" s="288"/>
      <c r="AL26" s="288"/>
      <c r="AM26" s="286"/>
      <c r="AN26" s="289"/>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324"/>
    </row>
    <row r="27" spans="1:74" s="293" customFormat="1" ht="69" customHeight="1" x14ac:dyDescent="0.2">
      <c r="A27" s="598">
        <v>9</v>
      </c>
      <c r="B27" s="599"/>
      <c r="C27" s="599"/>
      <c r="D27" s="599"/>
      <c r="E27" s="734"/>
      <c r="F27" s="734"/>
      <c r="G27" s="600"/>
      <c r="H27" s="599"/>
      <c r="I27" s="601"/>
      <c r="J27" s="602" t="str">
        <f t="shared" ref="J27" si="63">IF(I27&lt;=0,"",IF(I27&lt;=2,"Muy Baja",IF(I27&lt;=24,"Baja",IF(I27&lt;=500,"Media",IF(I27&lt;=5000,"Alta","Muy Alta")))))</f>
        <v/>
      </c>
      <c r="K27" s="597" t="str">
        <f t="shared" ref="K27" si="64">IF(J27="","",IF(J27="Muy Baja",0.2,IF(J27="Baja",0.4,IF(J27="Media",0.6,IF(J27="Alta",0.8,IF(J27="Muy Alta",1,))))))</f>
        <v/>
      </c>
      <c r="L27" s="599"/>
      <c r="M27" s="597">
        <f>IF(NOT(ISERROR(MATCH(L27,'[2]Tabla Impacto'!$B$221:$B$223,0))),'[2]Tabla Impacto'!$F$223&amp;"Por favor no seleccionar los criterios de impacto(Afectación Económica o presupuestal y Pérdida Reputacional)",L27)</f>
        <v>0</v>
      </c>
      <c r="N27" s="602" t="str">
        <f t="shared" ref="N27" si="65">IF(L27&lt;=0,"",IF(L27&lt;=10,"Leve",IF(L27&lt;=50,"Menor",IF(L27&lt;=100,"Moderado",IF(L27&lt;=500,"Mayor","Catastrófico")))))</f>
        <v/>
      </c>
      <c r="O27" s="597" t="str">
        <f t="shared" ref="O27" si="66">IF(N27="","",IF(N27="Leve",0.2,IF(N27="Menor",0.4,IF(N27="Moderado",0.6,IF(N27="Mayor",0.8,IF(N27="Catastrófico",1,))))))</f>
        <v/>
      </c>
      <c r="P27" s="596" t="str">
        <f t="shared" ref="P27" si="67">IF(OR(AND(J27="Muy Baja",N27="Leve"),AND(J27="Muy Baja",N27="Menor"),AND(J27="Baja",N27="Leve")),"Bajo",IF(OR(AND(J27="Muy baja",N27="Moderado"),AND(J27="Baja",N27="Menor"),AND(J27="Baja",N27="Moderado"),AND(J27="Media",N27="Leve"),AND(J27="Media",N27="Menor"),AND(J27="Media",N27="Moderado"),AND(J27="Alta",N27="Leve"),AND(J27="Alta",N27="Menor")),"Moderado",IF(OR(AND(J27="Muy Baja",N27="Mayor"),AND(J27="Baja",N27="Mayor"),AND(J27="Media",N27="Mayor"),AND(J27="Alta",N27="Moderado"),AND(J27="Alta",N27="Mayor"),AND(J27="Muy Alta",N27="Leve"),AND(J27="Muy Alta",N27="Menor"),AND(J27="Muy Alta",N27="Moderado"),AND(J27="Muy Alta",N27="Mayor")),"Alto",IF(OR(AND(J27="Muy Baja",N27="Catastrófico"),AND(J27="Baja",N27="Catastrófico"),AND(J27="Media",N27="Catastrófico"),AND(J27="Alta",N27="Catastrófico"),AND(J27="Muy Alta",N27="Catastrófico")),"Extremo",""))))</f>
        <v/>
      </c>
      <c r="Q27" s="278">
        <v>1</v>
      </c>
      <c r="R27" s="279"/>
      <c r="S27" s="280" t="str">
        <f t="shared" si="1"/>
        <v/>
      </c>
      <c r="T27" s="281"/>
      <c r="U27" s="281"/>
      <c r="V27" s="282" t="str">
        <f>IF(AND(T27="Preventivo",U27="Automático"),"50%",IF(AND(T27="Preventivo",U27="Manual"),"40%",IF(AND(T27="Detectivo",U27="Automático"),"40%",IF(AND(T27="Detectivo",U27="Manual"),"30%",IF(AND(T27="Correctivo",U27="Automático"),"35%",IF(AND(T27="Correctivo",U27="Manual"),"25%",""))))))</f>
        <v/>
      </c>
      <c r="W27" s="281"/>
      <c r="X27" s="281"/>
      <c r="Y27" s="281"/>
      <c r="Z27" s="283" t="str">
        <f>IFERROR(IF(S27="Probabilidad",(K27-(+K27*V27)),IF(S27="Impacto",K27,"")),"")</f>
        <v/>
      </c>
      <c r="AA27" s="284" t="str">
        <f>IFERROR(IF(Z27="","",IF(Z27&lt;=0.2,"Muy Baja",IF(Z27&lt;=0.4,"Baja",IF(Z27&lt;=0.6,"Media",IF(Z27&lt;=0.8,"Alta","Muy Alta"))))),"")</f>
        <v/>
      </c>
      <c r="AB27" s="282" t="str">
        <f>+Z27</f>
        <v/>
      </c>
      <c r="AC27" s="284" t="str">
        <f>IFERROR(IF(AD27="","",IF(AD27&lt;=0.2,"Leve",IF(AD27&lt;=0.4,"Menor",IF(AD27&lt;=0.6,"Moderado",IF(AD27&lt;=0.8,"Mayor","Catastrófico"))))),"")</f>
        <v/>
      </c>
      <c r="AD27" s="282" t="str">
        <f>IFERROR(IF(S27="Impacto",(O27-(+O27*V27)),IF(S27="Probabilidad",O27,"")),"")</f>
        <v/>
      </c>
      <c r="AE27" s="285" t="str">
        <f>IFERROR(IF(OR(AND(AA27="Muy Baja",AC27="Leve"),AND(AA27="Muy Baja",AC27="Menor"),AND(AA27="Baja",AC27="Leve")),"Bajo",IF(OR(AND(AA27="Muy baja",AC27="Moderado"),AND(AA27="Baja",AC27="Menor"),AND(AA27="Baja",AC27="Moderado"),AND(AA27="Media",AC27="Leve"),AND(AA27="Media",AC27="Menor"),AND(AA27="Media",AC27="Moderado"),AND(AA27="Alta",AC27="Leve"),AND(AA27="Alta",AC27="Menor")),"Moderado",IF(OR(AND(AA27="Muy Baja",AC27="Mayor"),AND(AA27="Baja",AC27="Mayor"),AND(AA27="Media",AC27="Mayor"),AND(AA27="Alta",AC27="Moderado"),AND(AA27="Alta",AC27="Mayor"),AND(AA27="Muy Alta",AC27="Leve"),AND(AA27="Muy Alta",AC27="Menor"),AND(AA27="Muy Alta",AC27="Moderado"),AND(AA27="Muy Alta",AC27="Mayor")),"Alto",IF(OR(AND(AA27="Muy Baja",AC27="Catastrófico"),AND(AA27="Baja",AC27="Catastrófico"),AND(AA27="Media",AC27="Catastrófico"),AND(AA27="Alta",AC27="Catastrófico"),AND(AA27="Muy Alta",AC27="Catastrófico")),"Extremo","")))),"")</f>
        <v/>
      </c>
      <c r="AF27" s="281"/>
      <c r="AG27" s="286"/>
      <c r="AH27" s="286"/>
      <c r="AI27" s="287"/>
      <c r="AJ27" s="288"/>
      <c r="AK27" s="288"/>
      <c r="AL27" s="288"/>
      <c r="AM27" s="286"/>
      <c r="AN27" s="289"/>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324"/>
    </row>
    <row r="28" spans="1:74" s="293" customFormat="1" ht="69" customHeight="1" x14ac:dyDescent="0.2">
      <c r="A28" s="598"/>
      <c r="B28" s="599"/>
      <c r="C28" s="599"/>
      <c r="D28" s="599"/>
      <c r="E28" s="735"/>
      <c r="F28" s="735"/>
      <c r="G28" s="600"/>
      <c r="H28" s="599"/>
      <c r="I28" s="601"/>
      <c r="J28" s="602"/>
      <c r="K28" s="597"/>
      <c r="L28" s="599"/>
      <c r="M28" s="597">
        <f ca="1">IF(NOT(ISERROR(MATCH(L28,_xlfn.ANCHORARRAY(G31),0))),#REF!&amp;"Por favor no seleccionar los criterios de impacto",L28)</f>
        <v>0</v>
      </c>
      <c r="N28" s="602"/>
      <c r="O28" s="597"/>
      <c r="P28" s="596"/>
      <c r="Q28" s="278">
        <v>2</v>
      </c>
      <c r="R28" s="279"/>
      <c r="S28" s="280" t="str">
        <f t="shared" si="1"/>
        <v/>
      </c>
      <c r="T28" s="281"/>
      <c r="U28" s="281"/>
      <c r="V28" s="282" t="str">
        <f t="shared" ref="V28" si="68">IF(AND(T28="Preventivo",U28="Automático"),"50%",IF(AND(T28="Preventivo",U28="Manual"),"40%",IF(AND(T28="Detectivo",U28="Automático"),"40%",IF(AND(T28="Detectivo",U28="Manual"),"30%",IF(AND(T28="Correctivo",U28="Automático"),"35%",IF(AND(T28="Correctivo",U28="Manual"),"25%",""))))))</f>
        <v/>
      </c>
      <c r="W28" s="281"/>
      <c r="X28" s="281"/>
      <c r="Y28" s="281"/>
      <c r="Z28" s="283" t="str">
        <f>IFERROR(IF(AND(S27="Probabilidad",S28="Probabilidad"),(AB27-(+AB27*V28)),IF(S28="Probabilidad",(K27-(+K27*V28)),IF(S28="Impacto",AB27,""))),"")</f>
        <v/>
      </c>
      <c r="AA28" s="284" t="str">
        <f t="shared" si="3"/>
        <v/>
      </c>
      <c r="AB28" s="282" t="str">
        <f t="shared" ref="AB28" si="69">+Z28</f>
        <v/>
      </c>
      <c r="AC28" s="284" t="str">
        <f t="shared" si="5"/>
        <v/>
      </c>
      <c r="AD28" s="282" t="str">
        <f>IFERROR(IF(AND(S27="Impacto",S28="Impacto"),(AD25-(+AD25*V28)),IF(S28="Impacto",($O$27-(+$O$27*V28)),IF(S28="Probabilidad",AD25,""))),"")</f>
        <v/>
      </c>
      <c r="AE28" s="285" t="str">
        <f t="shared" ref="AE28" si="70">IFERROR(IF(OR(AND(AA28="Muy Baja",AC28="Leve"),AND(AA28="Muy Baja",AC28="Menor"),AND(AA28="Baja",AC28="Leve")),"Bajo",IF(OR(AND(AA28="Muy baja",AC28="Moderado"),AND(AA28="Baja",AC28="Menor"),AND(AA28="Baja",AC28="Moderado"),AND(AA28="Media",AC28="Leve"),AND(AA28="Media",AC28="Menor"),AND(AA28="Media",AC28="Moderado"),AND(AA28="Alta",AC28="Leve"),AND(AA28="Alta",AC28="Menor")),"Moderado",IF(OR(AND(AA28="Muy Baja",AC28="Mayor"),AND(AA28="Baja",AC28="Mayor"),AND(AA28="Media",AC28="Mayor"),AND(AA28="Alta",AC28="Moderado"),AND(AA28="Alta",AC28="Mayor"),AND(AA28="Muy Alta",AC28="Leve"),AND(AA28="Muy Alta",AC28="Menor"),AND(AA28="Muy Alta",AC28="Moderado"),AND(AA28="Muy Alta",AC28="Mayor")),"Alto",IF(OR(AND(AA28="Muy Baja",AC28="Catastrófico"),AND(AA28="Baja",AC28="Catastrófico"),AND(AA28="Media",AC28="Catastrófico"),AND(AA28="Alta",AC28="Catastrófico"),AND(AA28="Muy Alta",AC28="Catastrófico")),"Extremo","")))),"")</f>
        <v/>
      </c>
      <c r="AF28" s="281"/>
      <c r="AG28" s="286"/>
      <c r="AH28" s="286"/>
      <c r="AI28" s="287"/>
      <c r="AJ28" s="288"/>
      <c r="AK28" s="288"/>
      <c r="AL28" s="288"/>
      <c r="AM28" s="286"/>
      <c r="AN28" s="289"/>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324"/>
    </row>
    <row r="29" spans="1:74" s="293" customFormat="1" ht="69" customHeight="1" x14ac:dyDescent="0.2">
      <c r="A29" s="598">
        <v>10</v>
      </c>
      <c r="B29" s="599"/>
      <c r="C29" s="599"/>
      <c r="D29" s="599"/>
      <c r="E29" s="734"/>
      <c r="F29" s="734"/>
      <c r="G29" s="600"/>
      <c r="H29" s="599"/>
      <c r="I29" s="601"/>
      <c r="J29" s="602" t="str">
        <f t="shared" ref="J29" si="71">IF(I29&lt;=0,"",IF(I29&lt;=2,"Muy Baja",IF(I29&lt;=24,"Baja",IF(I29&lt;=500,"Media",IF(I29&lt;=5000,"Alta","Muy Alta")))))</f>
        <v/>
      </c>
      <c r="K29" s="597" t="str">
        <f t="shared" ref="K29" si="72">IF(J29="","",IF(J29="Muy Baja",0.2,IF(J29="Baja",0.4,IF(J29="Media",0.6,IF(J29="Alta",0.8,IF(J29="Muy Alta",1,))))))</f>
        <v/>
      </c>
      <c r="L29" s="599"/>
      <c r="M29" s="597">
        <f>IF(NOT(ISERROR(MATCH(L29,'[2]Tabla Impacto'!$B$221:$B$223,0))),'[2]Tabla Impacto'!$F$223&amp;"Por favor no seleccionar los criterios de impacto(Afectación Económica o presupuestal y Pérdida Reputacional)",L29)</f>
        <v>0</v>
      </c>
      <c r="N29" s="602" t="str">
        <f t="shared" ref="N29" si="73">IF(L29&lt;=0,"",IF(L29&lt;=10,"Leve",IF(L29&lt;=50,"Menor",IF(L29&lt;=100,"Moderado",IF(L29&lt;=500,"Mayor","Catastrófico")))))</f>
        <v/>
      </c>
      <c r="O29" s="597" t="str">
        <f t="shared" ref="O29" si="74">IF(N29="","",IF(N29="Leve",0.2,IF(N29="Menor",0.4,IF(N29="Moderado",0.6,IF(N29="Mayor",0.8,IF(N29="Catastrófico",1,))))))</f>
        <v/>
      </c>
      <c r="P29" s="596" t="str">
        <f t="shared" ref="P29" si="75">IF(OR(AND(J29="Muy Baja",N29="Leve"),AND(J29="Muy Baja",N29="Menor"),AND(J29="Baja",N29="Leve")),"Bajo",IF(OR(AND(J29="Muy baja",N29="Moderado"),AND(J29="Baja",N29="Menor"),AND(J29="Baja",N29="Moderado"),AND(J29="Media",N29="Leve"),AND(J29="Media",N29="Menor"),AND(J29="Media",N29="Moderado"),AND(J29="Alta",N29="Leve"),AND(J29="Alta",N29="Menor")),"Moderado",IF(OR(AND(J29="Muy Baja",N29="Mayor"),AND(J29="Baja",N29="Mayor"),AND(J29="Media",N29="Mayor"),AND(J29="Alta",N29="Moderado"),AND(J29="Alta",N29="Mayor"),AND(J29="Muy Alta",N29="Leve"),AND(J29="Muy Alta",N29="Menor"),AND(J29="Muy Alta",N29="Moderado"),AND(J29="Muy Alta",N29="Mayor")),"Alto",IF(OR(AND(J29="Muy Baja",N29="Catastrófico"),AND(J29="Baja",N29="Catastrófico"),AND(J29="Media",N29="Catastrófico"),AND(J29="Alta",N29="Catastrófico"),AND(J29="Muy Alta",N29="Catastrófico")),"Extremo",""))))</f>
        <v/>
      </c>
      <c r="Q29" s="278">
        <v>1</v>
      </c>
      <c r="R29" s="279"/>
      <c r="S29" s="280" t="str">
        <f t="shared" si="1"/>
        <v/>
      </c>
      <c r="T29" s="281"/>
      <c r="U29" s="281"/>
      <c r="V29" s="282" t="str">
        <f>IF(AND(T29="Preventivo",U29="Automático"),"50%",IF(AND(T29="Preventivo",U29="Manual"),"40%",IF(AND(T29="Detectivo",U29="Automático"),"40%",IF(AND(T29="Detectivo",U29="Manual"),"30%",IF(AND(T29="Correctivo",U29="Automático"),"35%",IF(AND(T29="Correctivo",U29="Manual"),"25%",""))))))</f>
        <v/>
      </c>
      <c r="W29" s="281"/>
      <c r="X29" s="281"/>
      <c r="Y29" s="281"/>
      <c r="Z29" s="283" t="str">
        <f>IFERROR(IF(S29="Probabilidad",(K29-(+K29*V29)),IF(S29="Impacto",K29,"")),"")</f>
        <v/>
      </c>
      <c r="AA29" s="284" t="str">
        <f>IFERROR(IF(Z29="","",IF(Z29&lt;=0.2,"Muy Baja",IF(Z29&lt;=0.4,"Baja",IF(Z29&lt;=0.6,"Media",IF(Z29&lt;=0.8,"Alta","Muy Alta"))))),"")</f>
        <v/>
      </c>
      <c r="AB29" s="282" t="str">
        <f>+Z29</f>
        <v/>
      </c>
      <c r="AC29" s="284" t="str">
        <f>IFERROR(IF(AD29="","",IF(AD29&lt;=0.2,"Leve",IF(AD29&lt;=0.4,"Menor",IF(AD29&lt;=0.6,"Moderado",IF(AD29&lt;=0.8,"Mayor","Catastrófico"))))),"")</f>
        <v/>
      </c>
      <c r="AD29" s="282" t="str">
        <f>IFERROR(IF(S29="Impacto",(O29-(+O29*V29)),IF(S29="Probabilidad",O29,"")),"")</f>
        <v/>
      </c>
      <c r="AE29" s="285" t="str">
        <f>IFERROR(IF(OR(AND(AA29="Muy Baja",AC29="Leve"),AND(AA29="Muy Baja",AC29="Menor"),AND(AA29="Baja",AC29="Leve")),"Bajo",IF(OR(AND(AA29="Muy baja",AC29="Moderado"),AND(AA29="Baja",AC29="Menor"),AND(AA29="Baja",AC29="Moderado"),AND(AA29="Media",AC29="Leve"),AND(AA29="Media",AC29="Menor"),AND(AA29="Media",AC29="Moderado"),AND(AA29="Alta",AC29="Leve"),AND(AA29="Alta",AC29="Menor")),"Moderado",IF(OR(AND(AA29="Muy Baja",AC29="Mayor"),AND(AA29="Baja",AC29="Mayor"),AND(AA29="Media",AC29="Mayor"),AND(AA29="Alta",AC29="Moderado"),AND(AA29="Alta",AC29="Mayor"),AND(AA29="Muy Alta",AC29="Leve"),AND(AA29="Muy Alta",AC29="Menor"),AND(AA29="Muy Alta",AC29="Moderado"),AND(AA29="Muy Alta",AC29="Mayor")),"Alto",IF(OR(AND(AA29="Muy Baja",AC29="Catastrófico"),AND(AA29="Baja",AC29="Catastrófico"),AND(AA29="Media",AC29="Catastrófico"),AND(AA29="Alta",AC29="Catastrófico"),AND(AA29="Muy Alta",AC29="Catastrófico")),"Extremo","")))),"")</f>
        <v/>
      </c>
      <c r="AF29" s="281"/>
      <c r="AG29" s="286"/>
      <c r="AH29" s="286"/>
      <c r="AI29" s="287"/>
      <c r="AJ29" s="288"/>
      <c r="AK29" s="288"/>
      <c r="AL29" s="288"/>
      <c r="AM29" s="286"/>
      <c r="AN29" s="289"/>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324"/>
    </row>
    <row r="30" spans="1:74" s="293" customFormat="1" ht="69" customHeight="1" x14ac:dyDescent="0.2">
      <c r="A30" s="598"/>
      <c r="B30" s="599"/>
      <c r="C30" s="599"/>
      <c r="D30" s="599"/>
      <c r="E30" s="735"/>
      <c r="F30" s="735"/>
      <c r="G30" s="600"/>
      <c r="H30" s="599"/>
      <c r="I30" s="601"/>
      <c r="J30" s="602"/>
      <c r="K30" s="597"/>
      <c r="L30" s="599"/>
      <c r="M30" s="597">
        <f ca="1">IF(NOT(ISERROR(MATCH(L30,_xlfn.ANCHORARRAY(G33),0))),#REF!&amp;"Por favor no seleccionar los criterios de impacto",L30)</f>
        <v>0</v>
      </c>
      <c r="N30" s="602"/>
      <c r="O30" s="597"/>
      <c r="P30" s="596"/>
      <c r="Q30" s="278">
        <v>2</v>
      </c>
      <c r="R30" s="279"/>
      <c r="S30" s="280" t="str">
        <f t="shared" si="1"/>
        <v/>
      </c>
      <c r="T30" s="281"/>
      <c r="U30" s="281"/>
      <c r="V30" s="282" t="str">
        <f t="shared" ref="V30" si="76">IF(AND(T30="Preventivo",U30="Automático"),"50%",IF(AND(T30="Preventivo",U30="Manual"),"40%",IF(AND(T30="Detectivo",U30="Automático"),"40%",IF(AND(T30="Detectivo",U30="Manual"),"30%",IF(AND(T30="Correctivo",U30="Automático"),"35%",IF(AND(T30="Correctivo",U30="Manual"),"25%",""))))))</f>
        <v/>
      </c>
      <c r="W30" s="281"/>
      <c r="X30" s="281"/>
      <c r="Y30" s="281"/>
      <c r="Z30" s="283" t="str">
        <f>IFERROR(IF(AND(S29="Probabilidad",S30="Probabilidad"),(AB29-(+AB29*V30)),IF(S30="Probabilidad",(K29-(+K29*V30)),IF(S30="Impacto",AB29,""))),"")</f>
        <v/>
      </c>
      <c r="AA30" s="284" t="str">
        <f t="shared" si="3"/>
        <v/>
      </c>
      <c r="AB30" s="282" t="str">
        <f t="shared" ref="AB30" si="77">+Z30</f>
        <v/>
      </c>
      <c r="AC30" s="284" t="str">
        <f t="shared" si="5"/>
        <v/>
      </c>
      <c r="AD30" s="282" t="str">
        <f>IFERROR(IF(AND(S29="Impacto",S30="Impacto"),(AD27-(+AD27*V30)),IF(S30="Impacto",($O$29-(+$O$29*V30)),IF(S30="Probabilidad",AD27,""))),"")</f>
        <v/>
      </c>
      <c r="AE30" s="285" t="str">
        <f t="shared" ref="AE30" si="78">IFERROR(IF(OR(AND(AA30="Muy Baja",AC30="Leve"),AND(AA30="Muy Baja",AC30="Menor"),AND(AA30="Baja",AC30="Leve")),"Bajo",IF(OR(AND(AA30="Muy baja",AC30="Moderado"),AND(AA30="Baja",AC30="Menor"),AND(AA30="Baja",AC30="Moderado"),AND(AA30="Media",AC30="Leve"),AND(AA30="Media",AC30="Menor"),AND(AA30="Media",AC30="Moderado"),AND(AA30="Alta",AC30="Leve"),AND(AA30="Alta",AC30="Menor")),"Moderado",IF(OR(AND(AA30="Muy Baja",AC30="Mayor"),AND(AA30="Baja",AC30="Mayor"),AND(AA30="Media",AC30="Mayor"),AND(AA30="Alta",AC30="Moderado"),AND(AA30="Alta",AC30="Mayor"),AND(AA30="Muy Alta",AC30="Leve"),AND(AA30="Muy Alta",AC30="Menor"),AND(AA30="Muy Alta",AC30="Moderado"),AND(AA30="Muy Alta",AC30="Mayor")),"Alto",IF(OR(AND(AA30="Muy Baja",AC30="Catastrófico"),AND(AA30="Baja",AC30="Catastrófico"),AND(AA30="Media",AC30="Catastrófico"),AND(AA30="Alta",AC30="Catastrófico"),AND(AA30="Muy Alta",AC30="Catastrófico")),"Extremo","")))),"")</f>
        <v/>
      </c>
      <c r="AF30" s="281"/>
      <c r="AG30" s="286"/>
      <c r="AH30" s="286"/>
      <c r="AI30" s="287"/>
      <c r="AJ30" s="288"/>
      <c r="AK30" s="288"/>
      <c r="AL30" s="288"/>
      <c r="AM30" s="286"/>
      <c r="AN30" s="289"/>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324"/>
    </row>
    <row r="32" spans="1:74" x14ac:dyDescent="0.3">
      <c r="A32" s="1"/>
      <c r="B32" s="24"/>
      <c r="C32" s="1"/>
      <c r="D32" s="1"/>
      <c r="E32" s="1"/>
      <c r="F32" s="1"/>
      <c r="H32" s="1"/>
    </row>
    <row r="100" spans="7:11" x14ac:dyDescent="0.3">
      <c r="G100" s="609" t="s">
        <v>469</v>
      </c>
      <c r="H100" s="609"/>
      <c r="I100" s="609"/>
      <c r="J100" s="609"/>
      <c r="K100" s="609"/>
    </row>
    <row r="101" spans="7:11" x14ac:dyDescent="0.3">
      <c r="I101" s="295" t="s">
        <v>13</v>
      </c>
      <c r="J101" s="295" t="s">
        <v>498</v>
      </c>
    </row>
    <row r="102" spans="7:11" x14ac:dyDescent="0.3">
      <c r="G102" s="1" t="s">
        <v>470</v>
      </c>
      <c r="I102" s="1" t="s">
        <v>14</v>
      </c>
      <c r="J102" s="1" t="s">
        <v>491</v>
      </c>
    </row>
    <row r="103" spans="7:11" x14ac:dyDescent="0.3">
      <c r="G103" t="s">
        <v>471</v>
      </c>
      <c r="I103" s="1" t="s">
        <v>15</v>
      </c>
      <c r="J103" s="1" t="s">
        <v>9</v>
      </c>
    </row>
    <row r="104" spans="7:11" x14ac:dyDescent="0.3">
      <c r="G104" s="1" t="s">
        <v>472</v>
      </c>
      <c r="I104" s="1" t="s">
        <v>16</v>
      </c>
    </row>
    <row r="105" spans="7:11" x14ac:dyDescent="0.3">
      <c r="G105" s="1" t="s">
        <v>473</v>
      </c>
    </row>
    <row r="106" spans="7:11" x14ac:dyDescent="0.3">
      <c r="G106" s="1" t="s">
        <v>474</v>
      </c>
      <c r="I106" s="295" t="s">
        <v>18</v>
      </c>
      <c r="J106" s="295" t="s">
        <v>495</v>
      </c>
    </row>
    <row r="107" spans="7:11" x14ac:dyDescent="0.3">
      <c r="G107" s="1" t="s">
        <v>475</v>
      </c>
      <c r="I107" s="1" t="s">
        <v>493</v>
      </c>
      <c r="J107" s="1" t="s">
        <v>22</v>
      </c>
    </row>
    <row r="108" spans="7:11" x14ac:dyDescent="0.3">
      <c r="G108" s="1" t="s">
        <v>476</v>
      </c>
      <c r="I108" s="1" t="s">
        <v>494</v>
      </c>
      <c r="J108" s="1" t="s">
        <v>23</v>
      </c>
    </row>
    <row r="111" spans="7:11" x14ac:dyDescent="0.3">
      <c r="G111" s="140" t="s">
        <v>532</v>
      </c>
      <c r="I111" s="295" t="s">
        <v>496</v>
      </c>
      <c r="J111" s="295" t="s">
        <v>29</v>
      </c>
    </row>
    <row r="112" spans="7:11" x14ac:dyDescent="0.3">
      <c r="G112" s="140"/>
      <c r="I112" s="1" t="s">
        <v>497</v>
      </c>
      <c r="J112" s="1" t="s">
        <v>30</v>
      </c>
    </row>
    <row r="113" spans="7:10" x14ac:dyDescent="0.3">
      <c r="G113" s="155" t="s">
        <v>528</v>
      </c>
      <c r="I113" s="1" t="s">
        <v>27</v>
      </c>
      <c r="J113" s="1" t="s">
        <v>504</v>
      </c>
    </row>
    <row r="114" spans="7:10" x14ac:dyDescent="0.3">
      <c r="G114" s="140" t="s">
        <v>525</v>
      </c>
      <c r="J114" s="1" t="s">
        <v>31</v>
      </c>
    </row>
    <row r="115" spans="7:10" x14ac:dyDescent="0.3">
      <c r="G115" s="140" t="s">
        <v>527</v>
      </c>
      <c r="J115" s="1" t="s">
        <v>505</v>
      </c>
    </row>
    <row r="116" spans="7:10" x14ac:dyDescent="0.3">
      <c r="G116" s="140" t="s">
        <v>526</v>
      </c>
      <c r="J116" s="1" t="s">
        <v>32</v>
      </c>
    </row>
    <row r="118" spans="7:10" x14ac:dyDescent="0.3">
      <c r="G118" s="295" t="s">
        <v>39</v>
      </c>
    </row>
    <row r="119" spans="7:10" x14ac:dyDescent="0.3">
      <c r="G119" s="1" t="s">
        <v>40</v>
      </c>
    </row>
    <row r="120" spans="7:10" x14ac:dyDescent="0.3">
      <c r="G120" s="140" t="s">
        <v>41</v>
      </c>
    </row>
  </sheetData>
  <dataConsolidate/>
  <mergeCells count="201">
    <mergeCell ref="A4:AN5"/>
    <mergeCell ref="A6:B6"/>
    <mergeCell ref="C6:P6"/>
    <mergeCell ref="Q6:S6"/>
    <mergeCell ref="A7:B7"/>
    <mergeCell ref="C7:P7"/>
    <mergeCell ref="A8:I8"/>
    <mergeCell ref="J8:P8"/>
    <mergeCell ref="Q8:Y8"/>
    <mergeCell ref="Z8:AF8"/>
    <mergeCell ref="AG8:AN8"/>
    <mergeCell ref="A9:A10"/>
    <mergeCell ref="B9:B10"/>
    <mergeCell ref="C9:C10"/>
    <mergeCell ref="D9:D10"/>
    <mergeCell ref="G9:G10"/>
    <mergeCell ref="P9:P10"/>
    <mergeCell ref="Q9:Q10"/>
    <mergeCell ref="R9:R10"/>
    <mergeCell ref="S9:S10"/>
    <mergeCell ref="H9:H10"/>
    <mergeCell ref="I9:I10"/>
    <mergeCell ref="J9:J10"/>
    <mergeCell ref="K9:K10"/>
    <mergeCell ref="L9:L10"/>
    <mergeCell ref="M9:M10"/>
    <mergeCell ref="E9:E10"/>
    <mergeCell ref="F9:F10"/>
    <mergeCell ref="AK9:AK10"/>
    <mergeCell ref="AL9:AL10"/>
    <mergeCell ref="AM9:AM10"/>
    <mergeCell ref="AN9:AN10"/>
    <mergeCell ref="A11:A12"/>
    <mergeCell ref="B11:B12"/>
    <mergeCell ref="C11:C12"/>
    <mergeCell ref="D11:D12"/>
    <mergeCell ref="G11:G12"/>
    <mergeCell ref="H11:H12"/>
    <mergeCell ref="AE9:AE10"/>
    <mergeCell ref="AF9:AF10"/>
    <mergeCell ref="AG9:AG10"/>
    <mergeCell ref="AH9:AH10"/>
    <mergeCell ref="AI9:AI10"/>
    <mergeCell ref="AJ9:AJ10"/>
    <mergeCell ref="T9:Y9"/>
    <mergeCell ref="Z9:Z10"/>
    <mergeCell ref="AA9:AA10"/>
    <mergeCell ref="AB9:AB10"/>
    <mergeCell ref="AC9:AC10"/>
    <mergeCell ref="AD9:AD10"/>
    <mergeCell ref="N9:N10"/>
    <mergeCell ref="O9:O10"/>
    <mergeCell ref="L13:L14"/>
    <mergeCell ref="M13:M14"/>
    <mergeCell ref="N13:N14"/>
    <mergeCell ref="O13:O14"/>
    <mergeCell ref="P13:P14"/>
    <mergeCell ref="O11:O12"/>
    <mergeCell ref="P11:P12"/>
    <mergeCell ref="A13:A14"/>
    <mergeCell ref="B13:B14"/>
    <mergeCell ref="C13:C14"/>
    <mergeCell ref="D13:D14"/>
    <mergeCell ref="G13:G14"/>
    <mergeCell ref="H13:H14"/>
    <mergeCell ref="I13:I14"/>
    <mergeCell ref="J13:J14"/>
    <mergeCell ref="I11:I12"/>
    <mergeCell ref="J11:J12"/>
    <mergeCell ref="K11:K12"/>
    <mergeCell ref="L11:L12"/>
    <mergeCell ref="M11:M12"/>
    <mergeCell ref="N11:N12"/>
    <mergeCell ref="E11:E12"/>
    <mergeCell ref="F11:F12"/>
    <mergeCell ref="N17:N18"/>
    <mergeCell ref="O17:O18"/>
    <mergeCell ref="P17:P18"/>
    <mergeCell ref="O15:O16"/>
    <mergeCell ref="P15:P16"/>
    <mergeCell ref="A17:A18"/>
    <mergeCell ref="B17:B18"/>
    <mergeCell ref="C17:C18"/>
    <mergeCell ref="D17:D18"/>
    <mergeCell ref="G17:G18"/>
    <mergeCell ref="H17:H18"/>
    <mergeCell ref="I17:I18"/>
    <mergeCell ref="J17:J18"/>
    <mergeCell ref="I15:I16"/>
    <mergeCell ref="J15:J16"/>
    <mergeCell ref="K15:K16"/>
    <mergeCell ref="L15:L16"/>
    <mergeCell ref="M15:M16"/>
    <mergeCell ref="N15:N16"/>
    <mergeCell ref="A15:A16"/>
    <mergeCell ref="B15:B16"/>
    <mergeCell ref="C15:C16"/>
    <mergeCell ref="D15:D16"/>
    <mergeCell ref="L17:L18"/>
    <mergeCell ref="N21:N22"/>
    <mergeCell ref="O21:O22"/>
    <mergeCell ref="P21:P22"/>
    <mergeCell ref="O19:O20"/>
    <mergeCell ref="P19:P20"/>
    <mergeCell ref="A21:A22"/>
    <mergeCell ref="B21:B22"/>
    <mergeCell ref="C21:C22"/>
    <mergeCell ref="D21:D22"/>
    <mergeCell ref="G21:G22"/>
    <mergeCell ref="H21:H22"/>
    <mergeCell ref="I21:I22"/>
    <mergeCell ref="J21:J22"/>
    <mergeCell ref="I19:I20"/>
    <mergeCell ref="J19:J20"/>
    <mergeCell ref="K19:K20"/>
    <mergeCell ref="L19:L20"/>
    <mergeCell ref="M19:M20"/>
    <mergeCell ref="N19:N20"/>
    <mergeCell ref="A19:A20"/>
    <mergeCell ref="B19:B20"/>
    <mergeCell ref="C19:C20"/>
    <mergeCell ref="D19:D20"/>
    <mergeCell ref="M21:M22"/>
    <mergeCell ref="N25:N26"/>
    <mergeCell ref="O25:O26"/>
    <mergeCell ref="P25:P26"/>
    <mergeCell ref="O23:O24"/>
    <mergeCell ref="P23:P24"/>
    <mergeCell ref="A25:A26"/>
    <mergeCell ref="B25:B26"/>
    <mergeCell ref="C25:C26"/>
    <mergeCell ref="D25:D26"/>
    <mergeCell ref="G25:G26"/>
    <mergeCell ref="H25:H26"/>
    <mergeCell ref="I25:I26"/>
    <mergeCell ref="J25:J26"/>
    <mergeCell ref="I23:I24"/>
    <mergeCell ref="J23:J24"/>
    <mergeCell ref="K23:K24"/>
    <mergeCell ref="L23:L24"/>
    <mergeCell ref="M23:M24"/>
    <mergeCell ref="N23:N24"/>
    <mergeCell ref="A23:A24"/>
    <mergeCell ref="B23:B24"/>
    <mergeCell ref="C23:C24"/>
    <mergeCell ref="D23:D24"/>
    <mergeCell ref="M25:M26"/>
    <mergeCell ref="N29:N30"/>
    <mergeCell ref="O29:O30"/>
    <mergeCell ref="P29:P30"/>
    <mergeCell ref="O27:O28"/>
    <mergeCell ref="P27:P28"/>
    <mergeCell ref="A29:A30"/>
    <mergeCell ref="B29:B30"/>
    <mergeCell ref="C29:C30"/>
    <mergeCell ref="D29:D30"/>
    <mergeCell ref="G29:G30"/>
    <mergeCell ref="H29:H30"/>
    <mergeCell ref="I29:I30"/>
    <mergeCell ref="J29:J30"/>
    <mergeCell ref="I27:I28"/>
    <mergeCell ref="J27:J28"/>
    <mergeCell ref="K27:K28"/>
    <mergeCell ref="L27:L28"/>
    <mergeCell ref="M27:M28"/>
    <mergeCell ref="N27:N28"/>
    <mergeCell ref="A27:A28"/>
    <mergeCell ref="B27:B28"/>
    <mergeCell ref="C27:C28"/>
    <mergeCell ref="D27:D28"/>
    <mergeCell ref="M29:M30"/>
    <mergeCell ref="M17:M18"/>
    <mergeCell ref="L29:L30"/>
    <mergeCell ref="G27:G28"/>
    <mergeCell ref="H27:H28"/>
    <mergeCell ref="K25:K26"/>
    <mergeCell ref="L25:L26"/>
    <mergeCell ref="G23:G24"/>
    <mergeCell ref="H23:H24"/>
    <mergeCell ref="K21:K22"/>
    <mergeCell ref="L21:L22"/>
    <mergeCell ref="G100:K100"/>
    <mergeCell ref="E13:E14"/>
    <mergeCell ref="F13:F14"/>
    <mergeCell ref="E15:E16"/>
    <mergeCell ref="K29:K30"/>
    <mergeCell ref="G19:G20"/>
    <mergeCell ref="H19:H20"/>
    <mergeCell ref="K17:K18"/>
    <mergeCell ref="K13:K14"/>
    <mergeCell ref="G15:G16"/>
    <mergeCell ref="H15:H16"/>
    <mergeCell ref="F15:F16"/>
    <mergeCell ref="F29:F30"/>
    <mergeCell ref="E29:E30"/>
    <mergeCell ref="E17:E18"/>
    <mergeCell ref="F17:F18"/>
    <mergeCell ref="E19:E20"/>
    <mergeCell ref="F19:F20"/>
    <mergeCell ref="E27:E28"/>
    <mergeCell ref="F27:F28"/>
  </mergeCells>
  <conditionalFormatting sqref="J11 AA27:AA28 J13 J15 J17 J19 J21 J23 J25 J27 J29">
    <cfRule type="cellIs" dxfId="165" priority="137" operator="equal">
      <formula>"Muy Alta"</formula>
    </cfRule>
    <cfRule type="cellIs" dxfId="164" priority="138" operator="equal">
      <formula>"Alta"</formula>
    </cfRule>
    <cfRule type="cellIs" dxfId="163" priority="139" operator="equal">
      <formula>"Media"</formula>
    </cfRule>
    <cfRule type="cellIs" dxfId="162" priority="140" operator="equal">
      <formula>"Baja"</formula>
    </cfRule>
    <cfRule type="cellIs" dxfId="161" priority="141" operator="equal">
      <formula>"Muy Baja"</formula>
    </cfRule>
  </conditionalFormatting>
  <conditionalFormatting sqref="N11 AC27:AC28 N13 N15 N17 N19 N21 N23 N25 N27 N29">
    <cfRule type="cellIs" dxfId="160" priority="132" operator="equal">
      <formula>"Catastrófico"</formula>
    </cfRule>
    <cfRule type="cellIs" dxfId="159" priority="133" operator="equal">
      <formula>"Mayor"</formula>
    </cfRule>
    <cfRule type="cellIs" dxfId="158" priority="134" operator="equal">
      <formula>"Moderado"</formula>
    </cfRule>
    <cfRule type="cellIs" dxfId="157" priority="135" operator="equal">
      <formula>"Menor"</formula>
    </cfRule>
    <cfRule type="cellIs" dxfId="156" priority="136" operator="equal">
      <formula>"Leve"</formula>
    </cfRule>
  </conditionalFormatting>
  <conditionalFormatting sqref="P11 AE27:AE28 P13 P15 P17 P19 P21 P23 P25 P27 P29">
    <cfRule type="cellIs" dxfId="155" priority="128" operator="equal">
      <formula>"Extremo"</formula>
    </cfRule>
    <cfRule type="cellIs" dxfId="154" priority="129" operator="equal">
      <formula>"Alto"</formula>
    </cfRule>
    <cfRule type="cellIs" dxfId="153" priority="130" operator="equal">
      <formula>"Moderado"</formula>
    </cfRule>
    <cfRule type="cellIs" dxfId="152" priority="131" operator="equal">
      <formula>"Bajo"</formula>
    </cfRule>
  </conditionalFormatting>
  <conditionalFormatting sqref="AA11:AA12">
    <cfRule type="cellIs" dxfId="151" priority="123" operator="equal">
      <formula>"Muy Alta"</formula>
    </cfRule>
    <cfRule type="cellIs" dxfId="150" priority="124" operator="equal">
      <formula>"Alta"</formula>
    </cfRule>
    <cfRule type="cellIs" dxfId="149" priority="125" operator="equal">
      <formula>"Media"</formula>
    </cfRule>
    <cfRule type="cellIs" dxfId="148" priority="126" operator="equal">
      <formula>"Baja"</formula>
    </cfRule>
    <cfRule type="cellIs" dxfId="147" priority="127" operator="equal">
      <formula>"Muy Baja"</formula>
    </cfRule>
  </conditionalFormatting>
  <conditionalFormatting sqref="AC11:AC12">
    <cfRule type="cellIs" dxfId="146" priority="118" operator="equal">
      <formula>"Catastrófico"</formula>
    </cfRule>
    <cfRule type="cellIs" dxfId="145" priority="119" operator="equal">
      <formula>"Mayor"</formula>
    </cfRule>
    <cfRule type="cellIs" dxfId="144" priority="120" operator="equal">
      <formula>"Moderado"</formula>
    </cfRule>
    <cfRule type="cellIs" dxfId="143" priority="121" operator="equal">
      <formula>"Menor"</formula>
    </cfRule>
    <cfRule type="cellIs" dxfId="142" priority="122" operator="equal">
      <formula>"Leve"</formula>
    </cfRule>
  </conditionalFormatting>
  <conditionalFormatting sqref="AE11:AE12">
    <cfRule type="cellIs" dxfId="141" priority="114" operator="equal">
      <formula>"Extremo"</formula>
    </cfRule>
    <cfRule type="cellIs" dxfId="140" priority="115" operator="equal">
      <formula>"Alto"</formula>
    </cfRule>
    <cfRule type="cellIs" dxfId="139" priority="116" operator="equal">
      <formula>"Moderado"</formula>
    </cfRule>
    <cfRule type="cellIs" dxfId="138" priority="117" operator="equal">
      <formula>"Bajo"</formula>
    </cfRule>
  </conditionalFormatting>
  <conditionalFormatting sqref="AA13:AA14">
    <cfRule type="cellIs" dxfId="137" priority="109" operator="equal">
      <formula>"Muy Alta"</formula>
    </cfRule>
    <cfRule type="cellIs" dxfId="136" priority="110" operator="equal">
      <formula>"Alta"</formula>
    </cfRule>
    <cfRule type="cellIs" dxfId="135" priority="111" operator="equal">
      <formula>"Media"</formula>
    </cfRule>
    <cfRule type="cellIs" dxfId="134" priority="112" operator="equal">
      <formula>"Baja"</formula>
    </cfRule>
    <cfRule type="cellIs" dxfId="133" priority="113" operator="equal">
      <formula>"Muy Baja"</formula>
    </cfRule>
  </conditionalFormatting>
  <conditionalFormatting sqref="AC13:AC14">
    <cfRule type="cellIs" dxfId="132" priority="104" operator="equal">
      <formula>"Catastrófico"</formula>
    </cfRule>
    <cfRule type="cellIs" dxfId="131" priority="105" operator="equal">
      <formula>"Mayor"</formula>
    </cfRule>
    <cfRule type="cellIs" dxfId="130" priority="106" operator="equal">
      <formula>"Moderado"</formula>
    </cfRule>
    <cfRule type="cellIs" dxfId="129" priority="107" operator="equal">
      <formula>"Menor"</formula>
    </cfRule>
    <cfRule type="cellIs" dxfId="128" priority="108" operator="equal">
      <formula>"Leve"</formula>
    </cfRule>
  </conditionalFormatting>
  <conditionalFormatting sqref="AE13:AE14">
    <cfRule type="cellIs" dxfId="127" priority="100" operator="equal">
      <formula>"Extremo"</formula>
    </cfRule>
    <cfRule type="cellIs" dxfId="126" priority="101" operator="equal">
      <formula>"Alto"</formula>
    </cfRule>
    <cfRule type="cellIs" dxfId="125" priority="102" operator="equal">
      <formula>"Moderado"</formula>
    </cfRule>
    <cfRule type="cellIs" dxfId="124" priority="103" operator="equal">
      <formula>"Bajo"</formula>
    </cfRule>
  </conditionalFormatting>
  <conditionalFormatting sqref="AA15:AA16">
    <cfRule type="cellIs" dxfId="123" priority="95" operator="equal">
      <formula>"Muy Alta"</formula>
    </cfRule>
    <cfRule type="cellIs" dxfId="122" priority="96" operator="equal">
      <formula>"Alta"</formula>
    </cfRule>
    <cfRule type="cellIs" dxfId="121" priority="97" operator="equal">
      <formula>"Media"</formula>
    </cfRule>
    <cfRule type="cellIs" dxfId="120" priority="98" operator="equal">
      <formula>"Baja"</formula>
    </cfRule>
    <cfRule type="cellIs" dxfId="119" priority="99" operator="equal">
      <formula>"Muy Baja"</formula>
    </cfRule>
  </conditionalFormatting>
  <conditionalFormatting sqref="AC15:AC16">
    <cfRule type="cellIs" dxfId="118" priority="90" operator="equal">
      <formula>"Catastrófico"</formula>
    </cfRule>
    <cfRule type="cellIs" dxfId="117" priority="91" operator="equal">
      <formula>"Mayor"</formula>
    </cfRule>
    <cfRule type="cellIs" dxfId="116" priority="92" operator="equal">
      <formula>"Moderado"</formula>
    </cfRule>
    <cfRule type="cellIs" dxfId="115" priority="93" operator="equal">
      <formula>"Menor"</formula>
    </cfRule>
    <cfRule type="cellIs" dxfId="114" priority="94" operator="equal">
      <formula>"Leve"</formula>
    </cfRule>
  </conditionalFormatting>
  <conditionalFormatting sqref="AE15:AE16">
    <cfRule type="cellIs" dxfId="113" priority="86" operator="equal">
      <formula>"Extremo"</formula>
    </cfRule>
    <cfRule type="cellIs" dxfId="112" priority="87" operator="equal">
      <formula>"Alto"</formula>
    </cfRule>
    <cfRule type="cellIs" dxfId="111" priority="88" operator="equal">
      <formula>"Moderado"</formula>
    </cfRule>
    <cfRule type="cellIs" dxfId="110" priority="89" operator="equal">
      <formula>"Bajo"</formula>
    </cfRule>
  </conditionalFormatting>
  <conditionalFormatting sqref="AA17:AA18">
    <cfRule type="cellIs" dxfId="109" priority="81" operator="equal">
      <formula>"Muy Alta"</formula>
    </cfRule>
    <cfRule type="cellIs" dxfId="108" priority="82" operator="equal">
      <formula>"Alta"</formula>
    </cfRule>
    <cfRule type="cellIs" dxfId="107" priority="83" operator="equal">
      <formula>"Media"</formula>
    </cfRule>
    <cfRule type="cellIs" dxfId="106" priority="84" operator="equal">
      <formula>"Baja"</formula>
    </cfRule>
    <cfRule type="cellIs" dxfId="105" priority="85" operator="equal">
      <formula>"Muy Baja"</formula>
    </cfRule>
  </conditionalFormatting>
  <conditionalFormatting sqref="AC17:AC18">
    <cfRule type="cellIs" dxfId="104" priority="76" operator="equal">
      <formula>"Catastrófico"</formula>
    </cfRule>
    <cfRule type="cellIs" dxfId="103" priority="77" operator="equal">
      <formula>"Mayor"</formula>
    </cfRule>
    <cfRule type="cellIs" dxfId="102" priority="78" operator="equal">
      <formula>"Moderado"</formula>
    </cfRule>
    <cfRule type="cellIs" dxfId="101" priority="79" operator="equal">
      <formula>"Menor"</formula>
    </cfRule>
    <cfRule type="cellIs" dxfId="100" priority="80" operator="equal">
      <formula>"Leve"</formula>
    </cfRule>
  </conditionalFormatting>
  <conditionalFormatting sqref="AE17:AE18">
    <cfRule type="cellIs" dxfId="99" priority="72" operator="equal">
      <formula>"Extremo"</formula>
    </cfRule>
    <cfRule type="cellIs" dxfId="98" priority="73" operator="equal">
      <formula>"Alto"</formula>
    </cfRule>
    <cfRule type="cellIs" dxfId="97" priority="74" operator="equal">
      <formula>"Moderado"</formula>
    </cfRule>
    <cfRule type="cellIs" dxfId="96" priority="75" operator="equal">
      <formula>"Bajo"</formula>
    </cfRule>
  </conditionalFormatting>
  <conditionalFormatting sqref="AA19:AA20">
    <cfRule type="cellIs" dxfId="95" priority="67" operator="equal">
      <formula>"Muy Alta"</formula>
    </cfRule>
    <cfRule type="cellIs" dxfId="94" priority="68" operator="equal">
      <formula>"Alta"</formula>
    </cfRule>
    <cfRule type="cellIs" dxfId="93" priority="69" operator="equal">
      <formula>"Media"</formula>
    </cfRule>
    <cfRule type="cellIs" dxfId="92" priority="70" operator="equal">
      <formula>"Baja"</formula>
    </cfRule>
    <cfRule type="cellIs" dxfId="91" priority="71" operator="equal">
      <formula>"Muy Baja"</formula>
    </cfRule>
  </conditionalFormatting>
  <conditionalFormatting sqref="AC19:AC20">
    <cfRule type="cellIs" dxfId="90" priority="62" operator="equal">
      <formula>"Catastrófico"</formula>
    </cfRule>
    <cfRule type="cellIs" dxfId="89" priority="63" operator="equal">
      <formula>"Mayor"</formula>
    </cfRule>
    <cfRule type="cellIs" dxfId="88" priority="64" operator="equal">
      <formula>"Moderado"</formula>
    </cfRule>
    <cfRule type="cellIs" dxfId="87" priority="65" operator="equal">
      <formula>"Menor"</formula>
    </cfRule>
    <cfRule type="cellIs" dxfId="86" priority="66" operator="equal">
      <formula>"Leve"</formula>
    </cfRule>
  </conditionalFormatting>
  <conditionalFormatting sqref="AE19:AE20">
    <cfRule type="cellIs" dxfId="85" priority="58" operator="equal">
      <formula>"Extremo"</formula>
    </cfRule>
    <cfRule type="cellIs" dxfId="84" priority="59" operator="equal">
      <formula>"Alto"</formula>
    </cfRule>
    <cfRule type="cellIs" dxfId="83" priority="60" operator="equal">
      <formula>"Moderado"</formula>
    </cfRule>
    <cfRule type="cellIs" dxfId="82" priority="61" operator="equal">
      <formula>"Bajo"</formula>
    </cfRule>
  </conditionalFormatting>
  <conditionalFormatting sqref="AA21:AA22">
    <cfRule type="cellIs" dxfId="81" priority="53" operator="equal">
      <formula>"Muy Alta"</formula>
    </cfRule>
    <cfRule type="cellIs" dxfId="80" priority="54" operator="equal">
      <formula>"Alta"</formula>
    </cfRule>
    <cfRule type="cellIs" dxfId="79" priority="55" operator="equal">
      <formula>"Media"</formula>
    </cfRule>
    <cfRule type="cellIs" dxfId="78" priority="56" operator="equal">
      <formula>"Baja"</formula>
    </cfRule>
    <cfRule type="cellIs" dxfId="77" priority="57" operator="equal">
      <formula>"Muy Baja"</formula>
    </cfRule>
  </conditionalFormatting>
  <conditionalFormatting sqref="AC21:AC22">
    <cfRule type="cellIs" dxfId="76" priority="48" operator="equal">
      <formula>"Catastrófico"</formula>
    </cfRule>
    <cfRule type="cellIs" dxfId="75" priority="49" operator="equal">
      <formula>"Mayor"</formula>
    </cfRule>
    <cfRule type="cellIs" dxfId="74" priority="50" operator="equal">
      <formula>"Moderado"</formula>
    </cfRule>
    <cfRule type="cellIs" dxfId="73" priority="51" operator="equal">
      <formula>"Menor"</formula>
    </cfRule>
    <cfRule type="cellIs" dxfId="72" priority="52" operator="equal">
      <formula>"Leve"</formula>
    </cfRule>
  </conditionalFormatting>
  <conditionalFormatting sqref="AE21:AE22">
    <cfRule type="cellIs" dxfId="71" priority="44" operator="equal">
      <formula>"Extremo"</formula>
    </cfRule>
    <cfRule type="cellIs" dxfId="70" priority="45" operator="equal">
      <formula>"Alto"</formula>
    </cfRule>
    <cfRule type="cellIs" dxfId="69" priority="46" operator="equal">
      <formula>"Moderado"</formula>
    </cfRule>
    <cfRule type="cellIs" dxfId="68" priority="47" operator="equal">
      <formula>"Bajo"</formula>
    </cfRule>
  </conditionalFormatting>
  <conditionalFormatting sqref="AA23:AA24">
    <cfRule type="cellIs" dxfId="67" priority="39" operator="equal">
      <formula>"Muy Alta"</formula>
    </cfRule>
    <cfRule type="cellIs" dxfId="66" priority="40" operator="equal">
      <formula>"Alta"</formula>
    </cfRule>
    <cfRule type="cellIs" dxfId="65" priority="41" operator="equal">
      <formula>"Media"</formula>
    </cfRule>
    <cfRule type="cellIs" dxfId="64" priority="42" operator="equal">
      <formula>"Baja"</formula>
    </cfRule>
    <cfRule type="cellIs" dxfId="63" priority="43" operator="equal">
      <formula>"Muy Baja"</formula>
    </cfRule>
  </conditionalFormatting>
  <conditionalFormatting sqref="AC23:AC24">
    <cfRule type="cellIs" dxfId="62" priority="34" operator="equal">
      <formula>"Catastrófico"</formula>
    </cfRule>
    <cfRule type="cellIs" dxfId="61" priority="35" operator="equal">
      <formula>"Mayor"</formula>
    </cfRule>
    <cfRule type="cellIs" dxfId="60" priority="36" operator="equal">
      <formula>"Moderado"</formula>
    </cfRule>
    <cfRule type="cellIs" dxfId="59" priority="37" operator="equal">
      <formula>"Menor"</formula>
    </cfRule>
    <cfRule type="cellIs" dxfId="58" priority="38" operator="equal">
      <formula>"Leve"</formula>
    </cfRule>
  </conditionalFormatting>
  <conditionalFormatting sqref="AE23:AE24">
    <cfRule type="cellIs" dxfId="57" priority="30" operator="equal">
      <formula>"Extremo"</formula>
    </cfRule>
    <cfRule type="cellIs" dxfId="56" priority="31" operator="equal">
      <formula>"Alto"</formula>
    </cfRule>
    <cfRule type="cellIs" dxfId="55" priority="32" operator="equal">
      <formula>"Moderado"</formula>
    </cfRule>
    <cfRule type="cellIs" dxfId="54" priority="33" operator="equal">
      <formula>"Bajo"</formula>
    </cfRule>
  </conditionalFormatting>
  <conditionalFormatting sqref="AA25:AA26">
    <cfRule type="cellIs" dxfId="53" priority="25" operator="equal">
      <formula>"Muy Alta"</formula>
    </cfRule>
    <cfRule type="cellIs" dxfId="52" priority="26" operator="equal">
      <formula>"Alta"</formula>
    </cfRule>
    <cfRule type="cellIs" dxfId="51" priority="27" operator="equal">
      <formula>"Media"</formula>
    </cfRule>
    <cfRule type="cellIs" dxfId="50" priority="28" operator="equal">
      <formula>"Baja"</formula>
    </cfRule>
    <cfRule type="cellIs" dxfId="49" priority="29" operator="equal">
      <formula>"Muy Baja"</formula>
    </cfRule>
  </conditionalFormatting>
  <conditionalFormatting sqref="AC25:AC26">
    <cfRule type="cellIs" dxfId="48" priority="20" operator="equal">
      <formula>"Catastrófico"</formula>
    </cfRule>
    <cfRule type="cellIs" dxfId="47" priority="21" operator="equal">
      <formula>"Mayor"</formula>
    </cfRule>
    <cfRule type="cellIs" dxfId="46" priority="22" operator="equal">
      <formula>"Moderado"</formula>
    </cfRule>
    <cfRule type="cellIs" dxfId="45" priority="23" operator="equal">
      <formula>"Menor"</formula>
    </cfRule>
    <cfRule type="cellIs" dxfId="44" priority="24" operator="equal">
      <formula>"Leve"</formula>
    </cfRule>
  </conditionalFormatting>
  <conditionalFormatting sqref="AE25:AE26">
    <cfRule type="cellIs" dxfId="43" priority="16" operator="equal">
      <formula>"Extremo"</formula>
    </cfRule>
    <cfRule type="cellIs" dxfId="42" priority="17" operator="equal">
      <formula>"Alto"</formula>
    </cfRule>
    <cfRule type="cellIs" dxfId="41" priority="18" operator="equal">
      <formula>"Moderado"</formula>
    </cfRule>
    <cfRule type="cellIs" dxfId="40" priority="19" operator="equal">
      <formula>"Bajo"</formula>
    </cfRule>
  </conditionalFormatting>
  <conditionalFormatting sqref="AA29:AA30">
    <cfRule type="cellIs" dxfId="39" priority="11" operator="equal">
      <formula>"Muy Alta"</formula>
    </cfRule>
    <cfRule type="cellIs" dxfId="38" priority="12" operator="equal">
      <formula>"Alta"</formula>
    </cfRule>
    <cfRule type="cellIs" dxfId="37" priority="13" operator="equal">
      <formula>"Media"</formula>
    </cfRule>
    <cfRule type="cellIs" dxfId="36" priority="14" operator="equal">
      <formula>"Baja"</formula>
    </cfRule>
    <cfRule type="cellIs" dxfId="35" priority="15" operator="equal">
      <formula>"Muy Baja"</formula>
    </cfRule>
  </conditionalFormatting>
  <conditionalFormatting sqref="AC29:AC30">
    <cfRule type="cellIs" dxfId="34" priority="6" operator="equal">
      <formula>"Catastrófico"</formula>
    </cfRule>
    <cfRule type="cellIs" dxfId="33" priority="7" operator="equal">
      <formula>"Mayor"</formula>
    </cfRule>
    <cfRule type="cellIs" dxfId="32" priority="8" operator="equal">
      <formula>"Moderado"</formula>
    </cfRule>
    <cfRule type="cellIs" dxfId="31" priority="9" operator="equal">
      <formula>"Menor"</formula>
    </cfRule>
    <cfRule type="cellIs" dxfId="30" priority="10" operator="equal">
      <formula>"Leve"</formula>
    </cfRule>
  </conditionalFormatting>
  <conditionalFormatting sqref="AE29:AE30">
    <cfRule type="cellIs" dxfId="29" priority="2" operator="equal">
      <formula>"Extremo"</formula>
    </cfRule>
    <cfRule type="cellIs" dxfId="28" priority="3" operator="equal">
      <formula>"Alto"</formula>
    </cfRule>
    <cfRule type="cellIs" dxfId="27" priority="4" operator="equal">
      <formula>"Moderado"</formula>
    </cfRule>
    <cfRule type="cellIs" dxfId="26" priority="5" operator="equal">
      <formula>"Bajo"</formula>
    </cfRule>
  </conditionalFormatting>
  <conditionalFormatting sqref="M11:M30">
    <cfRule type="containsText" dxfId="25" priority="1" operator="containsText" text="❌">
      <formula>NOT(ISERROR(SEARCH("❌",M11)))</formula>
    </cfRule>
  </conditionalFormatting>
  <dataValidations count="9">
    <dataValidation type="list" allowBlank="1" showInputMessage="1" showErrorMessage="1" sqref="AF11:AF30" xr:uid="{61425178-967D-47D2-8827-3511F022FABB}">
      <formula1>$J$112:$J$116</formula1>
    </dataValidation>
    <dataValidation type="list" allowBlank="1" showInputMessage="1" showErrorMessage="1" sqref="Y11:Y30" xr:uid="{338453F9-2563-444A-9822-2B3AB57CF934}">
      <formula1>$I$112:$I$113</formula1>
    </dataValidation>
    <dataValidation type="list" allowBlank="1" showInputMessage="1" showErrorMessage="1" sqref="X11:X30" xr:uid="{2DD6B413-E8C7-43F1-969E-2695862CA618}">
      <formula1>$J$107:$J$108</formula1>
    </dataValidation>
    <dataValidation type="list" allowBlank="1" showInputMessage="1" showErrorMessage="1" sqref="W11:W30" xr:uid="{5F9ADCF0-F691-415E-9BEF-A7EB3ED2C64C}">
      <formula1>$I$107:$I$108</formula1>
    </dataValidation>
    <dataValidation type="list" allowBlank="1" showInputMessage="1" showErrorMessage="1" sqref="U11:U30" xr:uid="{88DEBBED-E868-4120-A566-624B5E8AB9EF}">
      <formula1>$J$102:$J$103</formula1>
    </dataValidation>
    <dataValidation type="list" allowBlank="1" showInputMessage="1" showErrorMessage="1" sqref="T11:T30" xr:uid="{006399A3-D615-4542-B8EC-DA0D7C682956}">
      <formula1>$I$102:$I$104</formula1>
    </dataValidation>
    <dataValidation type="list" allowBlank="1" showInputMessage="1" showErrorMessage="1" sqref="H13:H30" xr:uid="{456300D1-635D-4858-BCC2-B0EC9C5CCE16}">
      <formula1>$G$102:$G$108</formula1>
    </dataValidation>
    <dataValidation type="list" allowBlank="1" showInputMessage="1" showErrorMessage="1" sqref="C11:C30" xr:uid="{81F41C71-04E1-4954-B356-CE6A8D581E7D}">
      <formula1>$G$114:$G$116</formula1>
    </dataValidation>
    <dataValidation type="list" allowBlank="1" showInputMessage="1" showErrorMessage="1" sqref="AN11" xr:uid="{C01B0C5C-8606-492B-9231-8F8106C8C8F8}">
      <formula1>$G$119:$G$120</formula1>
    </dataValidation>
  </dataValidation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7B02-FC57-4AD1-B62A-FF32887981A5}">
  <dimension ref="B1:CJ72"/>
  <sheetViews>
    <sheetView topLeftCell="A58" zoomScale="60" zoomScaleNormal="60" workbookViewId="0">
      <selection activeCell="E86" sqref="E86:E91"/>
    </sheetView>
  </sheetViews>
  <sheetFormatPr baseColWidth="10" defaultRowHeight="15" x14ac:dyDescent="0.25"/>
  <cols>
    <col min="1" max="2" width="1.5703125" style="140" customWidth="1"/>
    <col min="3" max="3" width="2.5703125" style="140" customWidth="1"/>
    <col min="4" max="4" width="25.5703125" style="140" customWidth="1"/>
    <col min="5" max="5" width="35.5703125" style="140" customWidth="1"/>
    <col min="6" max="6" width="32.28515625" style="140" customWidth="1"/>
    <col min="7" max="7" width="20" style="140" customWidth="1"/>
    <col min="8" max="8" width="43.42578125" style="140" customWidth="1"/>
    <col min="9" max="9" width="16.140625" style="140" customWidth="1"/>
    <col min="10" max="10" width="19.85546875" style="140" customWidth="1"/>
    <col min="11" max="11" width="19.7109375" style="140" customWidth="1"/>
    <col min="12" max="12" width="2.42578125" style="140" customWidth="1"/>
    <col min="13" max="13" width="17.28515625" style="140" customWidth="1"/>
    <col min="14" max="14" width="21.42578125" style="140" customWidth="1"/>
    <col min="15" max="15" width="20.5703125" style="140" customWidth="1"/>
    <col min="16" max="16" width="16.140625" style="140" customWidth="1"/>
    <col min="17" max="17" width="20.85546875" style="140" customWidth="1"/>
    <col min="18" max="18" width="21.140625" style="140" customWidth="1"/>
    <col min="19" max="19" width="18.7109375" style="140" customWidth="1"/>
    <col min="20" max="20" width="15.28515625" style="140" customWidth="1"/>
    <col min="21" max="21" width="14.28515625" style="140" customWidth="1"/>
    <col min="22" max="22" width="20.140625" style="140" customWidth="1"/>
    <col min="23" max="23" width="11.5703125" style="140" customWidth="1"/>
    <col min="24" max="25" width="6.42578125" style="140" customWidth="1"/>
    <col min="26" max="26" width="5.5703125" style="140" customWidth="1"/>
    <col min="27" max="28" width="9.85546875" style="140" customWidth="1"/>
    <col min="29" max="30" width="9.42578125" style="140" customWidth="1"/>
    <col min="31" max="31" width="5.5703125" style="140" customWidth="1"/>
    <col min="32" max="32" width="20.42578125" style="140" customWidth="1"/>
    <col min="33" max="33" width="7.85546875" style="140" customWidth="1"/>
    <col min="34" max="34" width="6.5703125" style="140" customWidth="1"/>
    <col min="35" max="35" width="13.42578125" style="140" customWidth="1"/>
    <col min="36" max="37" width="7.140625" style="140" customWidth="1"/>
    <col min="38" max="40" width="16.85546875" style="140" customWidth="1"/>
    <col min="41" max="41" width="5.5703125" style="140" customWidth="1"/>
    <col min="42" max="42" width="17.140625" style="140" customWidth="1"/>
    <col min="43" max="43" width="15.28515625" style="140" customWidth="1"/>
    <col min="44" max="44" width="16.28515625" style="140" customWidth="1"/>
    <col min="45" max="45" width="14.5703125" style="140" customWidth="1"/>
    <col min="46" max="46" width="16" style="140" customWidth="1"/>
    <col min="47" max="47" width="15" style="140" customWidth="1"/>
    <col min="48" max="82" width="5.5703125" style="140" customWidth="1"/>
    <col min="83" max="83" width="11.5703125" style="140" customWidth="1"/>
    <col min="84" max="84" width="8.42578125" style="140" customWidth="1"/>
    <col min="85" max="85" width="8.7109375" style="140" customWidth="1"/>
    <col min="86" max="86" width="11.42578125" style="140"/>
    <col min="87" max="87" width="43.7109375" style="140" customWidth="1"/>
    <col min="88" max="88" width="67.85546875" style="140" customWidth="1"/>
    <col min="89" max="89" width="13.28515625" style="140" customWidth="1"/>
    <col min="90" max="95" width="11.42578125" style="140"/>
    <col min="96" max="96" width="12.85546875" style="140" customWidth="1"/>
    <col min="97" max="97" width="16.85546875" style="140" customWidth="1"/>
    <col min="98" max="98" width="19.28515625" style="140" customWidth="1"/>
    <col min="99" max="99" width="21.140625" style="140" customWidth="1"/>
    <col min="100" max="100" width="18" style="140" customWidth="1"/>
    <col min="101" max="16384" width="11.42578125" style="140"/>
  </cols>
  <sheetData>
    <row r="1" spans="2:86" ht="74.25" customHeight="1" x14ac:dyDescent="0.25"/>
    <row r="2" spans="2:86" ht="33.75" customHeight="1" thickBot="1" x14ac:dyDescent="0.3">
      <c r="B2" s="141"/>
      <c r="C2" s="142"/>
      <c r="D2" s="142"/>
      <c r="E2" s="142"/>
      <c r="F2" s="142"/>
      <c r="G2" s="142"/>
      <c r="H2" s="142"/>
      <c r="I2" s="142"/>
      <c r="J2" s="142"/>
      <c r="K2" s="142"/>
      <c r="L2" s="142"/>
      <c r="M2" s="142"/>
      <c r="N2" s="142"/>
      <c r="O2" s="142"/>
      <c r="P2" s="142"/>
      <c r="Q2" s="142"/>
      <c r="R2" s="142"/>
      <c r="S2" s="142"/>
      <c r="T2" s="142"/>
      <c r="U2" s="142"/>
      <c r="V2" s="142"/>
      <c r="W2" s="142"/>
      <c r="X2" s="142"/>
      <c r="Y2" s="142"/>
    </row>
    <row r="3" spans="2:86" ht="33" customHeight="1" thickBot="1" x14ac:dyDescent="0.3">
      <c r="B3" s="143"/>
      <c r="C3" s="144"/>
      <c r="D3" s="843"/>
      <c r="E3" s="844"/>
      <c r="F3" s="844"/>
      <c r="G3" s="169" t="s">
        <v>43</v>
      </c>
      <c r="H3" s="847" t="s">
        <v>205</v>
      </c>
      <c r="I3" s="848"/>
      <c r="J3" s="848"/>
      <c r="K3" s="848"/>
      <c r="L3" s="848"/>
      <c r="M3" s="848"/>
      <c r="N3" s="848"/>
      <c r="O3" s="848"/>
      <c r="P3" s="848"/>
      <c r="Q3" s="848"/>
      <c r="R3" s="848"/>
      <c r="S3" s="848"/>
      <c r="T3" s="848"/>
      <c r="U3" s="848"/>
      <c r="V3" s="848"/>
      <c r="W3" s="848"/>
      <c r="X3" s="848"/>
      <c r="Y3" s="849"/>
      <c r="Z3" s="170"/>
      <c r="AA3" s="170"/>
      <c r="AB3" s="170"/>
      <c r="AC3" s="170"/>
      <c r="AD3" s="170"/>
      <c r="AE3" s="170"/>
      <c r="AF3" s="170"/>
      <c r="AG3" s="170"/>
      <c r="AH3" s="170"/>
      <c r="CE3" s="146"/>
      <c r="CF3" s="146"/>
      <c r="CG3" s="146"/>
      <c r="CH3" s="146"/>
    </row>
    <row r="4" spans="2:86" ht="33" customHeight="1" thickBot="1" x14ac:dyDescent="0.3">
      <c r="B4" s="143"/>
      <c r="C4" s="144"/>
      <c r="D4" s="845"/>
      <c r="E4" s="846"/>
      <c r="F4" s="846"/>
      <c r="G4" s="145" t="s">
        <v>206</v>
      </c>
      <c r="H4" s="850" t="s">
        <v>207</v>
      </c>
      <c r="I4" s="851"/>
      <c r="J4" s="852"/>
      <c r="K4" s="853" t="s">
        <v>208</v>
      </c>
      <c r="L4" s="854"/>
      <c r="M4" s="854"/>
      <c r="N4" s="854"/>
      <c r="O4" s="854"/>
      <c r="P4" s="855" t="s">
        <v>209</v>
      </c>
      <c r="Q4" s="855"/>
      <c r="R4" s="855"/>
      <c r="S4" s="856"/>
      <c r="T4" s="853" t="s">
        <v>210</v>
      </c>
      <c r="U4" s="857"/>
      <c r="V4" s="858">
        <v>1</v>
      </c>
      <c r="W4" s="859"/>
      <c r="X4" s="859"/>
      <c r="Y4" s="860"/>
      <c r="Z4" s="171"/>
      <c r="AA4" s="171"/>
      <c r="AB4" s="171"/>
      <c r="AC4" s="172"/>
      <c r="AD4" s="172"/>
      <c r="AE4" s="172"/>
      <c r="AF4" s="172"/>
      <c r="AG4" s="172"/>
      <c r="AH4" s="172"/>
      <c r="CE4" s="146"/>
      <c r="CF4" s="146"/>
      <c r="CG4" s="146"/>
      <c r="CH4" s="146"/>
    </row>
    <row r="5" spans="2:86" x14ac:dyDescent="0.25">
      <c r="B5" s="143"/>
      <c r="C5" s="144"/>
      <c r="D5" s="147"/>
      <c r="E5" s="147"/>
      <c r="F5" s="148"/>
      <c r="G5" s="875"/>
      <c r="H5" s="875"/>
      <c r="I5" s="875"/>
      <c r="J5" s="875"/>
      <c r="K5" s="802"/>
      <c r="L5" s="802"/>
      <c r="M5" s="802"/>
      <c r="N5" s="802"/>
      <c r="O5" s="802"/>
      <c r="P5" s="802"/>
      <c r="Q5" s="802"/>
      <c r="R5" s="802"/>
      <c r="S5" s="802"/>
      <c r="T5" s="875"/>
      <c r="U5" s="875"/>
      <c r="V5" s="875"/>
      <c r="W5" s="875"/>
      <c r="X5" s="875"/>
      <c r="Y5" s="875"/>
      <c r="CE5" s="146"/>
      <c r="CF5" s="146"/>
      <c r="CG5" s="146"/>
      <c r="CH5" s="146"/>
    </row>
    <row r="6" spans="2:86" ht="6.75" customHeight="1" thickBot="1" x14ac:dyDescent="0.3">
      <c r="B6" s="143"/>
      <c r="D6" s="149"/>
      <c r="E6" s="149"/>
      <c r="F6" s="149"/>
      <c r="G6" s="149"/>
      <c r="H6" s="149"/>
      <c r="I6" s="149"/>
      <c r="J6" s="149"/>
      <c r="K6" s="149"/>
      <c r="L6" s="149"/>
      <c r="M6" s="149"/>
      <c r="N6" s="150"/>
      <c r="O6" s="150"/>
      <c r="P6" s="150"/>
      <c r="Q6" s="150"/>
      <c r="R6" s="149"/>
      <c r="S6" s="146"/>
      <c r="T6" s="146"/>
      <c r="U6" s="146"/>
      <c r="V6" s="146"/>
      <c r="W6" s="146"/>
      <c r="X6" s="146"/>
      <c r="Y6" s="146"/>
      <c r="CE6" s="146"/>
      <c r="CF6" s="146"/>
      <c r="CG6" s="146"/>
      <c r="CH6" s="146"/>
    </row>
    <row r="7" spans="2:86" ht="15" customHeight="1" x14ac:dyDescent="0.25">
      <c r="B7" s="143"/>
      <c r="C7" s="144"/>
      <c r="D7" s="863" t="s">
        <v>460</v>
      </c>
      <c r="E7" s="864"/>
      <c r="F7" s="864"/>
      <c r="G7" s="864"/>
      <c r="H7" s="864"/>
      <c r="I7" s="864"/>
      <c r="J7" s="864"/>
      <c r="K7" s="864"/>
      <c r="L7" s="864"/>
      <c r="M7" s="864"/>
      <c r="N7" s="864"/>
      <c r="O7" s="864"/>
      <c r="P7" s="864"/>
      <c r="Q7" s="864"/>
      <c r="R7" s="864"/>
      <c r="S7" s="864"/>
      <c r="T7" s="864"/>
      <c r="U7" s="864"/>
      <c r="V7" s="864"/>
      <c r="W7" s="864"/>
      <c r="X7" s="864"/>
      <c r="Y7" s="865"/>
      <c r="Z7" s="272"/>
      <c r="AA7" s="272"/>
      <c r="AB7" s="272"/>
      <c r="AC7" s="272"/>
      <c r="AD7" s="272"/>
      <c r="AE7" s="272"/>
      <c r="AF7" s="272"/>
      <c r="AG7" s="272"/>
      <c r="AH7" s="272"/>
      <c r="AI7" s="272"/>
      <c r="AJ7" s="272"/>
      <c r="AK7" s="272"/>
      <c r="AL7" s="272"/>
      <c r="AM7" s="272"/>
      <c r="AN7" s="272"/>
      <c r="AO7" s="272"/>
      <c r="CE7" s="146"/>
      <c r="CF7" s="146"/>
      <c r="CG7" s="146"/>
      <c r="CH7" s="146"/>
    </row>
    <row r="8" spans="2:86" ht="7.5" customHeight="1" thickBot="1" x14ac:dyDescent="0.3">
      <c r="B8" s="143"/>
      <c r="D8" s="866"/>
      <c r="E8" s="867"/>
      <c r="F8" s="867"/>
      <c r="G8" s="867"/>
      <c r="H8" s="867"/>
      <c r="I8" s="867"/>
      <c r="J8" s="867"/>
      <c r="K8" s="867"/>
      <c r="L8" s="867"/>
      <c r="M8" s="867"/>
      <c r="N8" s="867"/>
      <c r="O8" s="867"/>
      <c r="P8" s="867"/>
      <c r="Q8" s="867"/>
      <c r="R8" s="867"/>
      <c r="S8" s="867"/>
      <c r="T8" s="867"/>
      <c r="U8" s="867"/>
      <c r="V8" s="867"/>
      <c r="W8" s="867"/>
      <c r="X8" s="867"/>
      <c r="Y8" s="868"/>
      <c r="Z8" s="272"/>
      <c r="AA8" s="272"/>
      <c r="AB8" s="272"/>
      <c r="AC8" s="272"/>
      <c r="AD8" s="272"/>
      <c r="AE8" s="272"/>
      <c r="AF8" s="272"/>
      <c r="AG8" s="272"/>
      <c r="AH8" s="272"/>
      <c r="AI8" s="272"/>
      <c r="AJ8" s="272"/>
      <c r="AK8" s="272"/>
      <c r="AL8" s="272"/>
      <c r="AM8" s="272"/>
      <c r="AN8" s="272"/>
      <c r="AO8" s="272"/>
      <c r="CE8" s="146"/>
      <c r="CF8" s="146"/>
      <c r="CG8" s="146"/>
      <c r="CH8" s="146"/>
    </row>
    <row r="9" spans="2:86" ht="20.25" customHeight="1" thickBot="1" x14ac:dyDescent="0.3">
      <c r="B9" s="143"/>
      <c r="D9" s="861" t="s">
        <v>43</v>
      </c>
      <c r="E9" s="862"/>
      <c r="F9" s="809" t="str">
        <f>'Datos del proceso'!A10</f>
        <v>TRANSFORMACIÓN CULTURAL PARA LA REVITALIZACIÓN DEL CENTRO</v>
      </c>
      <c r="G9" s="810"/>
      <c r="H9" s="810"/>
      <c r="I9" s="810"/>
      <c r="J9" s="810"/>
      <c r="K9" s="810"/>
      <c r="L9" s="810"/>
      <c r="M9" s="810"/>
      <c r="N9" s="810"/>
      <c r="O9" s="810"/>
      <c r="P9" s="810"/>
      <c r="Q9" s="810"/>
      <c r="R9" s="810"/>
      <c r="S9" s="810"/>
      <c r="T9" s="810"/>
      <c r="U9" s="810"/>
      <c r="V9" s="810"/>
      <c r="W9" s="810"/>
      <c r="X9" s="810"/>
      <c r="Y9" s="811"/>
      <c r="CE9" s="146"/>
      <c r="CF9" s="146"/>
      <c r="CG9" s="146"/>
      <c r="CH9" s="146"/>
    </row>
    <row r="10" spans="2:86" ht="24.75" customHeight="1" thickBot="1" x14ac:dyDescent="0.3">
      <c r="B10" s="143"/>
      <c r="D10" s="861" t="s">
        <v>130</v>
      </c>
      <c r="E10" s="862"/>
      <c r="F10" s="869"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G10" s="870"/>
      <c r="H10" s="870"/>
      <c r="I10" s="870"/>
      <c r="J10" s="870"/>
      <c r="K10" s="870"/>
      <c r="L10" s="870"/>
      <c r="M10" s="870"/>
      <c r="N10" s="870"/>
      <c r="O10" s="870"/>
      <c r="P10" s="870"/>
      <c r="Q10" s="870"/>
      <c r="R10" s="870"/>
      <c r="S10" s="870"/>
      <c r="T10" s="870"/>
      <c r="U10" s="870"/>
      <c r="V10" s="870"/>
      <c r="W10" s="870"/>
      <c r="X10" s="870"/>
      <c r="Y10" s="871"/>
      <c r="CE10" s="146"/>
      <c r="CF10" s="146"/>
      <c r="CG10" s="146"/>
      <c r="CH10" s="146"/>
    </row>
    <row r="11" spans="2:86" ht="1.5" customHeight="1" x14ac:dyDescent="0.25">
      <c r="B11" s="143"/>
      <c r="C11" s="144"/>
      <c r="D11" s="801"/>
      <c r="E11" s="801"/>
      <c r="G11" s="802"/>
      <c r="H11" s="802"/>
      <c r="I11" s="802"/>
      <c r="J11" s="802"/>
      <c r="K11" s="802"/>
      <c r="L11" s="802"/>
      <c r="M11" s="802"/>
      <c r="N11" s="802"/>
      <c r="O11" s="802"/>
      <c r="P11" s="802"/>
      <c r="Q11" s="802"/>
      <c r="R11" s="802"/>
      <c r="S11" s="802"/>
      <c r="T11" s="802"/>
      <c r="U11" s="802"/>
      <c r="V11" s="802"/>
      <c r="W11" s="802"/>
      <c r="X11" s="802"/>
      <c r="Y11" s="802"/>
      <c r="CE11" s="146"/>
      <c r="CF11" s="146"/>
      <c r="CG11" s="146"/>
      <c r="CH11" s="146"/>
    </row>
    <row r="12" spans="2:86" ht="7.5" customHeight="1" x14ac:dyDescent="0.25">
      <c r="B12" s="143"/>
      <c r="S12" s="146"/>
      <c r="T12" s="146"/>
      <c r="U12" s="146"/>
      <c r="V12" s="146"/>
      <c r="W12" s="146"/>
      <c r="X12" s="146"/>
      <c r="Y12" s="146"/>
      <c r="CE12" s="146"/>
      <c r="CF12" s="146"/>
      <c r="CG12" s="146"/>
      <c r="CH12" s="146"/>
    </row>
    <row r="13" spans="2:86" ht="30" customHeight="1" x14ac:dyDescent="0.25">
      <c r="B13" s="143"/>
      <c r="D13" s="872" t="s">
        <v>211</v>
      </c>
      <c r="E13" s="872"/>
      <c r="F13" s="872"/>
      <c r="G13" s="872"/>
      <c r="H13" s="872"/>
      <c r="I13" s="872"/>
      <c r="J13" s="872"/>
      <c r="K13" s="872"/>
      <c r="L13" s="872"/>
      <c r="M13" s="872"/>
      <c r="N13" s="872"/>
      <c r="O13" s="872"/>
      <c r="P13" s="872"/>
      <c r="Q13" s="872"/>
      <c r="R13" s="872"/>
      <c r="S13" s="872"/>
      <c r="T13" s="872"/>
      <c r="U13" s="872"/>
      <c r="V13" s="872"/>
      <c r="W13" s="872"/>
      <c r="X13" s="872"/>
      <c r="Y13" s="872"/>
      <c r="CE13" s="146"/>
      <c r="CF13" s="146"/>
      <c r="CG13" s="146"/>
      <c r="CH13" s="146"/>
    </row>
    <row r="14" spans="2:86" x14ac:dyDescent="0.25">
      <c r="B14" s="143"/>
      <c r="C14" s="144"/>
      <c r="D14" s="873" t="s">
        <v>212</v>
      </c>
      <c r="E14" s="873"/>
      <c r="F14" s="873"/>
      <c r="G14" s="873"/>
      <c r="H14" s="873"/>
      <c r="I14" s="873"/>
      <c r="J14" s="873"/>
      <c r="K14" s="873"/>
      <c r="L14" s="873"/>
      <c r="M14" s="873"/>
      <c r="N14" s="873"/>
      <c r="O14" s="873"/>
      <c r="Q14" s="874" t="s">
        <v>213</v>
      </c>
      <c r="R14" s="874"/>
      <c r="S14" s="874"/>
      <c r="T14" s="874"/>
      <c r="U14" s="874"/>
      <c r="V14" s="874"/>
      <c r="W14" s="874"/>
      <c r="X14" s="874"/>
      <c r="Y14" s="874"/>
      <c r="CE14" s="146"/>
      <c r="CF14" s="146"/>
      <c r="CG14" s="146"/>
      <c r="CH14" s="146"/>
    </row>
    <row r="15" spans="2:86" ht="54.75" customHeight="1" x14ac:dyDescent="0.25">
      <c r="B15" s="143"/>
      <c r="C15" s="144"/>
      <c r="D15" s="151" t="s">
        <v>214</v>
      </c>
      <c r="E15" s="770" t="s">
        <v>215</v>
      </c>
      <c r="F15" s="770"/>
      <c r="G15" s="770"/>
      <c r="H15" s="770"/>
      <c r="I15" s="615" t="s">
        <v>216</v>
      </c>
      <c r="J15" s="615"/>
      <c r="K15" s="770" t="s">
        <v>215</v>
      </c>
      <c r="L15" s="770"/>
      <c r="M15" s="770"/>
      <c r="N15" s="152" t="s">
        <v>217</v>
      </c>
      <c r="O15" s="153" t="s">
        <v>215</v>
      </c>
      <c r="Q15" s="153" t="s">
        <v>218</v>
      </c>
      <c r="R15" s="299" t="s">
        <v>529</v>
      </c>
      <c r="S15" s="173" t="s">
        <v>219</v>
      </c>
      <c r="T15" s="153" t="s">
        <v>13</v>
      </c>
      <c r="U15" s="153" t="s">
        <v>317</v>
      </c>
      <c r="V15" s="174" t="s">
        <v>318</v>
      </c>
      <c r="W15" s="615" t="s">
        <v>220</v>
      </c>
      <c r="X15" s="615"/>
      <c r="Y15" s="615"/>
      <c r="CE15" s="146"/>
      <c r="CF15" s="146"/>
      <c r="CG15" s="146"/>
      <c r="CH15" s="146"/>
    </row>
    <row r="16" spans="2:86" ht="88.5" customHeight="1" x14ac:dyDescent="0.25">
      <c r="B16" s="143"/>
      <c r="D16" s="147"/>
      <c r="E16" s="885"/>
      <c r="F16" s="885"/>
      <c r="G16" s="885"/>
      <c r="H16" s="885"/>
      <c r="I16" s="875"/>
      <c r="J16" s="875"/>
      <c r="K16" s="784"/>
      <c r="L16" s="784"/>
      <c r="M16" s="784"/>
      <c r="N16" s="175"/>
      <c r="O16" s="176"/>
      <c r="Q16" s="825" t="s">
        <v>319</v>
      </c>
      <c r="R16" s="825"/>
      <c r="S16" s="827" t="s">
        <v>320</v>
      </c>
      <c r="T16" s="825" t="s">
        <v>321</v>
      </c>
      <c r="U16" s="175" t="s">
        <v>322</v>
      </c>
      <c r="V16" s="175" t="s">
        <v>323</v>
      </c>
      <c r="W16" s="791" t="s">
        <v>324</v>
      </c>
      <c r="X16" s="877"/>
      <c r="Y16" s="822"/>
      <c r="CE16" s="146"/>
      <c r="CF16" s="146"/>
      <c r="CG16" s="146"/>
      <c r="CH16" s="146"/>
    </row>
    <row r="17" spans="2:86" ht="89.25" customHeight="1" x14ac:dyDescent="0.25">
      <c r="B17" s="143"/>
      <c r="D17" s="147"/>
      <c r="E17" s="881"/>
      <c r="F17" s="882"/>
      <c r="G17" s="882"/>
      <c r="H17" s="883"/>
      <c r="I17" s="875"/>
      <c r="J17" s="875"/>
      <c r="K17" s="784"/>
      <c r="L17" s="784"/>
      <c r="M17" s="784"/>
      <c r="N17" s="175"/>
      <c r="O17" s="176"/>
      <c r="Q17" s="876"/>
      <c r="R17" s="876"/>
      <c r="S17" s="886"/>
      <c r="T17" s="876"/>
      <c r="U17" s="175" t="s">
        <v>325</v>
      </c>
      <c r="V17" s="175" t="s">
        <v>326</v>
      </c>
      <c r="W17" s="878"/>
      <c r="X17" s="762"/>
      <c r="Y17" s="879"/>
      <c r="Z17" s="146"/>
      <c r="AA17" s="146"/>
      <c r="AB17" s="146"/>
      <c r="AC17" s="146"/>
      <c r="AD17" s="146"/>
      <c r="AE17" s="146"/>
      <c r="AF17" s="146"/>
      <c r="AG17" s="146"/>
      <c r="AH17" s="146"/>
      <c r="AI17" s="146"/>
      <c r="AJ17" s="146"/>
      <c r="AK17" s="146"/>
      <c r="AL17" s="146"/>
      <c r="AM17" s="146"/>
      <c r="AN17" s="146"/>
      <c r="AO17" s="146"/>
      <c r="CE17" s="146"/>
      <c r="CF17" s="146"/>
      <c r="CG17" s="146"/>
      <c r="CH17" s="146"/>
    </row>
    <row r="18" spans="2:86" ht="104.25" customHeight="1" x14ac:dyDescent="0.25">
      <c r="B18" s="143"/>
      <c r="D18" s="147"/>
      <c r="E18" s="884"/>
      <c r="F18" s="884"/>
      <c r="G18" s="884"/>
      <c r="H18" s="884"/>
      <c r="I18" s="875"/>
      <c r="J18" s="875"/>
      <c r="K18" s="784"/>
      <c r="L18" s="784"/>
      <c r="M18" s="784"/>
      <c r="N18" s="175"/>
      <c r="O18" s="176"/>
      <c r="Q18" s="826"/>
      <c r="R18" s="826"/>
      <c r="S18" s="828"/>
      <c r="T18" s="826"/>
      <c r="U18" s="175"/>
      <c r="V18" s="175"/>
      <c r="W18" s="823"/>
      <c r="X18" s="880"/>
      <c r="Y18" s="824"/>
      <c r="Z18" s="146"/>
      <c r="AA18" s="146"/>
      <c r="AB18" s="146"/>
      <c r="AC18" s="146"/>
      <c r="AD18" s="146"/>
      <c r="AE18" s="146"/>
      <c r="AF18" s="146"/>
      <c r="AG18" s="146"/>
      <c r="AH18" s="146"/>
      <c r="AI18" s="146"/>
      <c r="AJ18" s="146"/>
      <c r="AK18" s="146"/>
      <c r="AL18" s="146"/>
      <c r="AM18" s="146"/>
      <c r="AN18" s="146"/>
      <c r="AO18" s="146"/>
      <c r="CE18" s="146"/>
      <c r="CF18" s="146"/>
      <c r="CG18" s="146"/>
      <c r="CH18" s="146"/>
    </row>
    <row r="19" spans="2:86" ht="15" customHeight="1" x14ac:dyDescent="0.25">
      <c r="B19" s="143"/>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row>
    <row r="20" spans="2:86" x14ac:dyDescent="0.25">
      <c r="B20" s="143"/>
      <c r="C20" s="887" t="s">
        <v>221</v>
      </c>
      <c r="D20" s="888"/>
      <c r="E20" s="888"/>
      <c r="F20" s="888"/>
      <c r="G20" s="888"/>
      <c r="H20" s="888"/>
      <c r="I20" s="888"/>
      <c r="J20" s="888"/>
      <c r="K20" s="888"/>
      <c r="L20" s="888"/>
      <c r="M20" s="888"/>
      <c r="N20" s="888"/>
      <c r="O20" s="888"/>
      <c r="P20" s="888"/>
      <c r="Q20" s="888"/>
      <c r="R20" s="888"/>
      <c r="S20" s="888"/>
      <c r="T20" s="888"/>
      <c r="U20" s="888"/>
      <c r="V20" s="888"/>
      <c r="W20" s="888"/>
      <c r="X20" s="888"/>
      <c r="Y20" s="888"/>
      <c r="Z20" s="146"/>
      <c r="AA20" s="899" t="s">
        <v>224</v>
      </c>
      <c r="AB20" s="899"/>
      <c r="AC20" s="899"/>
      <c r="AD20" s="899"/>
      <c r="AE20" s="899"/>
      <c r="AF20" s="899"/>
      <c r="AG20" s="899"/>
      <c r="AH20" s="899"/>
      <c r="AI20" s="899"/>
      <c r="AJ20" s="899"/>
      <c r="AK20" s="899"/>
      <c r="AL20" s="899"/>
      <c r="AM20" s="899"/>
      <c r="AN20" s="899"/>
      <c r="AO20" s="146"/>
      <c r="AP20" s="155"/>
      <c r="AQ20" s="155"/>
      <c r="AR20" s="155"/>
      <c r="AS20" s="155"/>
      <c r="AT20" s="155"/>
      <c r="AU20" s="155"/>
      <c r="AV20" s="146"/>
      <c r="AW20" s="155"/>
      <c r="AX20" s="155"/>
      <c r="AY20" s="155"/>
      <c r="AZ20" s="155"/>
      <c r="BA20" s="155"/>
      <c r="BB20" s="155"/>
      <c r="BC20" s="155"/>
      <c r="BD20" s="155"/>
      <c r="BE20" s="155"/>
      <c r="BF20" s="155"/>
      <c r="BG20" s="155"/>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row>
    <row r="21" spans="2:86" ht="6" customHeight="1" x14ac:dyDescent="0.25">
      <c r="B21" s="143"/>
      <c r="D21" s="146"/>
      <c r="E21" s="146"/>
      <c r="F21" s="146"/>
      <c r="G21" s="146"/>
      <c r="H21" s="146"/>
      <c r="I21" s="146"/>
      <c r="J21" s="146"/>
      <c r="K21" s="146"/>
      <c r="L21" s="146"/>
      <c r="M21" s="146"/>
      <c r="N21" s="146"/>
      <c r="O21" s="146"/>
      <c r="P21" s="146"/>
      <c r="Q21" s="146"/>
      <c r="R21" s="146"/>
      <c r="S21" s="146"/>
      <c r="T21" s="146"/>
      <c r="U21" s="146"/>
      <c r="V21" s="146"/>
      <c r="W21" s="146"/>
      <c r="X21" s="146"/>
      <c r="Y21" s="146"/>
      <c r="Z21" s="155"/>
      <c r="AO21" s="155"/>
      <c r="AV21" s="146"/>
      <c r="AW21" s="157"/>
      <c r="AX21" s="157"/>
      <c r="AY21" s="157"/>
      <c r="AZ21" s="157"/>
      <c r="BA21" s="157"/>
      <c r="BB21" s="157"/>
      <c r="BC21" s="157"/>
      <c r="BD21" s="157"/>
      <c r="BE21" s="157"/>
      <c r="BF21" s="157"/>
      <c r="BG21" s="157"/>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H21" s="146"/>
    </row>
    <row r="22" spans="2:86" ht="24.75" customHeight="1" x14ac:dyDescent="0.25">
      <c r="B22" s="143"/>
      <c r="D22" s="889" t="s">
        <v>327</v>
      </c>
      <c r="E22" s="889"/>
      <c r="F22" s="889"/>
      <c r="G22" s="889"/>
      <c r="H22" s="890" t="s">
        <v>328</v>
      </c>
      <c r="I22" s="891"/>
      <c r="J22" s="891"/>
      <c r="K22" s="891"/>
      <c r="L22" s="891"/>
      <c r="M22" s="891"/>
      <c r="N22" s="891"/>
      <c r="O22" s="891"/>
      <c r="P22" s="891"/>
      <c r="Q22" s="892"/>
      <c r="R22" s="893" t="s">
        <v>223</v>
      </c>
      <c r="S22" s="894"/>
      <c r="T22" s="894"/>
      <c r="U22" s="894"/>
      <c r="V22" s="894"/>
      <c r="W22" s="894"/>
      <c r="X22" s="894"/>
      <c r="Y22" s="895"/>
      <c r="Z22" s="155"/>
      <c r="AA22" s="906" t="s">
        <v>230</v>
      </c>
      <c r="AB22" s="906"/>
      <c r="AC22" s="906" t="s">
        <v>231</v>
      </c>
      <c r="AD22" s="906"/>
      <c r="AE22" s="906"/>
      <c r="AF22" s="161" t="s">
        <v>232</v>
      </c>
      <c r="AG22" s="906" t="s">
        <v>233</v>
      </c>
      <c r="AH22" s="906"/>
      <c r="AI22" s="161" t="s">
        <v>234</v>
      </c>
      <c r="AJ22" s="906" t="s">
        <v>24</v>
      </c>
      <c r="AK22" s="906"/>
      <c r="AL22" s="161" t="s">
        <v>235</v>
      </c>
      <c r="AM22" s="161" t="s">
        <v>236</v>
      </c>
      <c r="AN22" s="161" t="s">
        <v>237</v>
      </c>
      <c r="AO22" s="155"/>
      <c r="AP22" s="156"/>
      <c r="AQ22" s="156"/>
      <c r="AR22" s="156"/>
      <c r="AS22" s="156"/>
      <c r="AT22" s="156"/>
      <c r="AU22" s="156"/>
      <c r="AV22" s="146"/>
      <c r="AW22" s="157"/>
      <c r="AX22" s="157"/>
      <c r="AY22" s="157"/>
      <c r="AZ22" s="157"/>
      <c r="BA22" s="157"/>
      <c r="BB22" s="157"/>
      <c r="BC22" s="157"/>
      <c r="BD22" s="157"/>
      <c r="BE22" s="157"/>
      <c r="BF22" s="157"/>
      <c r="BG22" s="157"/>
      <c r="BH22" s="146"/>
      <c r="BI22" s="146"/>
      <c r="BJ22" s="146"/>
      <c r="BK22" s="146"/>
      <c r="BL22" s="146"/>
      <c r="BM22" s="146"/>
      <c r="BN22" s="146"/>
      <c r="BO22" s="146"/>
      <c r="BP22" s="146"/>
      <c r="BQ22" s="146"/>
      <c r="BR22" s="146"/>
      <c r="BS22" s="146"/>
      <c r="BT22" s="146"/>
      <c r="BU22" s="146"/>
      <c r="BV22" s="146"/>
      <c r="BW22" s="146"/>
      <c r="BX22" s="146"/>
      <c r="BY22" s="146"/>
      <c r="BZ22" s="146"/>
      <c r="CA22" s="146"/>
      <c r="CB22" s="146"/>
      <c r="CC22" s="146"/>
      <c r="CD22" s="146"/>
      <c r="CE22" s="146"/>
      <c r="CF22" s="146"/>
      <c r="CG22" s="146"/>
      <c r="CH22" s="146"/>
    </row>
    <row r="23" spans="2:86" ht="15" customHeight="1" x14ac:dyDescent="0.25">
      <c r="B23" s="143"/>
      <c r="D23" s="889"/>
      <c r="E23" s="889"/>
      <c r="F23" s="889"/>
      <c r="G23" s="889"/>
      <c r="H23" s="900" t="s">
        <v>225</v>
      </c>
      <c r="I23" s="901" t="s">
        <v>226</v>
      </c>
      <c r="J23" s="901"/>
      <c r="K23" s="902" t="s">
        <v>227</v>
      </c>
      <c r="L23" s="903"/>
      <c r="M23" s="904"/>
      <c r="N23" s="905" t="s">
        <v>228</v>
      </c>
      <c r="O23" s="905" t="s">
        <v>229</v>
      </c>
      <c r="P23" s="911" t="s">
        <v>329</v>
      </c>
      <c r="Q23" s="912"/>
      <c r="R23" s="896"/>
      <c r="S23" s="897"/>
      <c r="T23" s="897"/>
      <c r="U23" s="897"/>
      <c r="V23" s="897"/>
      <c r="W23" s="897"/>
      <c r="X23" s="897"/>
      <c r="Y23" s="898"/>
      <c r="Z23" s="155"/>
      <c r="AA23" s="917" t="s">
        <v>332</v>
      </c>
      <c r="AB23" s="822"/>
      <c r="AC23" s="875" t="str">
        <f>IF(AA23="Aceptar el riesgo","No aplica","SI")</f>
        <v>No aplica</v>
      </c>
      <c r="AD23" s="875"/>
      <c r="AE23" s="875"/>
      <c r="AF23" s="784"/>
      <c r="AG23" s="784"/>
      <c r="AH23" s="784"/>
      <c r="AI23" s="605"/>
      <c r="AJ23" s="605"/>
      <c r="AK23" s="605"/>
      <c r="AL23" s="605"/>
      <c r="AM23" s="605"/>
      <c r="AN23" s="605"/>
      <c r="AO23" s="155"/>
      <c r="AP23" s="156"/>
      <c r="AQ23" s="156"/>
      <c r="AR23" s="156"/>
      <c r="AS23" s="156"/>
      <c r="AT23" s="156"/>
      <c r="AU23" s="156"/>
      <c r="AV23" s="155"/>
      <c r="AW23" s="157"/>
      <c r="AX23" s="157"/>
      <c r="AY23" s="157"/>
      <c r="AZ23" s="157"/>
      <c r="BA23" s="157"/>
      <c r="BB23" s="157"/>
      <c r="BC23" s="157"/>
      <c r="BD23" s="157"/>
      <c r="BE23" s="157"/>
      <c r="BF23" s="157"/>
      <c r="BG23" s="157"/>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row>
    <row r="24" spans="2:86" ht="46.5" customHeight="1" x14ac:dyDescent="0.25">
      <c r="B24" s="143"/>
      <c r="D24" s="158" t="s">
        <v>4</v>
      </c>
      <c r="E24" s="158" t="s">
        <v>242</v>
      </c>
      <c r="F24" s="915" t="s">
        <v>239</v>
      </c>
      <c r="G24" s="916"/>
      <c r="H24" s="889"/>
      <c r="I24" s="901"/>
      <c r="J24" s="901"/>
      <c r="K24" s="902" t="s">
        <v>240</v>
      </c>
      <c r="L24" s="904"/>
      <c r="M24" s="159" t="s">
        <v>241</v>
      </c>
      <c r="N24" s="905"/>
      <c r="O24" s="905"/>
      <c r="P24" s="913"/>
      <c r="Q24" s="914"/>
      <c r="R24" s="757" t="s">
        <v>4</v>
      </c>
      <c r="S24" s="757"/>
      <c r="T24" s="757" t="s">
        <v>2</v>
      </c>
      <c r="U24" s="757"/>
      <c r="V24" s="757" t="s">
        <v>239</v>
      </c>
      <c r="W24" s="757"/>
      <c r="X24" s="757"/>
      <c r="Y24" s="757"/>
      <c r="Z24" s="155"/>
      <c r="AA24" s="878"/>
      <c r="AB24" s="879"/>
      <c r="AC24" s="875"/>
      <c r="AD24" s="875"/>
      <c r="AE24" s="875"/>
      <c r="AF24" s="784"/>
      <c r="AG24" s="784"/>
      <c r="AH24" s="784"/>
      <c r="AI24" s="605"/>
      <c r="AJ24" s="605"/>
      <c r="AK24" s="605"/>
      <c r="AL24" s="605"/>
      <c r="AM24" s="605"/>
      <c r="AN24" s="605"/>
      <c r="AO24" s="155"/>
      <c r="AP24" s="177"/>
      <c r="AQ24" s="177"/>
      <c r="AR24" s="177"/>
      <c r="AS24" s="177"/>
      <c r="AT24" s="177"/>
      <c r="AU24" s="177"/>
      <c r="AV24" s="155"/>
      <c r="AW24" s="157"/>
      <c r="AX24" s="157"/>
      <c r="AY24" s="157"/>
      <c r="AZ24" s="157"/>
      <c r="BA24" s="157"/>
      <c r="BB24" s="157"/>
      <c r="BC24" s="157"/>
      <c r="BD24" s="157"/>
      <c r="BE24" s="157"/>
      <c r="BF24" s="157"/>
      <c r="BG24" s="157"/>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c r="CE24" s="155"/>
    </row>
    <row r="25" spans="2:86" ht="15" customHeight="1" x14ac:dyDescent="0.25">
      <c r="B25" s="143"/>
      <c r="D25" s="875" t="s">
        <v>243</v>
      </c>
      <c r="E25" s="875" t="s">
        <v>245</v>
      </c>
      <c r="F25" s="875" t="str">
        <f>IF(AND(D25="1. Rara vez",E25="1. Insignificante"),"Bajo",IF(AND(D25="1. Rara vez",E25="2. Menor"),"Bajo",IF(AND(D25="2. Improbable",E25="1. Insignificante"),"Bajo",IF(AND(D25="2. Improbable",E25="2. Menor"),"Bajo",IF(AND(D25="3. Posible",E25="1. Insignificante"),"Bajo",IF(AND(D25="4. Probable",E25="1. Insignificante"),"Moderado",IF(AND(D25="3. Posible",E25="2. Menor"),"Moderado",IF(AND(D25="2. Improbable",E25="3. Moderado"),"Moderado",IF(AND(D25="1. Rara vez",E25="3. Moderado"),"Moderado",IF(AND(D25="1. Rara vez",E25="4. Mayor"),"Alto",IF(AND(D25="2. Improbable",E25="4. Mayor"),"Alto",IF(AND(D25="3. Posible",E25="3. Moderado"),"Alto",IF(AND(D25="4. Probable",E25="2. Menor"),"Alto",IF(AND(D25="4. Probable",E25="3. Moderado"),"Alto",IF(AND(D25="5. Casi seguro",E25="1. Insignificante"),"Alto",IF(AND(D25="5. Casi seguro",E25="2. Menor"),"Alto",IF(AND(D25="1. Rara vez",E25="5. Catastrófico"),"Extremo",IF(AND(D25="2. Improbable",E25="5. Catastrófico"),"Extremo",IF(AND(D25="3. Posible",E25="4. Mayor"),"Extremo",IF(AND(D25="3. Posible",E25="5. Catastrófico"),"Extremo",IF(AND(D25="4. Probable",E25="4. Mayor"),"Extremo",IF(AND(D25="4. Probable",E25="5. Catastrófico"),"Extremo",IF(AND(D25="5. Casi seguro",E25="3. Moderado"),"Extremo",IF(AND(D25="5. Casi seguro",E25="4. Mayor"),"Extremo",IF(AND(D25="5. Casi seguro",E25="5. Catastrófico"),"Extremo","0")))))))))))))))))))))))))</f>
        <v>Alto</v>
      </c>
      <c r="G25" s="875"/>
      <c r="H25" s="907" t="s">
        <v>330</v>
      </c>
      <c r="I25" s="910" t="str">
        <f>G62</f>
        <v>Fuerte</v>
      </c>
      <c r="J25" s="910"/>
      <c r="K25" s="791" t="s">
        <v>244</v>
      </c>
      <c r="L25" s="792"/>
      <c r="M25" s="918" t="str">
        <f>IF(K25="El control se ejecuta de manera consistente por parte del responsable","Fuerte",IF(K25="El control se ejecuta algunas veces por parte del responsable.","Moderado","Débil"))</f>
        <v>Fuerte</v>
      </c>
      <c r="N25" s="910" t="str">
        <f>IF(AND(I25="Fuerte",M25="Fuerte"),"Fuerte",IF(AND(I25="Fuerte",M25="Moderado"),"Moderado",IF(AND(I25="Fuerte",M25="Débil"),"Débil",IF(AND(I25="Moderado",M25="Fuerte"),"Moderado",IF(AND(I25="Moderado",M25="Moderado"),"Moderado",IF(AND(I25="Moderado",M25="Dédil"),"Débil",IF(AND(I25="Débil",M25="Fuerte"),"Débil",IF(AND(I25="Débil",M25="Moderado"),"Débil",IF(AND(I25="Débil",M25="Débil"),"Débil","Débil")))))))))</f>
        <v>Fuerte</v>
      </c>
      <c r="O25" s="910" t="str">
        <f>IF(N25="Fuerte","NO","SI")</f>
        <v>NO</v>
      </c>
      <c r="P25" s="875" t="str">
        <f>G65</f>
        <v>Fuerte</v>
      </c>
      <c r="Q25" s="875"/>
      <c r="R25" s="875" t="s">
        <v>243</v>
      </c>
      <c r="S25" s="875"/>
      <c r="T25" s="875" t="s">
        <v>331</v>
      </c>
      <c r="U25" s="875"/>
      <c r="V25" s="875" t="str">
        <f>IF(AND(R25="1. Rara vez",T25="1. Insignificante"),"Bajo",IF(AND(R25="1. Rara vez",T25="2. Menor"),"Bajo",IF(AND(R25="2. Improbable",T25="1. Insignificante"),"Bajo",IF(AND(R25="2. Improbable",T25="2. Menor"),"Bajo",IF(AND(R25="3. Posible",T25="1. Insignificante"),"Bajo",IF(AND(R25="4. Probable",T25="1. Insignificante"),"Moderado",IF(AND(R25="3. Posible",T25="2. Menor"),"Moderado",IF(AND(R25="2. Improbable",T25="3. Moderado"),"Moderado",IF(AND(R25="1. Rara vez",T25="3. Moderado"),"Moderado",IF(AND(R25="1. Rara vez",T25="4. Mayor"),"Alto",IF(AND(R25="2. Improbable",T25="4. Mayor"),"Alto",IF(AND(R25="3. Posible",T25="3. Moderado"),"Alto",IF(AND(R25="4. Probable",T25="2. Menor"),"Alto",IF(AND(R25="4. Probable",T25="3. Moderado"),"Alto",IF(AND(R25="5. Casi seguro",T25="1. Insignificante"),"Alto",IF(AND(R25="5. Casi seguro",T25="2. Menor"),"Alto",IF(AND(R25="1. Rara vez",T25="5. Catastrófico"),"Extremo",IF(AND(R25="2. Improbable",T25="5. Catastrófico"),"Extremo",IF(AND(R25="3. Posible",T25="4. Mayor"),"Extremo",IF(AND(R25="3. Posible",T25="5. Catastrófico"),"Extremo",IF(AND(R25="4. Probable",T25="4. Mayor"),"Extremo",IF(AND(R25="4. Probable",T25="5. Catastrófico"),"Extremo",IF(AND(R25="5. Casi seguro",T25="3. Moderado"),"Extremo",IF(AND(R25="5. Casi seguro",T25="4. Mayor"),"Extremo",IF(AND(R25="5. Casi seguro",T25="5. Catastrófico"),"Extremo","0")))))))))))))))))))))))))</f>
        <v>Bajo</v>
      </c>
      <c r="W25" s="875"/>
      <c r="X25" s="875"/>
      <c r="Y25" s="875"/>
      <c r="Z25" s="155"/>
      <c r="AA25" s="878"/>
      <c r="AB25" s="879"/>
      <c r="AC25" s="875"/>
      <c r="AD25" s="875"/>
      <c r="AE25" s="875"/>
      <c r="AF25" s="784"/>
      <c r="AG25" s="784"/>
      <c r="AH25" s="784"/>
      <c r="AI25" s="605"/>
      <c r="AJ25" s="605"/>
      <c r="AK25" s="605"/>
      <c r="AL25" s="605"/>
      <c r="AM25" s="605"/>
      <c r="AN25" s="605"/>
      <c r="AO25" s="155"/>
      <c r="AP25" s="155"/>
      <c r="AQ25" s="155"/>
      <c r="AR25" s="155"/>
      <c r="AS25" s="155"/>
      <c r="AT25" s="155"/>
      <c r="AU25" s="155"/>
      <c r="AV25" s="155"/>
      <c r="AW25" s="157"/>
      <c r="AX25" s="157"/>
      <c r="AY25" s="157"/>
      <c r="AZ25" s="157"/>
      <c r="BA25" s="157"/>
      <c r="BB25" s="157"/>
      <c r="BC25" s="157"/>
      <c r="BD25" s="157"/>
      <c r="BE25" s="157"/>
      <c r="BF25" s="157"/>
      <c r="BG25" s="157"/>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c r="CE25" s="155"/>
      <c r="CF25" s="155"/>
      <c r="CG25" s="155"/>
      <c r="CH25" s="155"/>
    </row>
    <row r="26" spans="2:86" ht="75" customHeight="1" x14ac:dyDescent="0.25">
      <c r="B26" s="143"/>
      <c r="D26" s="875"/>
      <c r="E26" s="875"/>
      <c r="F26" s="875"/>
      <c r="G26" s="875"/>
      <c r="H26" s="908"/>
      <c r="I26" s="910"/>
      <c r="J26" s="910"/>
      <c r="K26" s="793"/>
      <c r="L26" s="794"/>
      <c r="M26" s="919"/>
      <c r="N26" s="910"/>
      <c r="O26" s="910"/>
      <c r="P26" s="875"/>
      <c r="Q26" s="875"/>
      <c r="R26" s="875"/>
      <c r="S26" s="875"/>
      <c r="T26" s="875"/>
      <c r="U26" s="875"/>
      <c r="V26" s="875"/>
      <c r="W26" s="875"/>
      <c r="X26" s="875"/>
      <c r="Y26" s="875"/>
      <c r="Z26" s="155"/>
      <c r="AA26" s="823"/>
      <c r="AB26" s="824"/>
      <c r="AC26" s="875"/>
      <c r="AD26" s="875"/>
      <c r="AE26" s="875"/>
      <c r="AF26" s="784"/>
      <c r="AG26" s="784"/>
      <c r="AH26" s="784"/>
      <c r="AI26" s="605"/>
      <c r="AJ26" s="605"/>
      <c r="AK26" s="605"/>
      <c r="AL26" s="605"/>
      <c r="AM26" s="605"/>
      <c r="AN26" s="605"/>
      <c r="AO26" s="155"/>
      <c r="AP26" s="155"/>
      <c r="AQ26" s="155"/>
      <c r="AR26" s="155"/>
      <c r="AS26" s="155"/>
      <c r="AT26" s="155"/>
      <c r="AU26" s="155"/>
      <c r="AV26" s="155"/>
      <c r="AW26" s="157"/>
      <c r="AX26" s="157"/>
      <c r="AY26" s="157"/>
      <c r="AZ26" s="157"/>
      <c r="BA26" s="157"/>
      <c r="BB26" s="157"/>
      <c r="BC26" s="157"/>
      <c r="BD26" s="157"/>
      <c r="BE26" s="157"/>
      <c r="BF26" s="157"/>
      <c r="BG26" s="157"/>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c r="CE26" s="155"/>
      <c r="CF26" s="155"/>
      <c r="CG26" s="155"/>
      <c r="CH26" s="155"/>
    </row>
    <row r="27" spans="2:86" ht="33.75" customHeight="1" x14ac:dyDescent="0.25">
      <c r="B27" s="143"/>
      <c r="D27" s="875"/>
      <c r="E27" s="875"/>
      <c r="F27" s="875"/>
      <c r="G27" s="875"/>
      <c r="H27" s="908"/>
      <c r="I27" s="910"/>
      <c r="J27" s="910"/>
      <c r="K27" s="793"/>
      <c r="L27" s="794"/>
      <c r="M27" s="919"/>
      <c r="N27" s="910"/>
      <c r="O27" s="910"/>
      <c r="P27" s="875"/>
      <c r="Q27" s="875"/>
      <c r="R27" s="875"/>
      <c r="S27" s="875"/>
      <c r="T27" s="875"/>
      <c r="U27" s="875"/>
      <c r="V27" s="875"/>
      <c r="W27" s="875"/>
      <c r="X27" s="875"/>
      <c r="Y27" s="87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row>
    <row r="28" spans="2:86" ht="133.5" customHeight="1" x14ac:dyDescent="0.25">
      <c r="B28" s="143"/>
      <c r="D28" s="875"/>
      <c r="E28" s="875"/>
      <c r="F28" s="875"/>
      <c r="G28" s="875"/>
      <c r="H28" s="909"/>
      <c r="I28" s="910"/>
      <c r="J28" s="910"/>
      <c r="K28" s="795"/>
      <c r="L28" s="796"/>
      <c r="M28" s="920"/>
      <c r="N28" s="910"/>
      <c r="O28" s="910"/>
      <c r="P28" s="875"/>
      <c r="Q28" s="875"/>
      <c r="R28" s="875"/>
      <c r="S28" s="875"/>
      <c r="T28" s="875"/>
      <c r="U28" s="875"/>
      <c r="V28" s="875"/>
      <c r="W28" s="875"/>
      <c r="X28" s="875"/>
      <c r="Y28" s="87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row>
    <row r="29" spans="2:86" ht="48" customHeight="1" x14ac:dyDescent="0.25">
      <c r="B29" s="143"/>
      <c r="H29" s="907" t="s">
        <v>333</v>
      </c>
      <c r="I29" s="910" t="str">
        <f>I62</f>
        <v>Moderado</v>
      </c>
      <c r="J29" s="910"/>
      <c r="K29" s="791" t="s">
        <v>244</v>
      </c>
      <c r="L29" s="792"/>
      <c r="M29" s="918" t="str">
        <f>IF(K29="El control se ejecuta de manera consistente por parte del responsable","Fuerte",IF(K29="El control se ejecuta algunas veces por parte del responsable.","Moderado","Débil"))</f>
        <v>Fuerte</v>
      </c>
      <c r="N29" s="910" t="str">
        <f>IF(AND(I29="Fuerte",M29="Fuerte"),"Fuerte",IF(AND(I29="Fuerte",M29="Moderado"),"Moderado",IF(AND(I29="Fuerte",M29="Débil"),"Débil",IF(AND(I29="Moderado",M29="Fuerte"),"Moderado",IF(AND(I29="Moderado",M29="Moderado"),"Moderado",IF(AND(I29="Moderado",M29="Dédil"),"Débil",IF(AND(I29="Débil",M29="Fuerte"),"Débil",IF(AND(I29="Débil",M29="Moderado"),"Débil",IF(AND(I29="Débil",M29="Débil"),"Débil","Débil")))))))))</f>
        <v>Moderado</v>
      </c>
      <c r="O29" s="910" t="str">
        <f>IF(N29="Fuerte","NO","SI")</f>
        <v>SI</v>
      </c>
      <c r="P29" s="875"/>
      <c r="Q29" s="875"/>
      <c r="R29" s="146"/>
      <c r="S29" s="146"/>
      <c r="T29" s="146"/>
      <c r="U29" s="146"/>
      <c r="V29" s="146"/>
      <c r="W29" s="146"/>
      <c r="X29" s="146"/>
      <c r="Y29" s="146"/>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row>
    <row r="30" spans="2:86" ht="48" customHeight="1" x14ac:dyDescent="0.25">
      <c r="B30" s="143"/>
      <c r="H30" s="908"/>
      <c r="I30" s="910"/>
      <c r="J30" s="910"/>
      <c r="K30" s="793"/>
      <c r="L30" s="794"/>
      <c r="M30" s="919"/>
      <c r="N30" s="910"/>
      <c r="O30" s="910"/>
      <c r="P30" s="875"/>
      <c r="Q30" s="875"/>
      <c r="R30" s="146"/>
      <c r="S30" s="146"/>
      <c r="T30" s="146"/>
      <c r="U30" s="146"/>
      <c r="V30" s="146"/>
      <c r="W30" s="146"/>
      <c r="X30" s="146"/>
      <c r="Y30" s="146"/>
      <c r="AP30" s="155"/>
      <c r="AQ30" s="155"/>
      <c r="AR30" s="155"/>
      <c r="AS30" s="155"/>
      <c r="AT30" s="155"/>
      <c r="AU30" s="155"/>
      <c r="AV30" s="155"/>
      <c r="AW30" s="155"/>
      <c r="AX30" s="155"/>
      <c r="AY30" s="155"/>
      <c r="AZ30" s="155"/>
      <c r="BA30" s="155"/>
      <c r="BB30" s="155"/>
      <c r="BC30" s="155"/>
      <c r="BD30" s="155"/>
      <c r="BE30" s="155"/>
      <c r="BF30" s="155"/>
      <c r="BG30" s="155"/>
      <c r="BH30" s="155"/>
      <c r="BI30" s="155"/>
      <c r="BJ30" s="155"/>
      <c r="BK30" s="155"/>
      <c r="BL30" s="155"/>
      <c r="BM30" s="155"/>
      <c r="BN30" s="155"/>
      <c r="BO30" s="155"/>
      <c r="BP30" s="155"/>
      <c r="BQ30" s="155"/>
      <c r="BR30" s="155"/>
      <c r="BS30" s="155"/>
      <c r="BT30" s="155"/>
      <c r="BU30" s="155"/>
      <c r="BV30" s="155"/>
      <c r="BW30" s="155"/>
      <c r="BX30" s="155"/>
      <c r="BY30" s="155"/>
      <c r="BZ30" s="155"/>
      <c r="CA30" s="155"/>
      <c r="CB30" s="155"/>
      <c r="CC30" s="155"/>
      <c r="CD30" s="155"/>
      <c r="CE30" s="155"/>
    </row>
    <row r="31" spans="2:86" ht="48" customHeight="1" x14ac:dyDescent="0.25">
      <c r="B31" s="143"/>
      <c r="H31" s="908"/>
      <c r="I31" s="910"/>
      <c r="J31" s="910"/>
      <c r="K31" s="793"/>
      <c r="L31" s="794"/>
      <c r="M31" s="919"/>
      <c r="N31" s="910"/>
      <c r="O31" s="910"/>
      <c r="P31" s="875"/>
      <c r="Q31" s="875"/>
      <c r="R31" s="146"/>
      <c r="S31" s="146"/>
      <c r="T31" s="146"/>
      <c r="U31" s="146"/>
      <c r="V31" s="146"/>
      <c r="W31" s="146"/>
      <c r="X31" s="146"/>
      <c r="Y31" s="146"/>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155"/>
      <c r="BR31" s="155"/>
      <c r="BS31" s="155"/>
      <c r="BT31" s="155"/>
      <c r="BU31" s="155"/>
      <c r="BV31" s="155"/>
      <c r="BW31" s="155"/>
      <c r="BX31" s="155"/>
      <c r="BY31" s="155"/>
      <c r="BZ31" s="155"/>
      <c r="CA31" s="155"/>
      <c r="CB31" s="155"/>
      <c r="CC31" s="155"/>
      <c r="CD31" s="155"/>
      <c r="CE31" s="155"/>
    </row>
    <row r="32" spans="2:86" ht="75" customHeight="1" x14ac:dyDescent="0.25">
      <c r="B32" s="143"/>
      <c r="H32" s="909"/>
      <c r="I32" s="910"/>
      <c r="J32" s="910"/>
      <c r="K32" s="795"/>
      <c r="L32" s="796"/>
      <c r="M32" s="920"/>
      <c r="N32" s="910"/>
      <c r="O32" s="910"/>
      <c r="P32" s="875"/>
      <c r="Q32" s="875"/>
    </row>
    <row r="33" spans="2:88" ht="37.5" customHeight="1" x14ac:dyDescent="0.25">
      <c r="B33" s="143"/>
      <c r="H33" s="835"/>
      <c r="I33" s="910">
        <f>K62</f>
        <v>0</v>
      </c>
      <c r="J33" s="910"/>
      <c r="K33" s="791"/>
      <c r="L33" s="792"/>
      <c r="M33" s="918" t="str">
        <f>IF(K33="El control se ejecuta de manera consistente por parte del responsable","Fuerte",IF(K33="El control se ejecuta algunas veces por parte del responsable.","Moderado","Débil"))</f>
        <v>Débil</v>
      </c>
      <c r="N33" s="910" t="str">
        <f>IF(AND(I33="Fuerte",M33="Fuerte"),"Fuerte",IF(AND(I33="Fuerte",M33="Moderado"),"Moderado",IF(AND(I33="Fuerte",M33="Débil"),"Débil",IF(AND(I33="Moderado",M33="Fuerte"),"Moderado",IF(AND(I33="Moderado",M33="Moderado"),"Moderado",IF(AND(I33="Moderado",M33="Dédil"),"Débil",IF(AND(I33="Débil",M33="Fuerte"),"Débil",IF(AND(I33="Débil",M33="Moderado"),"Débil",IF(AND(I33="Débil",M33="Débil"),"Débil","Débil")))))))))</f>
        <v>Débil</v>
      </c>
      <c r="O33" s="910" t="str">
        <f>IF(N33="Fuerte","NO","SI")</f>
        <v>SI</v>
      </c>
      <c r="P33" s="875"/>
      <c r="Q33" s="875"/>
    </row>
    <row r="34" spans="2:88" ht="37.5" customHeight="1" x14ac:dyDescent="0.25">
      <c r="B34" s="143"/>
      <c r="H34" s="835"/>
      <c r="I34" s="910"/>
      <c r="J34" s="910"/>
      <c r="K34" s="793"/>
      <c r="L34" s="794"/>
      <c r="M34" s="919"/>
      <c r="N34" s="910"/>
      <c r="O34" s="910"/>
      <c r="P34" s="875"/>
      <c r="Q34" s="875"/>
    </row>
    <row r="35" spans="2:88" ht="37.5" customHeight="1" x14ac:dyDescent="0.25">
      <c r="B35" s="143"/>
      <c r="H35" s="835"/>
      <c r="I35" s="910"/>
      <c r="J35" s="910"/>
      <c r="K35" s="793"/>
      <c r="L35" s="794"/>
      <c r="M35" s="919"/>
      <c r="N35" s="910"/>
      <c r="O35" s="910"/>
      <c r="P35" s="875"/>
      <c r="Q35" s="875"/>
    </row>
    <row r="36" spans="2:88" ht="37.5" customHeight="1" x14ac:dyDescent="0.25">
      <c r="B36" s="143"/>
      <c r="H36" s="835"/>
      <c r="I36" s="910"/>
      <c r="J36" s="910"/>
      <c r="K36" s="795"/>
      <c r="L36" s="796"/>
      <c r="M36" s="920"/>
      <c r="N36" s="910"/>
      <c r="O36" s="910"/>
      <c r="P36" s="875"/>
      <c r="Q36" s="875"/>
    </row>
    <row r="37" spans="2:88" ht="15" customHeight="1" x14ac:dyDescent="0.25">
      <c r="B37" s="143"/>
    </row>
    <row r="38" spans="2:88" ht="15" customHeight="1" x14ac:dyDescent="0.25">
      <c r="B38" s="143"/>
    </row>
    <row r="39" spans="2:88" x14ac:dyDescent="0.25">
      <c r="B39" s="143"/>
    </row>
    <row r="40" spans="2:88" ht="15" customHeight="1" x14ac:dyDescent="0.25">
      <c r="B40" s="143"/>
      <c r="M40" s="921" t="s">
        <v>246</v>
      </c>
      <c r="N40" s="921"/>
      <c r="O40" s="921"/>
      <c r="P40" s="921"/>
      <c r="Q40" s="921"/>
    </row>
    <row r="41" spans="2:88" ht="15" customHeight="1" x14ac:dyDescent="0.25">
      <c r="B41" s="143"/>
      <c r="D41" s="829" t="s">
        <v>334</v>
      </c>
      <c r="E41" s="923"/>
      <c r="F41" s="923"/>
      <c r="G41" s="923"/>
      <c r="H41" s="923"/>
      <c r="I41" s="923"/>
      <c r="J41" s="923"/>
      <c r="K41" s="924"/>
      <c r="M41" s="922"/>
      <c r="N41" s="922"/>
      <c r="O41" s="922"/>
      <c r="P41" s="922"/>
      <c r="Q41" s="922"/>
    </row>
    <row r="42" spans="2:88" ht="15" customHeight="1" x14ac:dyDescent="0.25">
      <c r="B42" s="143"/>
    </row>
    <row r="43" spans="2:88" ht="15" customHeight="1" x14ac:dyDescent="0.25">
      <c r="B43" s="143"/>
      <c r="F43" s="620" t="s">
        <v>250</v>
      </c>
      <c r="G43" s="621"/>
      <c r="H43" s="620" t="s">
        <v>251</v>
      </c>
      <c r="I43" s="621"/>
      <c r="J43" s="620" t="s">
        <v>252</v>
      </c>
      <c r="K43" s="621"/>
      <c r="M43" s="771" t="s">
        <v>253</v>
      </c>
      <c r="N43" s="771" t="s">
        <v>335</v>
      </c>
      <c r="O43" s="771" t="s">
        <v>254</v>
      </c>
      <c r="P43" s="771" t="s">
        <v>255</v>
      </c>
      <c r="Q43" s="771" t="s">
        <v>256</v>
      </c>
    </row>
    <row r="44" spans="2:88" x14ac:dyDescent="0.25">
      <c r="B44" s="143"/>
      <c r="D44" s="153" t="s">
        <v>258</v>
      </c>
      <c r="E44" s="153" t="s">
        <v>259</v>
      </c>
      <c r="F44" s="153" t="s">
        <v>260</v>
      </c>
      <c r="G44" s="153" t="s">
        <v>261</v>
      </c>
      <c r="H44" s="153" t="s">
        <v>260</v>
      </c>
      <c r="I44" s="153" t="s">
        <v>261</v>
      </c>
      <c r="J44" s="153" t="s">
        <v>260</v>
      </c>
      <c r="K44" s="153" t="s">
        <v>261</v>
      </c>
      <c r="M44" s="797"/>
      <c r="N44" s="797"/>
      <c r="O44" s="797"/>
      <c r="P44" s="797"/>
      <c r="Q44" s="797"/>
    </row>
    <row r="45" spans="2:88" x14ac:dyDescent="0.25">
      <c r="B45" s="143"/>
      <c r="D45" s="775" t="s">
        <v>263</v>
      </c>
      <c r="E45" s="827" t="s">
        <v>264</v>
      </c>
      <c r="F45" s="825" t="s">
        <v>265</v>
      </c>
      <c r="G45" s="918">
        <f>IF(F45=[3]Listas!$S$2,15,IF(F45=[3]Listas!$S$3,0,""))</f>
        <v>15</v>
      </c>
      <c r="H45" s="825" t="s">
        <v>265</v>
      </c>
      <c r="I45" s="918">
        <f>IF(H45=[3]Listas!$S$2,15,IF(H45=[3]Listas!$S$3,0,""))</f>
        <v>15</v>
      </c>
      <c r="J45" s="825"/>
      <c r="K45" s="918" t="str">
        <f>IF(J45=[3]Listas!$S$2,15,IF(J45=[3]Listas!$S$3,0,""))</f>
        <v/>
      </c>
      <c r="M45" s="772"/>
      <c r="N45" s="772"/>
      <c r="O45" s="772"/>
      <c r="P45" s="772"/>
      <c r="Q45" s="772"/>
    </row>
    <row r="46" spans="2:88" ht="37.5" customHeight="1" x14ac:dyDescent="0.25">
      <c r="B46" s="143"/>
      <c r="D46" s="776"/>
      <c r="E46" s="828"/>
      <c r="F46" s="826"/>
      <c r="G46" s="920"/>
      <c r="H46" s="826"/>
      <c r="I46" s="920"/>
      <c r="J46" s="826"/>
      <c r="K46" s="920"/>
      <c r="M46" s="162" t="s">
        <v>267</v>
      </c>
      <c r="N46" s="162" t="s">
        <v>268</v>
      </c>
      <c r="O46" s="162" t="s">
        <v>268</v>
      </c>
      <c r="P46" s="162">
        <v>2</v>
      </c>
      <c r="Q46" s="162">
        <v>2</v>
      </c>
      <c r="CJ46" s="157"/>
    </row>
    <row r="47" spans="2:88" ht="37.5" customHeight="1" x14ac:dyDescent="0.25">
      <c r="B47" s="143"/>
      <c r="D47" s="776"/>
      <c r="E47" s="931" t="s">
        <v>270</v>
      </c>
      <c r="F47" s="825" t="s">
        <v>271</v>
      </c>
      <c r="G47" s="918">
        <f>IF(F47=[3]Listas!$S$4,15,IF(F47=[3]Listas!$S$5,0,""))</f>
        <v>15</v>
      </c>
      <c r="H47" s="825" t="s">
        <v>271</v>
      </c>
      <c r="I47" s="918">
        <f>IF(H47=[3]Listas!$S$4,15,IF(H47=[3]Listas!$S$5,0,""))</f>
        <v>15</v>
      </c>
      <c r="J47" s="825"/>
      <c r="K47" s="918" t="str">
        <f>IF(J47=[3]Listas!$S$4,15,IF(J47=[3]Listas!$S$5,0,""))</f>
        <v/>
      </c>
      <c r="M47" s="178" t="s">
        <v>267</v>
      </c>
      <c r="N47" s="178" t="s">
        <v>268</v>
      </c>
      <c r="O47" s="178" t="s">
        <v>272</v>
      </c>
      <c r="P47" s="178">
        <v>2</v>
      </c>
      <c r="Q47" s="178">
        <v>1</v>
      </c>
    </row>
    <row r="48" spans="2:88" ht="37.5" customHeight="1" x14ac:dyDescent="0.25">
      <c r="B48" s="143"/>
      <c r="D48" s="802"/>
      <c r="E48" s="930"/>
      <c r="F48" s="826"/>
      <c r="G48" s="920"/>
      <c r="H48" s="826"/>
      <c r="I48" s="920"/>
      <c r="J48" s="826"/>
      <c r="K48" s="920"/>
      <c r="M48" s="178" t="s">
        <v>267</v>
      </c>
      <c r="N48" s="178" t="s">
        <v>268</v>
      </c>
      <c r="O48" s="178" t="s">
        <v>277</v>
      </c>
      <c r="P48" s="178">
        <v>2</v>
      </c>
      <c r="Q48" s="178">
        <v>0</v>
      </c>
    </row>
    <row r="49" spans="2:23" ht="37.5" customHeight="1" x14ac:dyDescent="0.25">
      <c r="B49" s="143"/>
      <c r="D49" s="925" t="s">
        <v>274</v>
      </c>
      <c r="E49" s="928" t="s">
        <v>275</v>
      </c>
      <c r="F49" s="775" t="s">
        <v>276</v>
      </c>
      <c r="G49" s="918">
        <f>IF(F49=[3]Listas!$S$6,15,IF(F49=[3]Listas!$S$7,0,""))</f>
        <v>15</v>
      </c>
      <c r="H49" s="825" t="s">
        <v>276</v>
      </c>
      <c r="I49" s="918">
        <f>IF(H49=[3]Listas!$S$6,15,IF(H49=[3]Listas!$S$7,0,""))</f>
        <v>15</v>
      </c>
      <c r="J49" s="825"/>
      <c r="K49" s="918" t="str">
        <f>IF(J49=[3]Listas!$S$6,15,IF(J49=[3]Listas!$S$7,0,""))</f>
        <v/>
      </c>
      <c r="M49" s="178" t="s">
        <v>267</v>
      </c>
      <c r="N49" s="178" t="s">
        <v>277</v>
      </c>
      <c r="O49" s="178" t="s">
        <v>268</v>
      </c>
      <c r="P49" s="178">
        <v>0</v>
      </c>
      <c r="Q49" s="178">
        <v>2</v>
      </c>
    </row>
    <row r="50" spans="2:23" ht="37.5" customHeight="1" x14ac:dyDescent="0.25">
      <c r="B50" s="143"/>
      <c r="D50" s="927"/>
      <c r="E50" s="930"/>
      <c r="F50" s="802"/>
      <c r="G50" s="920"/>
      <c r="H50" s="826"/>
      <c r="I50" s="920"/>
      <c r="J50" s="826"/>
      <c r="K50" s="920"/>
      <c r="M50" s="178" t="s">
        <v>283</v>
      </c>
      <c r="N50" s="178" t="s">
        <v>268</v>
      </c>
      <c r="O50" s="178" t="s">
        <v>268</v>
      </c>
      <c r="P50" s="178">
        <v>1</v>
      </c>
      <c r="Q50" s="178">
        <v>1</v>
      </c>
    </row>
    <row r="51" spans="2:23" ht="37.5" customHeight="1" x14ac:dyDescent="0.25">
      <c r="B51" s="143"/>
      <c r="D51" s="925" t="s">
        <v>280</v>
      </c>
      <c r="E51" s="928" t="s">
        <v>281</v>
      </c>
      <c r="F51" s="825" t="s">
        <v>282</v>
      </c>
      <c r="G51" s="918">
        <f>IF(F51=[3]Listas!$S$8,15,IF('[3]Riesgos de gestión'!F51=[3]Listas!$S$9,10,IF('[3]Riesgos de gestión'!F51=[3]Listas!$S$10,0,"")))</f>
        <v>15</v>
      </c>
      <c r="H51" s="825" t="s">
        <v>336</v>
      </c>
      <c r="I51" s="918">
        <f>IF(H51=[3]Listas!$S$8,15,IF(H51=[3]Listas!$S$9,10,IF(H51=[3]Listas!$S$10,0,"")))</f>
        <v>10</v>
      </c>
      <c r="J51" s="825"/>
      <c r="K51" s="918" t="str">
        <f>IF(J51=[3]Listas!$S$8,15,IF(J51=[3]Listas!$S$9,10,IF(J51=[3]Listas!$S$10,0,"")))</f>
        <v/>
      </c>
      <c r="M51" s="178" t="s">
        <v>283</v>
      </c>
      <c r="N51" s="178" t="s">
        <v>268</v>
      </c>
      <c r="O51" s="178" t="s">
        <v>272</v>
      </c>
      <c r="P51" s="178">
        <v>1</v>
      </c>
      <c r="Q51" s="178">
        <v>0</v>
      </c>
    </row>
    <row r="52" spans="2:23" ht="37.5" customHeight="1" x14ac:dyDescent="0.25">
      <c r="B52" s="143"/>
      <c r="D52" s="926"/>
      <c r="E52" s="929"/>
      <c r="F52" s="876"/>
      <c r="G52" s="919"/>
      <c r="H52" s="876"/>
      <c r="I52" s="919"/>
      <c r="J52" s="876"/>
      <c r="K52" s="919"/>
      <c r="M52" s="178" t="s">
        <v>283</v>
      </c>
      <c r="N52" s="178" t="s">
        <v>268</v>
      </c>
      <c r="O52" s="178" t="s">
        <v>277</v>
      </c>
      <c r="P52" s="178">
        <v>1</v>
      </c>
      <c r="Q52" s="178">
        <v>0</v>
      </c>
    </row>
    <row r="53" spans="2:23" ht="37.5" customHeight="1" x14ac:dyDescent="0.25">
      <c r="B53" s="143"/>
      <c r="D53" s="927"/>
      <c r="E53" s="930"/>
      <c r="F53" s="826"/>
      <c r="G53" s="920"/>
      <c r="H53" s="826"/>
      <c r="I53" s="920"/>
      <c r="J53" s="826"/>
      <c r="K53" s="920"/>
      <c r="M53" s="178" t="s">
        <v>283</v>
      </c>
      <c r="N53" s="178" t="s">
        <v>277</v>
      </c>
      <c r="O53" s="178" t="s">
        <v>268</v>
      </c>
      <c r="P53" s="178">
        <v>0</v>
      </c>
      <c r="Q53" s="178">
        <v>1</v>
      </c>
    </row>
    <row r="54" spans="2:23" ht="37.5" customHeight="1" x14ac:dyDescent="0.25">
      <c r="B54" s="143"/>
      <c r="D54" s="925" t="s">
        <v>286</v>
      </c>
      <c r="E54" s="928" t="s">
        <v>287</v>
      </c>
      <c r="F54" s="825" t="s">
        <v>288</v>
      </c>
      <c r="G54" s="918">
        <f>IF(F54=[3]Listas!$S$11,15,IF(F54=[3]Listas!$S$12,0,""))</f>
        <v>15</v>
      </c>
      <c r="H54" s="825" t="s">
        <v>288</v>
      </c>
      <c r="I54" s="918">
        <f>IF(H54=[3]Listas!$S$11,15,IF(H54=[3]Listas!$S$12,0,""))</f>
        <v>15</v>
      </c>
      <c r="J54" s="825"/>
      <c r="K54" s="918" t="str">
        <f>IF(J54=[3]Listas!$S$11,15,IF(J54=[3]Listas!$S$12,0,""))</f>
        <v/>
      </c>
    </row>
    <row r="55" spans="2:23" ht="37.5" customHeight="1" x14ac:dyDescent="0.25">
      <c r="B55" s="143"/>
      <c r="D55" s="927"/>
      <c r="E55" s="930"/>
      <c r="F55" s="826"/>
      <c r="G55" s="920"/>
      <c r="H55" s="826"/>
      <c r="I55" s="920"/>
      <c r="J55" s="826"/>
      <c r="K55" s="920"/>
      <c r="M55" s="758" t="s">
        <v>294</v>
      </c>
      <c r="N55" s="758"/>
      <c r="O55" s="758"/>
      <c r="P55" s="760" t="s">
        <v>295</v>
      </c>
      <c r="Q55" s="760"/>
      <c r="R55" s="760"/>
    </row>
    <row r="56" spans="2:23" ht="37.5" customHeight="1" x14ac:dyDescent="0.25">
      <c r="B56" s="143"/>
      <c r="D56" s="907" t="s">
        <v>291</v>
      </c>
      <c r="E56" s="928" t="s">
        <v>292</v>
      </c>
      <c r="F56" s="825" t="s">
        <v>293</v>
      </c>
      <c r="G56" s="918">
        <f>IF(F56=[3]Listas!$S$13,15,IF(F56=[3]Listas!$S$14,0,""))</f>
        <v>15</v>
      </c>
      <c r="H56" s="775" t="s">
        <v>293</v>
      </c>
      <c r="I56" s="918">
        <f>IF(H56=[3]Listas!$S$13,15,IF(H56=[3]Listas!$S$14,0,""))</f>
        <v>15</v>
      </c>
      <c r="J56" s="825"/>
      <c r="K56" s="918" t="str">
        <f>IF(J56=[3]Listas!$S$13,15,IF(J56=[3]Listas!$S$14,0,""))</f>
        <v/>
      </c>
      <c r="M56" s="758"/>
      <c r="N56" s="758"/>
      <c r="O56" s="758"/>
      <c r="P56" s="760"/>
      <c r="Q56" s="760"/>
      <c r="R56" s="760"/>
      <c r="S56" s="163"/>
      <c r="T56" s="163"/>
      <c r="U56" s="163"/>
      <c r="V56" s="163"/>
      <c r="W56" s="163"/>
    </row>
    <row r="57" spans="2:23" ht="37.5" customHeight="1" x14ac:dyDescent="0.25">
      <c r="B57" s="143"/>
      <c r="D57" s="908"/>
      <c r="E57" s="929"/>
      <c r="F57" s="876"/>
      <c r="G57" s="919"/>
      <c r="H57" s="776"/>
      <c r="I57" s="919"/>
      <c r="J57" s="876"/>
      <c r="K57" s="919"/>
      <c r="M57" s="758"/>
      <c r="N57" s="758"/>
      <c r="O57" s="758"/>
      <c r="P57" s="760"/>
      <c r="Q57" s="760"/>
      <c r="R57" s="760"/>
      <c r="S57" s="163"/>
      <c r="T57" s="163"/>
      <c r="U57" s="163"/>
      <c r="V57" s="163"/>
      <c r="W57" s="163"/>
    </row>
    <row r="58" spans="2:23" ht="37.5" customHeight="1" x14ac:dyDescent="0.25">
      <c r="B58" s="143"/>
      <c r="D58" s="909"/>
      <c r="E58" s="930"/>
      <c r="F58" s="826"/>
      <c r="G58" s="920"/>
      <c r="H58" s="802"/>
      <c r="I58" s="920"/>
      <c r="J58" s="826"/>
      <c r="K58" s="920"/>
      <c r="S58" s="163"/>
      <c r="T58" s="163"/>
      <c r="U58" s="163"/>
      <c r="V58" s="163"/>
      <c r="W58" s="163"/>
    </row>
    <row r="59" spans="2:23" ht="37.5" customHeight="1" x14ac:dyDescent="0.25">
      <c r="B59" s="143"/>
      <c r="D59" s="792" t="s">
        <v>299</v>
      </c>
      <c r="E59" s="928" t="s">
        <v>300</v>
      </c>
      <c r="F59" s="775" t="s">
        <v>301</v>
      </c>
      <c r="G59" s="918">
        <f>IF(F59=[3]Listas!$S$15,10,IF('[3]Riesgos de gestión'!F59=[3]Listas!$S$16,5,IF('[3]Riesgos de gestión'!F59=[3]Listas!$S$17,0,"")))</f>
        <v>10</v>
      </c>
      <c r="H59" s="775" t="s">
        <v>301</v>
      </c>
      <c r="I59" s="918">
        <f>IF(H59=[3]Listas!$S$15,10,IF('[3]Riesgos de gestión'!H59=[3]Listas!$S$16,5,IF('[3]Riesgos de gestión'!H59=[3]Listas!$S$17,0,"")))</f>
        <v>10</v>
      </c>
      <c r="J59" s="825"/>
      <c r="K59" s="918" t="str">
        <f>IF(J59=[3]Listas!$S$15,10,IF('[3]Riesgos de gestión'!J59=[3]Listas!$S$16,5,IF('[3]Riesgos de gestión'!J59=[3]Listas!$S$17,0,"")))</f>
        <v/>
      </c>
      <c r="S59" s="163"/>
      <c r="T59" s="163"/>
      <c r="U59" s="163"/>
      <c r="V59" s="163"/>
      <c r="W59" s="163"/>
    </row>
    <row r="60" spans="2:23" ht="37.5" customHeight="1" x14ac:dyDescent="0.25">
      <c r="D60" s="794"/>
      <c r="E60" s="930"/>
      <c r="F60" s="802"/>
      <c r="G60" s="920"/>
      <c r="H60" s="802"/>
      <c r="I60" s="920"/>
      <c r="J60" s="826"/>
      <c r="K60" s="920"/>
      <c r="S60" s="163"/>
      <c r="T60" s="163"/>
      <c r="U60" s="163"/>
      <c r="V60" s="163"/>
      <c r="W60" s="163"/>
    </row>
    <row r="61" spans="2:23" x14ac:dyDescent="0.25">
      <c r="F61" s="179" t="s">
        <v>304</v>
      </c>
      <c r="G61" s="180">
        <f>SUM(G45:G60)</f>
        <v>100</v>
      </c>
      <c r="H61" s="179" t="s">
        <v>305</v>
      </c>
      <c r="I61" s="180">
        <f>SUM(I45:I60)</f>
        <v>95</v>
      </c>
      <c r="J61" s="179" t="s">
        <v>305</v>
      </c>
      <c r="K61" s="180"/>
      <c r="S61" s="163"/>
      <c r="T61" s="163"/>
      <c r="U61" s="163"/>
      <c r="V61" s="163"/>
      <c r="W61" s="163"/>
    </row>
    <row r="62" spans="2:23" ht="15" customHeight="1" x14ac:dyDescent="0.25">
      <c r="D62" s="932" t="s">
        <v>337</v>
      </c>
      <c r="F62" s="179" t="s">
        <v>307</v>
      </c>
      <c r="G62" s="181" t="str">
        <f>IF(G61&lt;=85,"Débil",IF(G61&lt;=95,"Moderado","Fuerte"))</f>
        <v>Fuerte</v>
      </c>
      <c r="H62" s="179" t="s">
        <v>308</v>
      </c>
      <c r="I62" s="181" t="str">
        <f>IF(I61&lt;=85,"Débil",IF(I61&lt;=95,"Moderado","Fuerte"))</f>
        <v>Moderado</v>
      </c>
      <c r="J62" s="179" t="s">
        <v>308</v>
      </c>
      <c r="K62" s="181"/>
      <c r="S62" s="163"/>
      <c r="T62" s="163"/>
      <c r="U62" s="163"/>
      <c r="V62" s="163"/>
      <c r="W62" s="163"/>
    </row>
    <row r="63" spans="2:23" x14ac:dyDescent="0.25">
      <c r="D63" s="933"/>
      <c r="S63" s="163"/>
      <c r="T63" s="163"/>
      <c r="U63" s="163"/>
      <c r="V63" s="163"/>
      <c r="W63" s="163"/>
    </row>
    <row r="64" spans="2:23" x14ac:dyDescent="0.25">
      <c r="D64" s="933"/>
      <c r="F64" s="155" t="s">
        <v>313</v>
      </c>
      <c r="G64" s="934">
        <f>AVERAGE(G61,I61)</f>
        <v>97.5</v>
      </c>
      <c r="H64" s="935"/>
      <c r="I64" s="935"/>
      <c r="J64" s="935"/>
      <c r="K64" s="936"/>
      <c r="S64" s="163"/>
      <c r="T64" s="163"/>
      <c r="U64" s="163"/>
      <c r="V64" s="163"/>
      <c r="W64" s="163"/>
    </row>
    <row r="65" spans="4:23" x14ac:dyDescent="0.25">
      <c r="D65" s="933"/>
      <c r="F65" s="155" t="s">
        <v>316</v>
      </c>
      <c r="G65" s="934" t="str">
        <f>IF(G64&lt;=85,"Débil",IF(G64&lt;=95,"Moderado","Fuerte"))</f>
        <v>Fuerte</v>
      </c>
      <c r="H65" s="935"/>
      <c r="I65" s="935"/>
      <c r="J65" s="935"/>
      <c r="K65" s="936"/>
      <c r="S65" s="163"/>
      <c r="T65" s="163"/>
      <c r="U65" s="163"/>
      <c r="V65" s="163"/>
      <c r="W65" s="163"/>
    </row>
    <row r="66" spans="4:23" x14ac:dyDescent="0.25">
      <c r="D66" s="933"/>
      <c r="S66" s="163"/>
      <c r="T66" s="163"/>
      <c r="U66" s="163"/>
      <c r="V66" s="163"/>
      <c r="W66" s="163"/>
    </row>
    <row r="67" spans="4:23" x14ac:dyDescent="0.25">
      <c r="D67" s="933"/>
      <c r="R67" s="163"/>
      <c r="S67" s="163"/>
      <c r="T67" s="163"/>
      <c r="U67" s="163"/>
      <c r="V67" s="163"/>
      <c r="W67" s="163"/>
    </row>
    <row r="68" spans="4:23" x14ac:dyDescent="0.25">
      <c r="D68" s="933"/>
      <c r="E68" s="140" t="s">
        <v>310</v>
      </c>
      <c r="R68" s="163"/>
      <c r="S68" s="163"/>
      <c r="T68" s="163"/>
      <c r="U68" s="163"/>
      <c r="V68" s="163"/>
      <c r="W68" s="163"/>
    </row>
    <row r="69" spans="4:23" x14ac:dyDescent="0.25">
      <c r="D69" s="933"/>
      <c r="E69" s="140" t="s">
        <v>312</v>
      </c>
      <c r="R69" s="163"/>
      <c r="S69" s="163"/>
      <c r="T69" s="163"/>
      <c r="U69" s="163"/>
      <c r="V69" s="163"/>
      <c r="W69" s="163"/>
    </row>
    <row r="70" spans="4:23" x14ac:dyDescent="0.25">
      <c r="D70" s="933"/>
      <c r="E70" s="140" t="s">
        <v>315</v>
      </c>
      <c r="R70" s="163"/>
      <c r="S70" s="163"/>
      <c r="T70" s="163"/>
      <c r="U70" s="163"/>
      <c r="V70" s="163"/>
      <c r="W70" s="163"/>
    </row>
    <row r="71" spans="4:23" x14ac:dyDescent="0.25">
      <c r="R71" s="163"/>
      <c r="S71" s="163"/>
      <c r="T71" s="163"/>
      <c r="U71" s="163"/>
      <c r="V71" s="163"/>
      <c r="W71" s="163"/>
    </row>
    <row r="72" spans="4:23" x14ac:dyDescent="0.25">
      <c r="R72" s="163"/>
      <c r="S72" s="163"/>
      <c r="T72" s="163"/>
      <c r="U72" s="163"/>
      <c r="V72" s="163"/>
      <c r="W72" s="163"/>
    </row>
  </sheetData>
  <mergeCells count="163">
    <mergeCell ref="D62:D70"/>
    <mergeCell ref="G64:K64"/>
    <mergeCell ref="G65:K65"/>
    <mergeCell ref="J56:J58"/>
    <mergeCell ref="K56:K58"/>
    <mergeCell ref="D59:D60"/>
    <mergeCell ref="E59:E60"/>
    <mergeCell ref="F59:F60"/>
    <mergeCell ref="G59:G60"/>
    <mergeCell ref="H59:H60"/>
    <mergeCell ref="I59:I60"/>
    <mergeCell ref="J59:J60"/>
    <mergeCell ref="K59:K60"/>
    <mergeCell ref="J54:J55"/>
    <mergeCell ref="K54:K55"/>
    <mergeCell ref="M55:O57"/>
    <mergeCell ref="P55:R57"/>
    <mergeCell ref="D56:D58"/>
    <mergeCell ref="E56:E58"/>
    <mergeCell ref="F56:F58"/>
    <mergeCell ref="G56:G58"/>
    <mergeCell ref="H56:H58"/>
    <mergeCell ref="I56:I58"/>
    <mergeCell ref="D54:D55"/>
    <mergeCell ref="E54:E55"/>
    <mergeCell ref="F54:F55"/>
    <mergeCell ref="G54:G55"/>
    <mergeCell ref="H54:H55"/>
    <mergeCell ref="I54:I55"/>
    <mergeCell ref="K47:K48"/>
    <mergeCell ref="J49:J50"/>
    <mergeCell ref="K49:K50"/>
    <mergeCell ref="D51:D53"/>
    <mergeCell ref="E51:E53"/>
    <mergeCell ref="F51:F53"/>
    <mergeCell ref="G51:G53"/>
    <mergeCell ref="H51:H53"/>
    <mergeCell ref="I51:I53"/>
    <mergeCell ref="J51:J53"/>
    <mergeCell ref="K51:K53"/>
    <mergeCell ref="D49:D50"/>
    <mergeCell ref="E49:E50"/>
    <mergeCell ref="F49:F50"/>
    <mergeCell ref="G49:G50"/>
    <mergeCell ref="H49:H50"/>
    <mergeCell ref="I49:I50"/>
    <mergeCell ref="D45:D48"/>
    <mergeCell ref="E45:E46"/>
    <mergeCell ref="F45:F46"/>
    <mergeCell ref="G45:G46"/>
    <mergeCell ref="H45:H46"/>
    <mergeCell ref="I45:I46"/>
    <mergeCell ref="E47:E48"/>
    <mergeCell ref="F47:F48"/>
    <mergeCell ref="G47:G48"/>
    <mergeCell ref="H47:H48"/>
    <mergeCell ref="I47:I48"/>
    <mergeCell ref="J47:J48"/>
    <mergeCell ref="H29:H32"/>
    <mergeCell ref="I29:J32"/>
    <mergeCell ref="K29:L32"/>
    <mergeCell ref="M29:M32"/>
    <mergeCell ref="H33:H36"/>
    <mergeCell ref="I33:J36"/>
    <mergeCell ref="K33:L36"/>
    <mergeCell ref="M40:Q41"/>
    <mergeCell ref="D41:K41"/>
    <mergeCell ref="F43:G43"/>
    <mergeCell ref="H43:I43"/>
    <mergeCell ref="J43:K43"/>
    <mergeCell ref="M43:M45"/>
    <mergeCell ref="N43:N45"/>
    <mergeCell ref="O43:O45"/>
    <mergeCell ref="P43:P45"/>
    <mergeCell ref="Q43:Q45"/>
    <mergeCell ref="J45:J46"/>
    <mergeCell ref="K45:K46"/>
    <mergeCell ref="N29:N32"/>
    <mergeCell ref="O29:O32"/>
    <mergeCell ref="V25:Y28"/>
    <mergeCell ref="AA23:AB26"/>
    <mergeCell ref="AC23:AE26"/>
    <mergeCell ref="M25:M28"/>
    <mergeCell ref="N25:N28"/>
    <mergeCell ref="O25:O28"/>
    <mergeCell ref="P25:Q36"/>
    <mergeCell ref="R25:S28"/>
    <mergeCell ref="T25:U28"/>
    <mergeCell ref="M33:M36"/>
    <mergeCell ref="N33:N36"/>
    <mergeCell ref="O33:O36"/>
    <mergeCell ref="D25:D28"/>
    <mergeCell ref="E25:E28"/>
    <mergeCell ref="F25:G28"/>
    <mergeCell ref="H25:H28"/>
    <mergeCell ref="I25:J28"/>
    <mergeCell ref="K25:L28"/>
    <mergeCell ref="P23:Q24"/>
    <mergeCell ref="F24:G24"/>
    <mergeCell ref="K24:L24"/>
    <mergeCell ref="C20:Y20"/>
    <mergeCell ref="D22:G23"/>
    <mergeCell ref="H22:Q22"/>
    <mergeCell ref="R22:Y23"/>
    <mergeCell ref="AA20:AN20"/>
    <mergeCell ref="H23:H24"/>
    <mergeCell ref="I23:J24"/>
    <mergeCell ref="K23:M23"/>
    <mergeCell ref="N23:N24"/>
    <mergeCell ref="O23:O24"/>
    <mergeCell ref="AA22:AB22"/>
    <mergeCell ref="AC22:AE22"/>
    <mergeCell ref="AG22:AH22"/>
    <mergeCell ref="AJ22:AK22"/>
    <mergeCell ref="R24:S24"/>
    <mergeCell ref="T24:U24"/>
    <mergeCell ref="V24:Y24"/>
    <mergeCell ref="AN23:AN26"/>
    <mergeCell ref="AF23:AF26"/>
    <mergeCell ref="AG23:AH26"/>
    <mergeCell ref="AI23:AI26"/>
    <mergeCell ref="AJ23:AK26"/>
    <mergeCell ref="AL23:AL26"/>
    <mergeCell ref="AM23:AM26"/>
    <mergeCell ref="T16:T18"/>
    <mergeCell ref="W16:Y18"/>
    <mergeCell ref="E17:H17"/>
    <mergeCell ref="I17:J17"/>
    <mergeCell ref="K17:M17"/>
    <mergeCell ref="E18:H18"/>
    <mergeCell ref="I18:J18"/>
    <mergeCell ref="K18:M18"/>
    <mergeCell ref="E15:H15"/>
    <mergeCell ref="I15:J15"/>
    <mergeCell ref="K15:M15"/>
    <mergeCell ref="W15:Y15"/>
    <mergeCell ref="E16:H16"/>
    <mergeCell ref="I16:J16"/>
    <mergeCell ref="K16:M16"/>
    <mergeCell ref="Q16:Q18"/>
    <mergeCell ref="R16:R18"/>
    <mergeCell ref="S16:S18"/>
    <mergeCell ref="D11:E11"/>
    <mergeCell ref="G11:Y11"/>
    <mergeCell ref="D13:Y13"/>
    <mergeCell ref="D14:O14"/>
    <mergeCell ref="Q14:Y14"/>
    <mergeCell ref="G5:M5"/>
    <mergeCell ref="N5:Q5"/>
    <mergeCell ref="R5:U5"/>
    <mergeCell ref="V5:Y5"/>
    <mergeCell ref="D9:E9"/>
    <mergeCell ref="D3:F4"/>
    <mergeCell ref="H3:Y3"/>
    <mergeCell ref="H4:J4"/>
    <mergeCell ref="K4:O4"/>
    <mergeCell ref="P4:S4"/>
    <mergeCell ref="T4:U4"/>
    <mergeCell ref="V4:Y4"/>
    <mergeCell ref="D10:E10"/>
    <mergeCell ref="D7:Y8"/>
    <mergeCell ref="F9:Y9"/>
    <mergeCell ref="F10:Y10"/>
  </mergeCells>
  <conditionalFormatting sqref="F25">
    <cfRule type="containsText" dxfId="24" priority="8" operator="containsText" text="Extremo">
      <formula>NOT(ISERROR(SEARCH("Extremo",F25)))</formula>
    </cfRule>
    <cfRule type="containsText" dxfId="23" priority="9" operator="containsText" text="Alto">
      <formula>NOT(ISERROR(SEARCH("Alto",F25)))</formula>
    </cfRule>
    <cfRule type="containsText" dxfId="22" priority="10" operator="containsText" text="Moderado">
      <formula>NOT(ISERROR(SEARCH("Moderado",F25)))</formula>
    </cfRule>
    <cfRule type="containsText" dxfId="21" priority="11" operator="containsText" text="Bajo">
      <formula>NOT(ISERROR(SEARCH("Bajo",F25)))</formula>
    </cfRule>
  </conditionalFormatting>
  <conditionalFormatting sqref="V25">
    <cfRule type="containsText" dxfId="20" priority="4" operator="containsText" text="Extremo">
      <formula>NOT(ISERROR(SEARCH("Extremo",V25)))</formula>
    </cfRule>
    <cfRule type="containsText" dxfId="19" priority="5" operator="containsText" text="Alto">
      <formula>NOT(ISERROR(SEARCH("Alto",V25)))</formula>
    </cfRule>
    <cfRule type="containsText" dxfId="18" priority="6" operator="containsText" text="Moderado">
      <formula>NOT(ISERROR(SEARCH("Moderado",V25)))</formula>
    </cfRule>
    <cfRule type="containsText" dxfId="17" priority="7" operator="containsText" text="Bajo">
      <formula>NOT(ISERROR(SEARCH("Bajo",V25)))</formula>
    </cfRule>
  </conditionalFormatting>
  <conditionalFormatting sqref="P25:Q36">
    <cfRule type="containsText" dxfId="16" priority="1" operator="containsText" text="Fuerte">
      <formula>NOT(ISERROR(SEARCH("Fuerte",P25)))</formula>
    </cfRule>
    <cfRule type="containsText" dxfId="15" priority="2" operator="containsText" text="Moderado">
      <formula>NOT(ISERROR(SEARCH("Moderado",P25)))</formula>
    </cfRule>
    <cfRule type="containsText" dxfId="14" priority="3" operator="containsText" text="Débil">
      <formula>NOT(ISERROR(SEARCH("Débil",P25)))</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8EF624D-2BEF-4AAF-95D0-30235392BA5F}">
          <x14:formula1>
            <xm:f>'Riesgos de segInf'!$G$114:$G$116</xm:f>
          </x14:formula1>
          <xm:sqref>R16:R18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8C48-8FC7-41AE-AE9D-FC6C5E39FF83}">
  <dimension ref="A1:AL154"/>
  <sheetViews>
    <sheetView zoomScale="80" zoomScaleNormal="80" workbookViewId="0">
      <selection activeCell="J10" sqref="J10"/>
    </sheetView>
  </sheetViews>
  <sheetFormatPr baseColWidth="10" defaultRowHeight="15" x14ac:dyDescent="0.25"/>
  <cols>
    <col min="1" max="1" width="16.28515625" customWidth="1"/>
    <col min="2" max="2" width="6.28515625" customWidth="1"/>
    <col min="3" max="3" width="17.28515625" customWidth="1"/>
    <col min="4" max="4" width="64.140625" customWidth="1"/>
    <col min="5" max="5" width="18.140625" customWidth="1"/>
    <col min="6" max="6" width="18.28515625" customWidth="1"/>
    <col min="7" max="7" width="15.140625" customWidth="1"/>
    <col min="8" max="8" width="10" customWidth="1"/>
    <col min="9" max="9" width="23.28515625" customWidth="1"/>
    <col min="10" max="10" width="14.42578125" customWidth="1"/>
    <col min="11" max="11" width="27.5703125" customWidth="1"/>
  </cols>
  <sheetData>
    <row r="1" spans="1:38" ht="49.5" customHeight="1" x14ac:dyDescent="0.25"/>
    <row r="2" spans="1:38" ht="33.75" customHeight="1" x14ac:dyDescent="0.25"/>
    <row r="4" spans="1:38" ht="15.75" thickBot="1" x14ac:dyDescent="0.3"/>
    <row r="5" spans="1:38" ht="15" customHeight="1" x14ac:dyDescent="0.25">
      <c r="A5" s="863" t="s">
        <v>512</v>
      </c>
      <c r="B5" s="864"/>
      <c r="C5" s="864"/>
      <c r="D5" s="864"/>
      <c r="E5" s="864"/>
      <c r="F5" s="864"/>
      <c r="G5" s="864"/>
      <c r="H5" s="864"/>
      <c r="I5" s="864"/>
      <c r="J5" s="864"/>
      <c r="K5" s="864"/>
      <c r="L5" s="949"/>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row>
    <row r="6" spans="1:38" ht="15.75" customHeight="1" thickBot="1" x14ac:dyDescent="0.3">
      <c r="A6" s="866"/>
      <c r="B6" s="867"/>
      <c r="C6" s="867"/>
      <c r="D6" s="867"/>
      <c r="E6" s="867"/>
      <c r="F6" s="867"/>
      <c r="G6" s="867"/>
      <c r="H6" s="867"/>
      <c r="I6" s="867"/>
      <c r="J6" s="867"/>
      <c r="K6" s="867"/>
      <c r="L6" s="950"/>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row>
    <row r="7" spans="1:38" ht="28.5" thickBot="1" x14ac:dyDescent="0.3">
      <c r="A7" s="300"/>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row>
    <row r="8" spans="1:38" ht="27" customHeight="1" thickBot="1" x14ac:dyDescent="0.3">
      <c r="D8" s="957" t="s">
        <v>456</v>
      </c>
      <c r="E8" s="958"/>
      <c r="F8" s="958"/>
      <c r="G8" s="959"/>
      <c r="H8" s="140"/>
      <c r="I8" s="140"/>
      <c r="J8" s="140"/>
    </row>
    <row r="9" spans="1:38" ht="28.5" customHeight="1" thickBot="1" x14ac:dyDescent="0.3">
      <c r="D9" s="963" t="s">
        <v>398</v>
      </c>
      <c r="E9" s="964"/>
      <c r="F9" s="964"/>
      <c r="G9" s="965"/>
    </row>
    <row r="10" spans="1:38" x14ac:dyDescent="0.25">
      <c r="D10" s="236" t="s">
        <v>394</v>
      </c>
      <c r="E10" s="237" t="s">
        <v>392</v>
      </c>
      <c r="F10" s="237" t="s">
        <v>378</v>
      </c>
      <c r="G10" s="238" t="s">
        <v>393</v>
      </c>
    </row>
    <row r="11" spans="1:38" s="226" customFormat="1" ht="18.75" customHeight="1" x14ac:dyDescent="0.35">
      <c r="D11" s="232" t="s">
        <v>390</v>
      </c>
      <c r="E11" s="264"/>
      <c r="F11" s="264"/>
      <c r="G11" s="265"/>
    </row>
    <row r="12" spans="1:38" s="226" customFormat="1" ht="18" customHeight="1" x14ac:dyDescent="0.35">
      <c r="D12" s="232" t="s">
        <v>391</v>
      </c>
      <c r="E12" s="264"/>
      <c r="F12" s="264"/>
      <c r="G12" s="265"/>
    </row>
    <row r="13" spans="1:38" s="226" customFormat="1" ht="31.5" customHeight="1" x14ac:dyDescent="0.35">
      <c r="D13" s="232" t="s">
        <v>382</v>
      </c>
      <c r="E13" s="264"/>
      <c r="F13" s="264"/>
      <c r="G13" s="265"/>
    </row>
    <row r="14" spans="1:38" s="226" customFormat="1" ht="17.25" customHeight="1" x14ac:dyDescent="0.35">
      <c r="D14" s="232" t="s">
        <v>383</v>
      </c>
      <c r="E14" s="264"/>
      <c r="F14" s="264"/>
      <c r="G14" s="265"/>
    </row>
    <row r="15" spans="1:38" s="226" customFormat="1" ht="31.5" customHeight="1" x14ac:dyDescent="0.35">
      <c r="D15" s="232" t="s">
        <v>384</v>
      </c>
      <c r="E15" s="264"/>
      <c r="F15" s="264"/>
      <c r="G15" s="265"/>
    </row>
    <row r="16" spans="1:38" s="226" customFormat="1" ht="16.5" customHeight="1" x14ac:dyDescent="0.35">
      <c r="D16" s="232" t="s">
        <v>385</v>
      </c>
      <c r="E16" s="264"/>
      <c r="F16" s="264"/>
      <c r="G16" s="265"/>
    </row>
    <row r="17" spans="4:7" s="226" customFormat="1" ht="16.5" customHeight="1" x14ac:dyDescent="0.35">
      <c r="D17" s="232" t="s">
        <v>397</v>
      </c>
      <c r="E17" s="264"/>
      <c r="F17" s="264"/>
      <c r="G17" s="265"/>
    </row>
    <row r="18" spans="4:7" s="226" customFormat="1" ht="31.5" customHeight="1" x14ac:dyDescent="0.35">
      <c r="D18" s="232" t="s">
        <v>386</v>
      </c>
      <c r="E18" s="264"/>
      <c r="F18" s="264"/>
      <c r="G18" s="265"/>
    </row>
    <row r="19" spans="4:7" s="226" customFormat="1" ht="31.5" customHeight="1" x14ac:dyDescent="0.35">
      <c r="D19" s="232" t="s">
        <v>387</v>
      </c>
      <c r="E19" s="264"/>
      <c r="F19" s="264"/>
      <c r="G19" s="265"/>
    </row>
    <row r="20" spans="4:7" s="226" customFormat="1" ht="31.5" customHeight="1" x14ac:dyDescent="0.35">
      <c r="D20" s="232" t="s">
        <v>388</v>
      </c>
      <c r="E20" s="264"/>
      <c r="F20" s="264"/>
      <c r="G20" s="265"/>
    </row>
    <row r="21" spans="4:7" s="226" customFormat="1" ht="31.5" customHeight="1" thickBot="1" x14ac:dyDescent="0.4">
      <c r="D21" s="239" t="s">
        <v>389</v>
      </c>
      <c r="E21" s="266"/>
      <c r="F21" s="266"/>
      <c r="G21" s="267"/>
    </row>
    <row r="22" spans="4:7" ht="15.75" thickBot="1" x14ac:dyDescent="0.3">
      <c r="D22" s="240" t="s">
        <v>396</v>
      </c>
      <c r="E22" s="241">
        <f>COUNTIF(E11:E21,"X")</f>
        <v>0</v>
      </c>
      <c r="F22" s="241">
        <f t="shared" ref="F22:G22" si="0">COUNTIF(F11:F21,"X")</f>
        <v>0</v>
      </c>
      <c r="G22" s="241">
        <f t="shared" si="0"/>
        <v>0</v>
      </c>
    </row>
    <row r="23" spans="4:7" ht="27" thickBot="1" x14ac:dyDescent="0.45">
      <c r="D23" s="261" t="s">
        <v>399</v>
      </c>
      <c r="E23" s="960" t="str">
        <f>IF(E22&lt;=3,"Bajo",IF(E22&lt;=5,"Moderado",IF(E22&lt;=7,"Medio",IF(E22&lt;=9,"Alto","Critico"))))</f>
        <v>Bajo</v>
      </c>
      <c r="F23" s="961"/>
      <c r="G23" s="962"/>
    </row>
    <row r="24" spans="4:7" ht="27" thickBot="1" x14ac:dyDescent="0.45">
      <c r="D24" s="262"/>
      <c r="E24" s="263"/>
      <c r="F24" s="263"/>
      <c r="G24" s="263"/>
    </row>
    <row r="25" spans="4:7" ht="25.5" customHeight="1" thickBot="1" x14ac:dyDescent="0.3">
      <c r="D25" s="957" t="s">
        <v>455</v>
      </c>
      <c r="E25" s="958"/>
      <c r="F25" s="958"/>
      <c r="G25" s="959"/>
    </row>
    <row r="26" spans="4:7" ht="15.75" thickBot="1" x14ac:dyDescent="0.3">
      <c r="D26" s="963" t="s">
        <v>398</v>
      </c>
      <c r="E26" s="964"/>
      <c r="F26" s="964"/>
      <c r="G26" s="965"/>
    </row>
    <row r="27" spans="4:7" ht="15.75" thickBot="1" x14ac:dyDescent="0.3">
      <c r="D27" s="242" t="s">
        <v>394</v>
      </c>
      <c r="E27" s="243" t="s">
        <v>392</v>
      </c>
      <c r="F27" s="243" t="s">
        <v>378</v>
      </c>
      <c r="G27" s="244" t="s">
        <v>393</v>
      </c>
    </row>
    <row r="28" spans="4:7" x14ac:dyDescent="0.25">
      <c r="D28" s="229" t="s">
        <v>400</v>
      </c>
      <c r="E28" s="230"/>
      <c r="F28" s="230"/>
      <c r="G28" s="231"/>
    </row>
    <row r="29" spans="4:7" ht="30" x14ac:dyDescent="0.25">
      <c r="D29" s="232" t="s">
        <v>401</v>
      </c>
      <c r="E29" s="248"/>
      <c r="F29" s="248"/>
      <c r="G29" s="249"/>
    </row>
    <row r="30" spans="4:7" x14ac:dyDescent="0.25">
      <c r="D30" s="245" t="s">
        <v>402</v>
      </c>
      <c r="E30" s="248"/>
      <c r="F30" s="248"/>
      <c r="G30" s="249"/>
    </row>
    <row r="31" spans="4:7" x14ac:dyDescent="0.25">
      <c r="D31" s="232" t="s">
        <v>403</v>
      </c>
      <c r="E31" s="248"/>
      <c r="F31" s="248"/>
      <c r="G31" s="249"/>
    </row>
    <row r="32" spans="4:7" x14ac:dyDescent="0.25">
      <c r="D32" s="232" t="s">
        <v>404</v>
      </c>
      <c r="E32" s="248"/>
      <c r="F32" s="248"/>
      <c r="G32" s="249"/>
    </row>
    <row r="33" spans="4:7" ht="30" x14ac:dyDescent="0.25">
      <c r="D33" s="232" t="s">
        <v>405</v>
      </c>
      <c r="E33" s="248"/>
      <c r="F33" s="248"/>
      <c r="G33" s="249"/>
    </row>
    <row r="34" spans="4:7" ht="30" x14ac:dyDescent="0.25">
      <c r="D34" s="232" t="s">
        <v>406</v>
      </c>
      <c r="E34" s="248"/>
      <c r="F34" s="248"/>
      <c r="G34" s="249"/>
    </row>
    <row r="35" spans="4:7" ht="30" x14ac:dyDescent="0.25">
      <c r="D35" s="232" t="s">
        <v>407</v>
      </c>
      <c r="E35" s="248"/>
      <c r="F35" s="248"/>
      <c r="G35" s="249"/>
    </row>
    <row r="36" spans="4:7" ht="30" x14ac:dyDescent="0.25">
      <c r="D36" s="232" t="s">
        <v>408</v>
      </c>
      <c r="E36" s="248"/>
      <c r="F36" s="248"/>
      <c r="G36" s="249"/>
    </row>
    <row r="37" spans="4:7" ht="30" x14ac:dyDescent="0.25">
      <c r="D37" s="232" t="s">
        <v>416</v>
      </c>
      <c r="E37" s="248"/>
      <c r="F37" s="248"/>
      <c r="G37" s="249"/>
    </row>
    <row r="38" spans="4:7" ht="30" x14ac:dyDescent="0.25">
      <c r="D38" s="232" t="s">
        <v>417</v>
      </c>
      <c r="E38" s="248"/>
      <c r="F38" s="248"/>
      <c r="G38" s="249"/>
    </row>
    <row r="39" spans="4:7" ht="30" x14ac:dyDescent="0.25">
      <c r="D39" s="232" t="s">
        <v>418</v>
      </c>
      <c r="E39" s="248"/>
      <c r="F39" s="248"/>
      <c r="G39" s="249"/>
    </row>
    <row r="40" spans="4:7" ht="30" x14ac:dyDescent="0.25">
      <c r="D40" s="232" t="s">
        <v>409</v>
      </c>
      <c r="E40" s="248"/>
      <c r="F40" s="248"/>
      <c r="G40" s="249"/>
    </row>
    <row r="41" spans="4:7" ht="30" x14ac:dyDescent="0.25">
      <c r="D41" s="232" t="s">
        <v>410</v>
      </c>
      <c r="E41" s="248"/>
      <c r="F41" s="248"/>
      <c r="G41" s="249"/>
    </row>
    <row r="42" spans="4:7" ht="30" x14ac:dyDescent="0.25">
      <c r="D42" s="232" t="s">
        <v>411</v>
      </c>
      <c r="E42" s="248"/>
      <c r="F42" s="248"/>
      <c r="G42" s="249"/>
    </row>
    <row r="43" spans="4:7" ht="30" x14ac:dyDescent="0.25">
      <c r="D43" s="232" t="s">
        <v>412</v>
      </c>
      <c r="E43" s="248"/>
      <c r="F43" s="248"/>
      <c r="G43" s="249"/>
    </row>
    <row r="44" spans="4:7" ht="30" x14ac:dyDescent="0.25">
      <c r="D44" s="232" t="s">
        <v>413</v>
      </c>
      <c r="E44" s="248"/>
      <c r="F44" s="248"/>
      <c r="G44" s="249"/>
    </row>
    <row r="45" spans="4:7" x14ac:dyDescent="0.25">
      <c r="D45" s="245" t="s">
        <v>414</v>
      </c>
      <c r="E45" s="248"/>
      <c r="F45" s="248"/>
      <c r="G45" s="249"/>
    </row>
    <row r="46" spans="4:7" ht="45" x14ac:dyDescent="0.25">
      <c r="D46" s="232" t="s">
        <v>415</v>
      </c>
      <c r="E46" s="248"/>
      <c r="F46" s="248"/>
      <c r="G46" s="249"/>
    </row>
    <row r="47" spans="4:7" ht="45" x14ac:dyDescent="0.25">
      <c r="D47" s="232" t="s">
        <v>419</v>
      </c>
      <c r="E47" s="248"/>
      <c r="F47" s="248"/>
      <c r="G47" s="249"/>
    </row>
    <row r="48" spans="4:7" ht="45" x14ac:dyDescent="0.25">
      <c r="D48" s="232" t="s">
        <v>420</v>
      </c>
      <c r="E48" s="248"/>
      <c r="F48" s="248"/>
      <c r="G48" s="249"/>
    </row>
    <row r="49" spans="1:7" ht="75" x14ac:dyDescent="0.25">
      <c r="D49" s="232" t="s">
        <v>421</v>
      </c>
      <c r="E49" s="248"/>
      <c r="F49" s="248"/>
      <c r="G49" s="249"/>
    </row>
    <row r="50" spans="1:7" ht="30" x14ac:dyDescent="0.25">
      <c r="D50" s="232" t="s">
        <v>422</v>
      </c>
      <c r="E50" s="248"/>
      <c r="F50" s="248"/>
      <c r="G50" s="249"/>
    </row>
    <row r="51" spans="1:7" ht="45" x14ac:dyDescent="0.25">
      <c r="A51" t="s">
        <v>395</v>
      </c>
      <c r="D51" s="232" t="s">
        <v>423</v>
      </c>
      <c r="E51" s="248"/>
      <c r="F51" s="248"/>
      <c r="G51" s="249"/>
    </row>
    <row r="52" spans="1:7" ht="30" x14ac:dyDescent="0.25">
      <c r="A52" t="s">
        <v>377</v>
      </c>
      <c r="D52" s="232" t="s">
        <v>424</v>
      </c>
      <c r="E52" s="248"/>
      <c r="F52" s="248"/>
      <c r="G52" s="249"/>
    </row>
    <row r="53" spans="1:7" ht="45" x14ac:dyDescent="0.25">
      <c r="A53" t="s">
        <v>378</v>
      </c>
      <c r="D53" s="232" t="s">
        <v>425</v>
      </c>
      <c r="E53" s="248"/>
      <c r="F53" s="248"/>
      <c r="G53" s="249"/>
    </row>
    <row r="54" spans="1:7" ht="45" x14ac:dyDescent="0.25">
      <c r="A54" t="s">
        <v>393</v>
      </c>
      <c r="D54" s="232" t="s">
        <v>426</v>
      </c>
      <c r="E54" s="248"/>
      <c r="F54" s="248"/>
      <c r="G54" s="249"/>
    </row>
    <row r="55" spans="1:7" ht="60" x14ac:dyDescent="0.25">
      <c r="D55" s="232" t="s">
        <v>427</v>
      </c>
      <c r="E55" s="248"/>
      <c r="F55" s="248"/>
      <c r="G55" s="249"/>
    </row>
    <row r="56" spans="1:7" ht="30" x14ac:dyDescent="0.25">
      <c r="D56" s="232" t="s">
        <v>428</v>
      </c>
      <c r="E56" s="248"/>
      <c r="F56" s="248"/>
      <c r="G56" s="249"/>
    </row>
    <row r="57" spans="1:7" ht="30" x14ac:dyDescent="0.25">
      <c r="D57" s="232" t="s">
        <v>429</v>
      </c>
      <c r="E57" s="248"/>
      <c r="F57" s="248"/>
      <c r="G57" s="249"/>
    </row>
    <row r="58" spans="1:7" ht="30" x14ac:dyDescent="0.25">
      <c r="D58" s="232" t="s">
        <v>430</v>
      </c>
      <c r="E58" s="248"/>
      <c r="F58" s="248"/>
      <c r="G58" s="249"/>
    </row>
    <row r="59" spans="1:7" ht="30" x14ac:dyDescent="0.25">
      <c r="D59" s="232" t="s">
        <v>431</v>
      </c>
      <c r="E59" s="248"/>
      <c r="F59" s="248"/>
      <c r="G59" s="249"/>
    </row>
    <row r="60" spans="1:7" ht="21.75" customHeight="1" x14ac:dyDescent="0.25">
      <c r="D60" s="245" t="s">
        <v>432</v>
      </c>
      <c r="E60" s="248"/>
      <c r="F60" s="248"/>
      <c r="G60" s="249"/>
    </row>
    <row r="61" spans="1:7" ht="32.25" customHeight="1" x14ac:dyDescent="0.25">
      <c r="D61" s="232" t="s">
        <v>433</v>
      </c>
      <c r="E61" s="248"/>
      <c r="F61" s="248"/>
      <c r="G61" s="249"/>
    </row>
    <row r="62" spans="1:7" ht="30" x14ac:dyDescent="0.25">
      <c r="D62" s="232" t="s">
        <v>434</v>
      </c>
      <c r="E62" s="248"/>
      <c r="F62" s="248"/>
      <c r="G62" s="249"/>
    </row>
    <row r="63" spans="1:7" ht="30" x14ac:dyDescent="0.25">
      <c r="D63" s="232" t="s">
        <v>435</v>
      </c>
      <c r="E63" s="248"/>
      <c r="F63" s="248"/>
      <c r="G63" s="249"/>
    </row>
    <row r="64" spans="1:7" ht="45" x14ac:dyDescent="0.25">
      <c r="D64" s="232" t="s">
        <v>436</v>
      </c>
      <c r="E64" s="248"/>
      <c r="F64" s="248"/>
      <c r="G64" s="249"/>
    </row>
    <row r="65" spans="3:12" ht="30" x14ac:dyDescent="0.25">
      <c r="D65" s="232" t="s">
        <v>437</v>
      </c>
      <c r="E65" s="248"/>
      <c r="F65" s="248"/>
      <c r="G65" s="249"/>
    </row>
    <row r="66" spans="3:12" ht="45" x14ac:dyDescent="0.25">
      <c r="D66" s="232" t="s">
        <v>438</v>
      </c>
      <c r="E66" s="248"/>
      <c r="F66" s="248"/>
      <c r="G66" s="249"/>
    </row>
    <row r="67" spans="3:12" ht="45" x14ac:dyDescent="0.25">
      <c r="D67" s="232" t="s">
        <v>439</v>
      </c>
      <c r="E67" s="248"/>
      <c r="F67" s="248"/>
      <c r="G67" s="249"/>
    </row>
    <row r="68" spans="3:12" ht="30" x14ac:dyDescent="0.25">
      <c r="D68" s="232" t="s">
        <v>440</v>
      </c>
      <c r="E68" s="248"/>
      <c r="F68" s="248"/>
      <c r="G68" s="249"/>
    </row>
    <row r="69" spans="3:12" ht="30" x14ac:dyDescent="0.25">
      <c r="D69" s="232" t="s">
        <v>441</v>
      </c>
      <c r="E69" s="248"/>
      <c r="F69" s="248"/>
      <c r="G69" s="249"/>
    </row>
    <row r="70" spans="3:12" ht="30" x14ac:dyDescent="0.25">
      <c r="D70" s="232" t="s">
        <v>442</v>
      </c>
      <c r="E70" s="248"/>
      <c r="F70" s="248"/>
      <c r="G70" s="249"/>
    </row>
    <row r="71" spans="3:12" ht="30.75" thickBot="1" x14ac:dyDescent="0.3">
      <c r="D71" s="234" t="s">
        <v>443</v>
      </c>
      <c r="E71" s="250"/>
      <c r="F71" s="250"/>
      <c r="G71" s="251"/>
    </row>
    <row r="72" spans="3:12" ht="15.75" thickBot="1" x14ac:dyDescent="0.3">
      <c r="D72" s="240" t="s">
        <v>396</v>
      </c>
      <c r="E72" s="241">
        <f>COUNTIF(E28:E71,"X")</f>
        <v>0</v>
      </c>
      <c r="F72" s="241">
        <f t="shared" ref="F72:G72" si="1">COUNTIF(F28:F71,"X")</f>
        <v>0</v>
      </c>
      <c r="G72" s="241">
        <f t="shared" si="1"/>
        <v>0</v>
      </c>
    </row>
    <row r="73" spans="3:12" ht="30" customHeight="1" thickBot="1" x14ac:dyDescent="0.45">
      <c r="D73" s="259" t="s">
        <v>444</v>
      </c>
      <c r="E73" s="966" t="str">
        <f>IF(E72&lt;=8,"Critico",IF(E72&lt;=17,"Alto",IF(E72&lt;=26,"Medio",IF(E72&lt;=35,"Moderado","Bajo"))))</f>
        <v>Critico</v>
      </c>
      <c r="F73" s="967"/>
      <c r="G73" s="968"/>
    </row>
    <row r="74" spans="3:12" ht="52.5" customHeight="1" thickBot="1" x14ac:dyDescent="0.3">
      <c r="D74" s="260" t="s">
        <v>445</v>
      </c>
      <c r="E74" s="969" t="str">
        <f>VLOOKUP(E73,C150:D154,2,0)</f>
        <v>Urgentemente
Implementar un sistema de administración
de riesgos</v>
      </c>
      <c r="F74" s="970"/>
      <c r="G74" s="971"/>
    </row>
    <row r="79" spans="3:12" ht="15.75" thickBot="1" x14ac:dyDescent="0.3"/>
    <row r="80" spans="3:12" ht="16.5" thickBot="1" x14ac:dyDescent="0.3">
      <c r="C80" s="951" t="s">
        <v>213</v>
      </c>
      <c r="D80" s="952"/>
      <c r="E80" s="952"/>
      <c r="F80" s="952"/>
      <c r="G80" s="952"/>
      <c r="H80" s="952"/>
      <c r="I80" s="952"/>
      <c r="J80" s="952"/>
      <c r="K80" s="952"/>
      <c r="L80" s="953"/>
    </row>
    <row r="81" spans="3:12" ht="18" x14ac:dyDescent="0.25">
      <c r="C81" s="269" t="s">
        <v>457</v>
      </c>
      <c r="D81" s="268" t="s">
        <v>380</v>
      </c>
      <c r="E81" s="937" t="s">
        <v>381</v>
      </c>
      <c r="F81" s="938"/>
      <c r="G81" s="939" t="s">
        <v>458</v>
      </c>
      <c r="H81" s="940"/>
      <c r="I81" s="941" t="s">
        <v>342</v>
      </c>
      <c r="J81" s="941"/>
      <c r="K81" s="941" t="s">
        <v>220</v>
      </c>
      <c r="L81" s="954"/>
    </row>
    <row r="82" spans="3:12" x14ac:dyDescent="0.25">
      <c r="C82" s="245"/>
      <c r="D82" s="228"/>
      <c r="E82" s="947"/>
      <c r="F82" s="948"/>
      <c r="G82" s="478"/>
      <c r="H82" s="478"/>
      <c r="I82" s="478"/>
      <c r="J82" s="478"/>
      <c r="K82" s="478"/>
      <c r="L82" s="942"/>
    </row>
    <row r="83" spans="3:12" x14ac:dyDescent="0.25">
      <c r="C83" s="245"/>
      <c r="D83" s="228"/>
      <c r="E83" s="947"/>
      <c r="F83" s="948"/>
      <c r="G83" s="478"/>
      <c r="H83" s="478"/>
      <c r="I83" s="478"/>
      <c r="J83" s="478"/>
      <c r="K83" s="478"/>
      <c r="L83" s="942"/>
    </row>
    <row r="84" spans="3:12" ht="15.75" thickBot="1" x14ac:dyDescent="0.3">
      <c r="C84" s="246"/>
      <c r="D84" s="247"/>
      <c r="E84" s="943"/>
      <c r="F84" s="944"/>
      <c r="G84" s="945"/>
      <c r="H84" s="945"/>
      <c r="I84" s="945"/>
      <c r="J84" s="945"/>
      <c r="K84" s="945"/>
      <c r="L84" s="946"/>
    </row>
    <row r="138" spans="6:6" x14ac:dyDescent="0.25">
      <c r="F138" s="227"/>
    </row>
    <row r="148" spans="3:11" ht="15.75" thickBot="1" x14ac:dyDescent="0.3"/>
    <row r="149" spans="3:11" ht="27" customHeight="1" thickBot="1" x14ac:dyDescent="0.5">
      <c r="C149" s="955" t="s">
        <v>454</v>
      </c>
      <c r="D149" s="956"/>
      <c r="K149" s="258"/>
    </row>
    <row r="150" spans="3:11" ht="31.5" x14ac:dyDescent="0.35">
      <c r="C150" s="253" t="s">
        <v>446</v>
      </c>
      <c r="D150" s="252" t="s">
        <v>450</v>
      </c>
      <c r="K150" s="186"/>
    </row>
    <row r="151" spans="3:11" ht="31.5" x14ac:dyDescent="0.35">
      <c r="C151" s="256" t="s">
        <v>447</v>
      </c>
      <c r="D151" s="233" t="s">
        <v>449</v>
      </c>
      <c r="K151" s="186"/>
    </row>
    <row r="152" spans="3:11" ht="30.75" x14ac:dyDescent="0.3">
      <c r="C152" s="254" t="s">
        <v>379</v>
      </c>
      <c r="D152" s="233" t="s">
        <v>451</v>
      </c>
      <c r="K152" s="189"/>
    </row>
    <row r="153" spans="3:11" ht="31.5" x14ac:dyDescent="0.35">
      <c r="C153" s="255" t="s">
        <v>376</v>
      </c>
      <c r="D153" s="233" t="s">
        <v>452</v>
      </c>
      <c r="K153" s="185"/>
    </row>
    <row r="154" spans="3:11" ht="45.75" thickBot="1" x14ac:dyDescent="0.3">
      <c r="C154" s="257" t="s">
        <v>448</v>
      </c>
      <c r="D154" s="235" t="s">
        <v>453</v>
      </c>
    </row>
  </sheetData>
  <mergeCells count="26">
    <mergeCell ref="A5:L6"/>
    <mergeCell ref="C80:L80"/>
    <mergeCell ref="K81:L81"/>
    <mergeCell ref="G83:H83"/>
    <mergeCell ref="C149:D149"/>
    <mergeCell ref="D25:G25"/>
    <mergeCell ref="D8:G8"/>
    <mergeCell ref="E23:G23"/>
    <mergeCell ref="D9:G9"/>
    <mergeCell ref="D26:G26"/>
    <mergeCell ref="E73:G73"/>
    <mergeCell ref="E74:G74"/>
    <mergeCell ref="E82:F82"/>
    <mergeCell ref="G82:H82"/>
    <mergeCell ref="I82:J82"/>
    <mergeCell ref="K82:L82"/>
    <mergeCell ref="E81:F81"/>
    <mergeCell ref="G81:H81"/>
    <mergeCell ref="I81:J81"/>
    <mergeCell ref="K83:L83"/>
    <mergeCell ref="E84:F84"/>
    <mergeCell ref="G84:H84"/>
    <mergeCell ref="I84:J84"/>
    <mergeCell ref="K84:L84"/>
    <mergeCell ref="E83:F83"/>
    <mergeCell ref="I83:J83"/>
  </mergeCell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containsText" priority="6" operator="containsText" id="{5A625724-D68E-4371-9AFD-72C401230C96}">
            <xm:f>NOT(ISERROR(SEARCH($C$154,E73)))</xm:f>
            <xm:f>$C$154</xm:f>
            <x14:dxf>
              <fill>
                <patternFill>
                  <bgColor rgb="FFFF0000"/>
                </patternFill>
              </fill>
            </x14:dxf>
          </x14:cfRule>
          <x14:cfRule type="containsText" priority="7" operator="containsText" id="{18823C9A-F5A1-4D6B-BE16-CF094F4DFAC4}">
            <xm:f>NOT(ISERROR(SEARCH($C$153,E73)))</xm:f>
            <xm:f>$C$153</xm:f>
            <x14:dxf>
              <fill>
                <patternFill>
                  <bgColor theme="9" tint="-0.24994659260841701"/>
                </patternFill>
              </fill>
            </x14:dxf>
          </x14:cfRule>
          <x14:cfRule type="containsText" priority="8" operator="containsText" id="{F3712C52-2290-44E9-90B9-9D6C876851F1}">
            <xm:f>NOT(ISERROR(SEARCH($C$152,E73)))</xm:f>
            <xm:f>$C$152</xm:f>
            <x14:dxf>
              <fill>
                <patternFill>
                  <bgColor theme="2" tint="-0.24994659260841701"/>
                </patternFill>
              </fill>
            </x14:dxf>
          </x14:cfRule>
          <x14:cfRule type="containsText" priority="9" operator="containsText" id="{E0333732-D339-4D02-908B-F7EBA604AD3B}">
            <xm:f>NOT(ISERROR(SEARCH($C$151,E73)))</xm:f>
            <xm:f>$C$151</xm:f>
            <x14:dxf>
              <fill>
                <patternFill>
                  <bgColor theme="9" tint="0.59996337778862885"/>
                </patternFill>
              </fill>
            </x14:dxf>
          </x14:cfRule>
          <x14:cfRule type="containsText" priority="10" operator="containsText" id="{F30D1C36-BC74-4688-9A16-1E4432786235}">
            <xm:f>NOT(ISERROR(SEARCH($C$150,E73)))</xm:f>
            <xm:f>$C$150</xm:f>
            <x14:dxf>
              <fill>
                <patternFill>
                  <bgColor rgb="FFFFFF00"/>
                </patternFill>
              </fill>
            </x14:dxf>
          </x14:cfRule>
          <xm:sqref>E73:G73</xm:sqref>
        </x14:conditionalFormatting>
        <x14:conditionalFormatting xmlns:xm="http://schemas.microsoft.com/office/excel/2006/main">
          <x14:cfRule type="containsText" priority="1" operator="containsText" id="{A28D047F-277A-4FCE-916F-30B1D716674B}">
            <xm:f>NOT(ISERROR(SEARCH($C$154,E23)))</xm:f>
            <xm:f>$C$154</xm:f>
            <x14:dxf>
              <fill>
                <patternFill>
                  <bgColor rgb="FFFF0000"/>
                </patternFill>
              </fill>
            </x14:dxf>
          </x14:cfRule>
          <x14:cfRule type="containsText" priority="2" operator="containsText" id="{FE380077-2956-498C-9401-48955C025474}">
            <xm:f>NOT(ISERROR(SEARCH($C$153,E23)))</xm:f>
            <xm:f>$C$153</xm:f>
            <x14:dxf>
              <fill>
                <patternFill>
                  <bgColor theme="9" tint="-0.24994659260841701"/>
                </patternFill>
              </fill>
            </x14:dxf>
          </x14:cfRule>
          <x14:cfRule type="containsText" priority="3" operator="containsText" id="{CBEFEB8E-9817-4CB4-B4F5-A62B596A198F}">
            <xm:f>NOT(ISERROR(SEARCH($C$152,E23)))</xm:f>
            <xm:f>$C$152</xm:f>
            <x14:dxf>
              <fill>
                <patternFill>
                  <bgColor theme="2" tint="-0.24994659260841701"/>
                </patternFill>
              </fill>
            </x14:dxf>
          </x14:cfRule>
          <x14:cfRule type="containsText" priority="4" operator="containsText" id="{48B59B6C-7777-4EB5-8B7E-F78B9E7FC79D}">
            <xm:f>NOT(ISERROR(SEARCH($C$151,E23)))</xm:f>
            <xm:f>$C$151</xm:f>
            <x14:dxf>
              <fill>
                <patternFill>
                  <bgColor theme="9" tint="0.59996337778862885"/>
                </patternFill>
              </fill>
            </x14:dxf>
          </x14:cfRule>
          <x14:cfRule type="containsText" priority="5" operator="containsText" id="{4B7C9679-75E4-4E23-9496-06F671764513}">
            <xm:f>NOT(ISERROR(SEARCH($C$150,E23)))</xm:f>
            <xm:f>$C$150</xm:f>
            <x14:dxf>
              <fill>
                <patternFill>
                  <bgColor rgb="FFFFFF00"/>
                </patternFill>
              </fill>
            </x14:dxf>
          </x14:cfRule>
          <xm:sqref>E23:G24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AK55"/>
  <sheetViews>
    <sheetView topLeftCell="A3" zoomScale="90" zoomScaleNormal="90" workbookViewId="0">
      <selection activeCell="C6" sqref="C6"/>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83"/>
      <c r="B1" s="972" t="s">
        <v>55</v>
      </c>
      <c r="C1" s="972"/>
      <c r="D1" s="972"/>
      <c r="E1" s="83"/>
      <c r="F1" s="83"/>
      <c r="G1" s="83"/>
      <c r="H1" s="83"/>
      <c r="I1" s="83"/>
      <c r="J1" s="83"/>
      <c r="K1" s="83"/>
      <c r="L1" s="83"/>
      <c r="M1" s="83"/>
      <c r="N1" s="83"/>
      <c r="O1" s="83"/>
      <c r="P1" s="83"/>
      <c r="Q1" s="83"/>
      <c r="R1" s="83"/>
      <c r="S1" s="83"/>
      <c r="T1" s="83"/>
      <c r="U1" s="83"/>
      <c r="V1" s="83"/>
      <c r="W1" s="83"/>
      <c r="X1" s="83"/>
      <c r="Y1" s="83"/>
      <c r="Z1" s="83"/>
      <c r="AA1" s="83"/>
      <c r="AB1" s="83"/>
      <c r="AC1" s="83"/>
      <c r="AD1" s="83"/>
      <c r="AE1" s="83"/>
    </row>
    <row r="2" spans="1:37" x14ac:dyDescent="0.25">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row>
    <row r="3" spans="1:37" ht="25.5" x14ac:dyDescent="0.25">
      <c r="A3" s="83"/>
      <c r="B3" s="11"/>
      <c r="C3" s="12" t="s">
        <v>52</v>
      </c>
      <c r="D3" s="12" t="s">
        <v>4</v>
      </c>
      <c r="E3" s="83"/>
      <c r="F3" s="83"/>
      <c r="G3" s="83"/>
      <c r="H3" s="83"/>
      <c r="I3" s="83"/>
      <c r="J3" s="83"/>
      <c r="K3" s="83"/>
      <c r="L3" s="83"/>
      <c r="M3" s="83"/>
      <c r="N3" s="83"/>
      <c r="O3" s="83"/>
      <c r="P3" s="83"/>
      <c r="Q3" s="83"/>
      <c r="R3" s="83"/>
      <c r="S3" s="83"/>
      <c r="T3" s="83"/>
      <c r="U3" s="83"/>
      <c r="V3" s="83"/>
      <c r="W3" s="83"/>
      <c r="X3" s="83"/>
      <c r="Y3" s="83"/>
      <c r="Z3" s="83"/>
      <c r="AA3" s="83"/>
      <c r="AB3" s="83"/>
      <c r="AC3" s="83"/>
      <c r="AD3" s="83"/>
      <c r="AE3" s="83"/>
    </row>
    <row r="4" spans="1:37" ht="51" x14ac:dyDescent="0.25">
      <c r="A4" s="83"/>
      <c r="B4" s="13" t="s">
        <v>51</v>
      </c>
      <c r="C4" s="14" t="s">
        <v>102</v>
      </c>
      <c r="D4" s="15">
        <v>0.2</v>
      </c>
      <c r="E4" s="83"/>
      <c r="F4" s="83"/>
      <c r="G4" s="83"/>
      <c r="H4" s="83"/>
      <c r="I4" s="83"/>
      <c r="J4" s="83"/>
      <c r="K4" s="83"/>
      <c r="L4" s="83"/>
      <c r="M4" s="83"/>
      <c r="N4" s="83"/>
      <c r="O4" s="83"/>
      <c r="P4" s="83"/>
      <c r="Q4" s="83"/>
      <c r="R4" s="83"/>
      <c r="S4" s="83"/>
      <c r="T4" s="83"/>
      <c r="U4" s="83"/>
      <c r="V4" s="83"/>
      <c r="W4" s="83"/>
      <c r="X4" s="83"/>
      <c r="Y4" s="83"/>
      <c r="Z4" s="83"/>
      <c r="AA4" s="83"/>
      <c r="AB4" s="83"/>
      <c r="AC4" s="83"/>
      <c r="AD4" s="83"/>
      <c r="AE4" s="83"/>
    </row>
    <row r="5" spans="1:37" ht="51" x14ac:dyDescent="0.25">
      <c r="A5" s="83"/>
      <c r="B5" s="16" t="s">
        <v>53</v>
      </c>
      <c r="C5" s="17" t="s">
        <v>103</v>
      </c>
      <c r="D5" s="18">
        <v>0.4</v>
      </c>
      <c r="E5" s="83"/>
      <c r="F5" s="83"/>
      <c r="G5" s="83"/>
      <c r="H5" s="83"/>
      <c r="I5" s="83"/>
      <c r="J5" s="83"/>
      <c r="K5" s="83"/>
      <c r="L5" s="83"/>
      <c r="M5" s="83"/>
      <c r="N5" s="83"/>
      <c r="O5" s="83"/>
      <c r="P5" s="83"/>
      <c r="Q5" s="83"/>
      <c r="R5" s="83"/>
      <c r="S5" s="83"/>
      <c r="T5" s="83"/>
      <c r="U5" s="83"/>
      <c r="V5" s="83"/>
      <c r="W5" s="83"/>
      <c r="X5" s="83"/>
      <c r="Y5" s="83"/>
      <c r="Z5" s="83"/>
      <c r="AA5" s="83"/>
      <c r="AB5" s="83"/>
      <c r="AC5" s="83"/>
      <c r="AD5" s="83"/>
      <c r="AE5" s="83"/>
    </row>
    <row r="6" spans="1:37" ht="51" x14ac:dyDescent="0.25">
      <c r="A6" s="83"/>
      <c r="B6" s="19" t="s">
        <v>107</v>
      </c>
      <c r="C6" s="17" t="s">
        <v>104</v>
      </c>
      <c r="D6" s="18">
        <v>0.6</v>
      </c>
      <c r="E6" s="83"/>
      <c r="F6" s="83"/>
      <c r="G6" s="83"/>
      <c r="H6" s="83"/>
      <c r="I6" s="83"/>
      <c r="J6" s="83"/>
      <c r="K6" s="83"/>
      <c r="L6" s="83"/>
      <c r="M6" s="83"/>
      <c r="N6" s="83"/>
      <c r="O6" s="83"/>
      <c r="P6" s="83"/>
      <c r="Q6" s="83"/>
      <c r="R6" s="83"/>
      <c r="S6" s="83"/>
      <c r="T6" s="83"/>
      <c r="U6" s="83"/>
      <c r="V6" s="83"/>
      <c r="W6" s="83"/>
      <c r="X6" s="83"/>
      <c r="Y6" s="83"/>
      <c r="Z6" s="83"/>
      <c r="AA6" s="83"/>
      <c r="AB6" s="83"/>
      <c r="AC6" s="83"/>
      <c r="AD6" s="83"/>
      <c r="AE6" s="83"/>
    </row>
    <row r="7" spans="1:37" ht="76.5" x14ac:dyDescent="0.25">
      <c r="A7" s="83"/>
      <c r="B7" s="20" t="s">
        <v>6</v>
      </c>
      <c r="C7" s="17" t="s">
        <v>105</v>
      </c>
      <c r="D7" s="18">
        <v>0.8</v>
      </c>
      <c r="E7" s="83"/>
      <c r="F7" s="83"/>
      <c r="G7" s="83"/>
      <c r="H7" s="83"/>
      <c r="I7" s="83"/>
      <c r="J7" s="83"/>
      <c r="K7" s="83"/>
      <c r="L7" s="83"/>
      <c r="M7" s="83"/>
      <c r="N7" s="83"/>
      <c r="O7" s="83"/>
      <c r="P7" s="83"/>
      <c r="Q7" s="83"/>
      <c r="R7" s="83"/>
      <c r="S7" s="83"/>
      <c r="T7" s="83"/>
      <c r="U7" s="83"/>
      <c r="V7" s="83"/>
      <c r="W7" s="83"/>
      <c r="X7" s="83"/>
      <c r="Y7" s="83"/>
      <c r="Z7" s="83"/>
      <c r="AA7" s="83"/>
      <c r="AB7" s="83"/>
      <c r="AC7" s="83"/>
      <c r="AD7" s="83"/>
      <c r="AE7" s="83"/>
    </row>
    <row r="8" spans="1:37" ht="51" x14ac:dyDescent="0.25">
      <c r="A8" s="83"/>
      <c r="B8" s="21" t="s">
        <v>54</v>
      </c>
      <c r="C8" s="17" t="s">
        <v>106</v>
      </c>
      <c r="D8" s="18">
        <v>1</v>
      </c>
      <c r="E8" s="83"/>
      <c r="F8" s="83"/>
      <c r="G8" s="83"/>
      <c r="H8" s="83"/>
      <c r="I8" s="83"/>
      <c r="J8" s="83"/>
      <c r="K8" s="83"/>
      <c r="L8" s="83"/>
      <c r="M8" s="83"/>
      <c r="N8" s="83"/>
      <c r="O8" s="83"/>
      <c r="P8" s="83"/>
      <c r="Q8" s="83"/>
      <c r="R8" s="83"/>
      <c r="S8" s="83"/>
      <c r="T8" s="83"/>
      <c r="U8" s="83"/>
      <c r="V8" s="83"/>
      <c r="W8" s="83"/>
      <c r="X8" s="83"/>
      <c r="Y8" s="83"/>
      <c r="Z8" s="83"/>
      <c r="AA8" s="83"/>
      <c r="AB8" s="83"/>
      <c r="AC8" s="83"/>
      <c r="AD8" s="83"/>
      <c r="AE8" s="83"/>
    </row>
    <row r="9" spans="1:37" x14ac:dyDescent="0.25">
      <c r="A9" s="83"/>
      <c r="B9" s="107"/>
      <c r="C9" s="107"/>
      <c r="D9" s="107"/>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row>
    <row r="10" spans="1:37" ht="16.5" x14ac:dyDescent="0.25">
      <c r="A10" s="83"/>
      <c r="B10" s="108"/>
      <c r="C10" s="107"/>
      <c r="D10" s="107"/>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row>
    <row r="11" spans="1:37" x14ac:dyDescent="0.25">
      <c r="A11" s="83"/>
      <c r="B11" s="107"/>
      <c r="C11" s="107"/>
      <c r="D11" s="107"/>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row>
    <row r="12" spans="1:37" x14ac:dyDescent="0.25">
      <c r="A12" s="83"/>
      <c r="B12" s="107"/>
      <c r="C12" s="107"/>
      <c r="D12" s="107"/>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row>
    <row r="13" spans="1:37" x14ac:dyDescent="0.25">
      <c r="A13" s="83"/>
      <c r="B13" s="107"/>
      <c r="C13" s="107"/>
      <c r="D13" s="107"/>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row>
    <row r="14" spans="1:37" x14ac:dyDescent="0.25">
      <c r="A14" s="83"/>
      <c r="B14" s="107"/>
      <c r="C14" s="107"/>
      <c r="D14" s="107"/>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row>
    <row r="15" spans="1:37" x14ac:dyDescent="0.25">
      <c r="A15" s="83"/>
      <c r="B15" s="107"/>
      <c r="C15" s="107"/>
      <c r="D15" s="107"/>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row>
    <row r="16" spans="1:37" x14ac:dyDescent="0.25">
      <c r="A16" s="83"/>
      <c r="B16" s="107"/>
      <c r="C16" s="107"/>
      <c r="D16" s="107"/>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x14ac:dyDescent="0.25">
      <c r="A17" s="83"/>
      <c r="B17" s="107"/>
      <c r="C17" s="107"/>
      <c r="D17" s="107"/>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x14ac:dyDescent="0.25">
      <c r="A18" s="83"/>
      <c r="B18" s="107"/>
      <c r="C18" s="107"/>
      <c r="D18" s="107"/>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row>
    <row r="19" spans="1:37" x14ac:dyDescent="0.25">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row>
    <row r="20" spans="1:37" x14ac:dyDescent="0.25">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row>
    <row r="21" spans="1:37" x14ac:dyDescent="0.25">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row>
    <row r="22" spans="1:37" x14ac:dyDescent="0.25">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row>
    <row r="23" spans="1:37" x14ac:dyDescent="0.25">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row>
    <row r="24" spans="1:37" x14ac:dyDescent="0.25">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row>
    <row r="25" spans="1:37" x14ac:dyDescent="0.25">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row>
    <row r="26" spans="1:37" x14ac:dyDescent="0.25">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row>
    <row r="27" spans="1:37" x14ac:dyDescent="0.25">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row>
    <row r="28" spans="1:37" x14ac:dyDescent="0.25">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row>
    <row r="29" spans="1:37" x14ac:dyDescent="0.25">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row>
    <row r="30" spans="1:37" x14ac:dyDescent="0.25">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row>
    <row r="31" spans="1:37" x14ac:dyDescent="0.25">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row>
    <row r="32" spans="1:37" x14ac:dyDescent="0.25">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83"/>
      <c r="AE32" s="83"/>
      <c r="AF32" s="83"/>
      <c r="AG32" s="83"/>
      <c r="AH32" s="83"/>
      <c r="AI32" s="83"/>
      <c r="AJ32" s="83"/>
      <c r="AK32" s="83"/>
    </row>
    <row r="33" spans="1:31" x14ac:dyDescent="0.25">
      <c r="A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row>
    <row r="34" spans="1:31" x14ac:dyDescent="0.25">
      <c r="A34" s="83"/>
      <c r="E34" s="83"/>
      <c r="F34" s="83"/>
      <c r="G34" s="83"/>
      <c r="H34" s="83"/>
      <c r="I34" s="83"/>
      <c r="J34" s="83"/>
      <c r="K34" s="83"/>
      <c r="L34" s="83"/>
      <c r="M34" s="83"/>
      <c r="N34" s="83"/>
      <c r="O34" s="83"/>
      <c r="P34" s="83"/>
      <c r="Q34" s="83"/>
      <c r="R34" s="83"/>
      <c r="S34" s="83"/>
      <c r="T34" s="83"/>
      <c r="U34" s="83"/>
      <c r="V34" s="83"/>
      <c r="W34" s="83"/>
      <c r="X34" s="83"/>
      <c r="Y34" s="83"/>
      <c r="Z34" s="83"/>
      <c r="AA34" s="83"/>
      <c r="AB34" s="83"/>
      <c r="AC34" s="83"/>
      <c r="AD34" s="83"/>
      <c r="AE34" s="83"/>
    </row>
    <row r="35" spans="1:31" x14ac:dyDescent="0.25">
      <c r="A35" s="83"/>
    </row>
    <row r="36" spans="1:31" x14ac:dyDescent="0.25">
      <c r="A36" s="83"/>
    </row>
    <row r="37" spans="1:31" x14ac:dyDescent="0.25">
      <c r="A37" s="83"/>
    </row>
    <row r="38" spans="1:31" x14ac:dyDescent="0.25">
      <c r="A38" s="83"/>
    </row>
    <row r="39" spans="1:31" x14ac:dyDescent="0.25">
      <c r="A39" s="83"/>
    </row>
    <row r="40" spans="1:31" x14ac:dyDescent="0.25">
      <c r="A40" s="83"/>
    </row>
    <row r="41" spans="1:31" x14ac:dyDescent="0.25">
      <c r="A41" s="83"/>
    </row>
    <row r="42" spans="1:31" x14ac:dyDescent="0.25">
      <c r="A42" s="83"/>
    </row>
    <row r="43" spans="1:31" x14ac:dyDescent="0.25">
      <c r="A43" s="83"/>
    </row>
    <row r="44" spans="1:31" x14ac:dyDescent="0.25">
      <c r="A44" s="83"/>
    </row>
    <row r="45" spans="1:31" x14ac:dyDescent="0.25">
      <c r="A45" s="83"/>
    </row>
    <row r="46" spans="1:31" x14ac:dyDescent="0.25">
      <c r="A46" s="83"/>
    </row>
    <row r="47" spans="1:31" x14ac:dyDescent="0.25">
      <c r="A47" s="83"/>
    </row>
    <row r="48" spans="1:31" x14ac:dyDescent="0.25">
      <c r="A48" s="83"/>
    </row>
    <row r="49" spans="1:1" x14ac:dyDescent="0.25">
      <c r="A49" s="83"/>
    </row>
    <row r="50" spans="1:1" x14ac:dyDescent="0.25">
      <c r="A50" s="83"/>
    </row>
    <row r="51" spans="1:1" x14ac:dyDescent="0.25">
      <c r="A51" s="83"/>
    </row>
    <row r="52" spans="1:1" x14ac:dyDescent="0.25">
      <c r="A52" s="83"/>
    </row>
    <row r="53" spans="1:1" x14ac:dyDescent="0.25">
      <c r="A53" s="83"/>
    </row>
    <row r="54" spans="1:1" x14ac:dyDescent="0.25">
      <c r="A54" s="83"/>
    </row>
    <row r="55" spans="1:1" x14ac:dyDescent="0.25">
      <c r="A55" s="83"/>
    </row>
  </sheetData>
  <mergeCells count="1">
    <mergeCell ref="B1:D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A1:U232"/>
  <sheetViews>
    <sheetView topLeftCell="A2" zoomScale="60" zoomScaleNormal="60" workbookViewId="0">
      <selection activeCell="D5" sqref="D5"/>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83"/>
      <c r="B1" s="973" t="s">
        <v>63</v>
      </c>
      <c r="C1" s="973"/>
      <c r="D1" s="973"/>
      <c r="E1" s="83"/>
      <c r="F1" s="83"/>
      <c r="G1" s="83"/>
      <c r="H1" s="83"/>
      <c r="I1" s="83"/>
      <c r="J1" s="83"/>
      <c r="K1" s="83"/>
      <c r="L1" s="83"/>
      <c r="M1" s="83"/>
      <c r="N1" s="83"/>
      <c r="O1" s="83"/>
      <c r="P1" s="83"/>
      <c r="Q1" s="83"/>
      <c r="R1" s="83"/>
      <c r="S1" s="83"/>
      <c r="T1" s="83"/>
      <c r="U1" s="83"/>
    </row>
    <row r="2" spans="1:21" x14ac:dyDescent="0.25">
      <c r="A2" s="83"/>
      <c r="B2" s="83"/>
      <c r="C2" s="83"/>
      <c r="D2" s="83"/>
      <c r="E2" s="83"/>
      <c r="F2" s="83"/>
      <c r="G2" s="83"/>
      <c r="H2" s="83"/>
      <c r="I2" s="83"/>
      <c r="J2" s="83"/>
      <c r="K2" s="83"/>
      <c r="L2" s="83"/>
      <c r="M2" s="83"/>
      <c r="N2" s="83"/>
      <c r="O2" s="83"/>
      <c r="P2" s="83"/>
      <c r="Q2" s="83"/>
      <c r="R2" s="83"/>
      <c r="S2" s="83"/>
      <c r="T2" s="83"/>
      <c r="U2" s="83"/>
    </row>
    <row r="3" spans="1:21" ht="30" x14ac:dyDescent="0.25">
      <c r="A3" s="83"/>
      <c r="B3" s="104"/>
      <c r="C3" s="36" t="s">
        <v>56</v>
      </c>
      <c r="D3" s="36" t="s">
        <v>57</v>
      </c>
      <c r="E3" s="83"/>
      <c r="F3" s="83"/>
      <c r="G3" s="83"/>
      <c r="H3" s="83"/>
      <c r="I3" s="83"/>
      <c r="J3" s="83"/>
      <c r="K3" s="83"/>
      <c r="L3" s="83"/>
      <c r="M3" s="83"/>
      <c r="N3" s="83"/>
      <c r="O3" s="83"/>
      <c r="P3" s="83"/>
      <c r="Q3" s="83"/>
      <c r="R3" s="83"/>
      <c r="S3" s="83"/>
      <c r="T3" s="83"/>
      <c r="U3" s="83"/>
    </row>
    <row r="4" spans="1:21" ht="52.5" customHeight="1" x14ac:dyDescent="0.25">
      <c r="A4" s="103" t="s">
        <v>83</v>
      </c>
      <c r="B4" s="39" t="s">
        <v>101</v>
      </c>
      <c r="C4" s="44" t="s">
        <v>158</v>
      </c>
      <c r="D4" s="37" t="s">
        <v>97</v>
      </c>
      <c r="E4" s="83"/>
      <c r="F4" s="83"/>
      <c r="G4" s="83"/>
      <c r="H4" s="83"/>
      <c r="I4" s="83"/>
      <c r="J4" s="83"/>
      <c r="K4" s="83"/>
      <c r="L4" s="83"/>
      <c r="M4" s="83"/>
      <c r="N4" s="83"/>
      <c r="O4" s="83"/>
      <c r="P4" s="83"/>
      <c r="Q4" s="83"/>
      <c r="R4" s="83"/>
      <c r="S4" s="83"/>
      <c r="T4" s="83"/>
      <c r="U4" s="83"/>
    </row>
    <row r="5" spans="1:21" ht="111.75" customHeight="1" x14ac:dyDescent="0.25">
      <c r="A5" s="103" t="s">
        <v>84</v>
      </c>
      <c r="B5" s="40" t="s">
        <v>59</v>
      </c>
      <c r="C5" s="45" t="s">
        <v>93</v>
      </c>
      <c r="D5" s="38" t="s">
        <v>556</v>
      </c>
      <c r="E5" s="83"/>
      <c r="F5" s="83"/>
      <c r="G5" s="83"/>
      <c r="H5" s="83"/>
      <c r="I5" s="83"/>
      <c r="J5" s="83"/>
      <c r="K5" s="83"/>
      <c r="L5" s="83"/>
      <c r="M5" s="83"/>
      <c r="N5" s="83"/>
      <c r="O5" s="83"/>
      <c r="P5" s="83"/>
      <c r="Q5" s="83"/>
      <c r="R5" s="83"/>
      <c r="S5" s="83"/>
      <c r="T5" s="83"/>
      <c r="U5" s="83"/>
    </row>
    <row r="6" spans="1:21" ht="67.5" x14ac:dyDescent="0.25">
      <c r="A6" s="103" t="s">
        <v>81</v>
      </c>
      <c r="B6" s="41" t="s">
        <v>60</v>
      </c>
      <c r="C6" s="45" t="s">
        <v>94</v>
      </c>
      <c r="D6" s="38" t="s">
        <v>100</v>
      </c>
      <c r="E6" s="83"/>
      <c r="F6" s="83"/>
      <c r="G6" s="83"/>
      <c r="H6" s="83"/>
      <c r="I6" s="83"/>
      <c r="J6" s="83"/>
      <c r="K6" s="83"/>
      <c r="L6" s="83"/>
      <c r="M6" s="83"/>
      <c r="N6" s="83"/>
      <c r="O6" s="83"/>
      <c r="P6" s="83"/>
      <c r="Q6" s="83"/>
      <c r="R6" s="83"/>
      <c r="S6" s="83"/>
      <c r="T6" s="83"/>
      <c r="U6" s="83"/>
    </row>
    <row r="7" spans="1:21" ht="101.25" x14ac:dyDescent="0.25">
      <c r="A7" s="103" t="s">
        <v>7</v>
      </c>
      <c r="B7" s="42" t="s">
        <v>61</v>
      </c>
      <c r="C7" s="45" t="s">
        <v>95</v>
      </c>
      <c r="D7" s="38" t="s">
        <v>99</v>
      </c>
      <c r="E7" s="83"/>
      <c r="F7" s="83"/>
      <c r="G7" s="83"/>
      <c r="H7" s="83"/>
      <c r="I7" s="83"/>
      <c r="J7" s="83"/>
      <c r="K7" s="83"/>
      <c r="L7" s="83"/>
      <c r="M7" s="83"/>
      <c r="N7" s="83"/>
      <c r="O7" s="83"/>
      <c r="P7" s="83"/>
      <c r="Q7" s="83"/>
      <c r="R7" s="83"/>
      <c r="S7" s="83"/>
      <c r="T7" s="83"/>
      <c r="U7" s="83"/>
    </row>
    <row r="8" spans="1:21" ht="67.5" x14ac:dyDescent="0.25">
      <c r="A8" s="103" t="s">
        <v>85</v>
      </c>
      <c r="B8" s="43" t="s">
        <v>62</v>
      </c>
      <c r="C8" s="45" t="s">
        <v>96</v>
      </c>
      <c r="D8" s="38" t="s">
        <v>118</v>
      </c>
      <c r="E8" s="83"/>
      <c r="F8" s="83"/>
      <c r="G8" s="83"/>
      <c r="H8" s="83"/>
      <c r="I8" s="83"/>
      <c r="J8" s="83"/>
      <c r="K8" s="83"/>
      <c r="L8" s="83"/>
      <c r="M8" s="83"/>
      <c r="N8" s="83"/>
      <c r="O8" s="83"/>
      <c r="P8" s="83"/>
      <c r="Q8" s="83"/>
      <c r="R8" s="83"/>
      <c r="S8" s="83"/>
      <c r="T8" s="83"/>
      <c r="U8" s="83"/>
    </row>
    <row r="9" spans="1:21" ht="20.25" x14ac:dyDescent="0.25">
      <c r="A9" s="103"/>
      <c r="B9" s="103"/>
      <c r="C9" s="105"/>
      <c r="D9" s="105"/>
      <c r="E9" s="83"/>
      <c r="F9" s="83"/>
      <c r="G9" s="83"/>
      <c r="H9" s="83"/>
      <c r="I9" s="83"/>
      <c r="J9" s="83"/>
      <c r="K9" s="83"/>
      <c r="L9" s="83"/>
      <c r="M9" s="83"/>
      <c r="N9" s="83"/>
      <c r="O9" s="83"/>
      <c r="P9" s="83"/>
      <c r="Q9" s="83"/>
      <c r="R9" s="83"/>
      <c r="S9" s="83"/>
      <c r="T9" s="83"/>
      <c r="U9" s="83"/>
    </row>
    <row r="10" spans="1:21" ht="16.5" x14ac:dyDescent="0.25">
      <c r="A10" s="103"/>
      <c r="B10" s="106"/>
      <c r="C10" s="106"/>
      <c r="D10" s="106"/>
      <c r="E10" s="83"/>
      <c r="F10" s="83"/>
      <c r="G10" s="83"/>
      <c r="H10" s="83"/>
      <c r="I10" s="83"/>
      <c r="J10" s="83"/>
      <c r="K10" s="83"/>
      <c r="L10" s="83"/>
      <c r="M10" s="83"/>
      <c r="N10" s="83"/>
      <c r="O10" s="83"/>
      <c r="P10" s="83"/>
      <c r="Q10" s="83"/>
      <c r="R10" s="83"/>
      <c r="S10" s="83"/>
      <c r="T10" s="83"/>
      <c r="U10" s="83"/>
    </row>
    <row r="11" spans="1:21" x14ac:dyDescent="0.25">
      <c r="A11" s="103"/>
      <c r="B11" s="103" t="s">
        <v>91</v>
      </c>
      <c r="C11" s="103" t="s">
        <v>146</v>
      </c>
      <c r="D11" s="103" t="s">
        <v>153</v>
      </c>
      <c r="E11" s="83"/>
      <c r="F11" s="83"/>
      <c r="G11" s="83"/>
      <c r="H11" s="83"/>
      <c r="I11" s="83"/>
      <c r="J11" s="83"/>
      <c r="K11" s="83"/>
      <c r="L11" s="83"/>
      <c r="M11" s="83"/>
      <c r="N11" s="83"/>
      <c r="O11" s="83"/>
      <c r="P11" s="83"/>
      <c r="Q11" s="83"/>
      <c r="R11" s="83"/>
      <c r="S11" s="83"/>
      <c r="T11" s="83"/>
      <c r="U11" s="83"/>
    </row>
    <row r="12" spans="1:21" x14ac:dyDescent="0.25">
      <c r="A12" s="103"/>
      <c r="B12" s="103" t="s">
        <v>89</v>
      </c>
      <c r="C12" s="103" t="s">
        <v>150</v>
      </c>
      <c r="D12" s="103" t="s">
        <v>154</v>
      </c>
      <c r="E12" s="83"/>
      <c r="F12" s="83"/>
      <c r="G12" s="83"/>
      <c r="H12" s="83"/>
      <c r="I12" s="83"/>
      <c r="J12" s="83"/>
      <c r="K12" s="83"/>
      <c r="L12" s="83"/>
      <c r="M12" s="83"/>
      <c r="N12" s="83"/>
      <c r="O12" s="83"/>
      <c r="P12" s="83"/>
      <c r="Q12" s="83"/>
      <c r="R12" s="83"/>
      <c r="S12" s="83"/>
      <c r="T12" s="83"/>
      <c r="U12" s="83"/>
    </row>
    <row r="13" spans="1:21" x14ac:dyDescent="0.25">
      <c r="A13" s="103"/>
      <c r="B13" s="103"/>
      <c r="C13" s="103" t="s">
        <v>149</v>
      </c>
      <c r="D13" s="103" t="s">
        <v>155</v>
      </c>
      <c r="E13" s="83"/>
      <c r="F13" s="83"/>
      <c r="G13" s="83"/>
      <c r="H13" s="83"/>
      <c r="I13" s="83"/>
      <c r="J13" s="83"/>
      <c r="K13" s="83"/>
      <c r="L13" s="83"/>
      <c r="M13" s="83"/>
      <c r="N13" s="83"/>
      <c r="O13" s="83"/>
      <c r="P13" s="83"/>
      <c r="Q13" s="83"/>
      <c r="R13" s="83"/>
      <c r="S13" s="83"/>
      <c r="T13" s="83"/>
      <c r="U13" s="83"/>
    </row>
    <row r="14" spans="1:21" x14ac:dyDescent="0.25">
      <c r="A14" s="103"/>
      <c r="B14" s="103"/>
      <c r="C14" s="103" t="s">
        <v>151</v>
      </c>
      <c r="D14" s="103" t="s">
        <v>156</v>
      </c>
      <c r="E14" s="83"/>
      <c r="F14" s="83"/>
      <c r="G14" s="83"/>
      <c r="H14" s="83"/>
      <c r="I14" s="83"/>
      <c r="J14" s="83"/>
      <c r="K14" s="83"/>
      <c r="L14" s="83"/>
      <c r="M14" s="83"/>
      <c r="N14" s="83"/>
      <c r="O14" s="83"/>
      <c r="P14" s="83"/>
      <c r="Q14" s="83"/>
      <c r="R14" s="83"/>
      <c r="S14" s="83"/>
      <c r="T14" s="83"/>
      <c r="U14" s="83"/>
    </row>
    <row r="15" spans="1:21" x14ac:dyDescent="0.25">
      <c r="A15" s="103"/>
      <c r="B15" s="103"/>
      <c r="C15" s="103" t="s">
        <v>152</v>
      </c>
      <c r="D15" s="103" t="s">
        <v>157</v>
      </c>
      <c r="E15" s="83"/>
      <c r="F15" s="83"/>
      <c r="G15" s="83"/>
      <c r="H15" s="83"/>
      <c r="I15" s="83"/>
      <c r="J15" s="83"/>
      <c r="K15" s="83"/>
      <c r="L15" s="83"/>
      <c r="M15" s="83"/>
      <c r="N15" s="83"/>
      <c r="O15" s="83"/>
      <c r="P15" s="83"/>
      <c r="Q15" s="83"/>
      <c r="R15" s="83"/>
      <c r="S15" s="83"/>
      <c r="T15" s="83"/>
      <c r="U15" s="83"/>
    </row>
    <row r="16" spans="1:21" x14ac:dyDescent="0.25">
      <c r="A16" s="103"/>
      <c r="B16" s="103"/>
      <c r="C16" s="103"/>
      <c r="D16" s="103"/>
      <c r="E16" s="83"/>
      <c r="F16" s="83"/>
      <c r="G16" s="83"/>
      <c r="H16" s="83"/>
      <c r="I16" s="83"/>
      <c r="J16" s="83"/>
      <c r="K16" s="83"/>
      <c r="L16" s="83"/>
      <c r="M16" s="83"/>
      <c r="N16" s="83"/>
      <c r="O16" s="83"/>
    </row>
    <row r="17" spans="1:15" x14ac:dyDescent="0.25">
      <c r="A17" s="103"/>
      <c r="B17" s="103"/>
      <c r="C17" s="103"/>
      <c r="D17" s="103"/>
      <c r="E17" s="83"/>
      <c r="F17" s="83"/>
      <c r="G17" s="83"/>
      <c r="H17" s="83"/>
      <c r="I17" s="83"/>
      <c r="J17" s="83"/>
      <c r="K17" s="83"/>
      <c r="L17" s="83"/>
      <c r="M17" s="83"/>
      <c r="N17" s="83"/>
      <c r="O17" s="83"/>
    </row>
    <row r="18" spans="1:15" x14ac:dyDescent="0.25">
      <c r="A18" s="103"/>
      <c r="B18" s="107"/>
      <c r="C18" s="107"/>
      <c r="D18" s="107"/>
      <c r="E18" s="83"/>
      <c r="F18" s="83"/>
      <c r="G18" s="83"/>
      <c r="H18" s="83"/>
      <c r="I18" s="83"/>
      <c r="J18" s="83"/>
      <c r="K18" s="83"/>
      <c r="L18" s="83"/>
      <c r="M18" s="83"/>
      <c r="N18" s="83"/>
      <c r="O18" s="83"/>
    </row>
    <row r="19" spans="1:15" x14ac:dyDescent="0.25">
      <c r="A19" s="103"/>
      <c r="B19" s="107"/>
      <c r="C19" s="107"/>
      <c r="D19" s="107"/>
      <c r="E19" s="83"/>
      <c r="F19" s="83"/>
      <c r="G19" s="83"/>
      <c r="H19" s="83"/>
      <c r="I19" s="83"/>
      <c r="J19" s="83"/>
      <c r="K19" s="83"/>
      <c r="L19" s="83"/>
      <c r="M19" s="83"/>
      <c r="N19" s="83"/>
      <c r="O19" s="83"/>
    </row>
    <row r="20" spans="1:15" x14ac:dyDescent="0.25">
      <c r="A20" s="103"/>
      <c r="B20" s="107"/>
      <c r="C20" s="107"/>
      <c r="D20" s="107"/>
      <c r="E20" s="83"/>
      <c r="F20" s="83"/>
      <c r="G20" s="83"/>
      <c r="H20" s="83"/>
      <c r="I20" s="83"/>
      <c r="J20" s="83"/>
      <c r="K20" s="83"/>
      <c r="L20" s="83"/>
      <c r="M20" s="83"/>
      <c r="N20" s="83"/>
      <c r="O20" s="83"/>
    </row>
    <row r="21" spans="1:15" x14ac:dyDescent="0.25">
      <c r="A21" s="103"/>
      <c r="B21" s="107"/>
      <c r="C21" s="107"/>
      <c r="D21" s="107"/>
      <c r="E21" s="83"/>
      <c r="F21" s="83"/>
      <c r="G21" s="83"/>
      <c r="H21" s="83"/>
      <c r="I21" s="83"/>
      <c r="J21" s="83"/>
      <c r="K21" s="83"/>
      <c r="L21" s="83"/>
      <c r="M21" s="83"/>
      <c r="N21" s="83"/>
      <c r="O21" s="83"/>
    </row>
    <row r="22" spans="1:15" ht="20.25" x14ac:dyDescent="0.25">
      <c r="A22" s="103"/>
      <c r="B22" s="103"/>
      <c r="C22" s="105"/>
      <c r="D22" s="105"/>
      <c r="E22" s="83"/>
      <c r="F22" s="83"/>
      <c r="G22" s="83"/>
      <c r="H22" s="83"/>
      <c r="I22" s="83"/>
      <c r="J22" s="83"/>
      <c r="K22" s="83"/>
      <c r="L22" s="83"/>
      <c r="M22" s="83"/>
      <c r="N22" s="83"/>
      <c r="O22" s="83"/>
    </row>
    <row r="23" spans="1:15" ht="20.25" x14ac:dyDescent="0.25">
      <c r="A23" s="103"/>
      <c r="B23" s="103"/>
      <c r="C23" s="105"/>
      <c r="D23" s="105"/>
      <c r="E23" s="83"/>
      <c r="F23" s="83"/>
      <c r="G23" s="83"/>
      <c r="H23" s="83"/>
      <c r="I23" s="83"/>
      <c r="J23" s="83"/>
      <c r="K23" s="83"/>
      <c r="L23" s="83"/>
      <c r="M23" s="83"/>
      <c r="N23" s="83"/>
      <c r="O23" s="83"/>
    </row>
    <row r="24" spans="1:15" ht="20.25" x14ac:dyDescent="0.25">
      <c r="A24" s="103"/>
      <c r="B24" s="103"/>
      <c r="C24" s="105"/>
      <c r="D24" s="105"/>
      <c r="E24" s="83"/>
      <c r="F24" s="83"/>
      <c r="G24" s="83"/>
      <c r="H24" s="83"/>
      <c r="I24" s="83"/>
      <c r="J24" s="83"/>
      <c r="K24" s="83"/>
      <c r="L24" s="83"/>
      <c r="M24" s="83"/>
      <c r="N24" s="83"/>
      <c r="O24" s="83"/>
    </row>
    <row r="25" spans="1:15" ht="20.25" x14ac:dyDescent="0.25">
      <c r="A25" s="103"/>
      <c r="B25" s="103"/>
      <c r="C25" s="105"/>
      <c r="D25" s="105"/>
      <c r="E25" s="83"/>
      <c r="F25" s="83"/>
      <c r="G25" s="83"/>
      <c r="H25" s="83"/>
      <c r="I25" s="83"/>
      <c r="J25" s="83"/>
      <c r="K25" s="83"/>
      <c r="L25" s="83"/>
      <c r="M25" s="83"/>
      <c r="N25" s="83"/>
      <c r="O25" s="83"/>
    </row>
    <row r="26" spans="1:15" ht="20.25" x14ac:dyDescent="0.25">
      <c r="A26" s="103"/>
      <c r="B26" s="103"/>
      <c r="C26" s="105"/>
      <c r="D26" s="105"/>
      <c r="E26" s="83"/>
      <c r="F26" s="83"/>
      <c r="G26" s="83"/>
      <c r="H26" s="83"/>
      <c r="I26" s="83"/>
      <c r="J26" s="83"/>
      <c r="K26" s="83"/>
      <c r="L26" s="83"/>
      <c r="M26" s="83"/>
      <c r="N26" s="83"/>
      <c r="O26" s="83"/>
    </row>
    <row r="27" spans="1:15" ht="20.25" x14ac:dyDescent="0.25">
      <c r="A27" s="103"/>
      <c r="B27" s="103"/>
      <c r="C27" s="105"/>
      <c r="D27" s="105"/>
      <c r="E27" s="83"/>
      <c r="F27" s="83"/>
      <c r="G27" s="83"/>
      <c r="H27" s="83"/>
      <c r="I27" s="83"/>
      <c r="J27" s="83"/>
      <c r="K27" s="83"/>
      <c r="L27" s="83"/>
      <c r="M27" s="83"/>
      <c r="N27" s="83"/>
      <c r="O27" s="83"/>
    </row>
    <row r="28" spans="1:15" ht="20.25" x14ac:dyDescent="0.25">
      <c r="A28" s="103"/>
      <c r="B28" s="103"/>
      <c r="C28" s="105"/>
      <c r="D28" s="105"/>
      <c r="E28" s="83"/>
      <c r="F28" s="83"/>
      <c r="G28" s="83"/>
      <c r="H28" s="83"/>
      <c r="I28" s="83"/>
      <c r="J28" s="83"/>
      <c r="K28" s="83"/>
      <c r="L28" s="83"/>
      <c r="M28" s="83"/>
      <c r="N28" s="83"/>
      <c r="O28" s="83"/>
    </row>
    <row r="29" spans="1:15" ht="20.25" x14ac:dyDescent="0.25">
      <c r="A29" s="103"/>
      <c r="B29" s="103"/>
      <c r="C29" s="105"/>
      <c r="D29" s="105"/>
      <c r="E29" s="83"/>
      <c r="F29" s="83"/>
      <c r="G29" s="83"/>
      <c r="H29" s="83"/>
      <c r="I29" s="83"/>
      <c r="J29" s="83"/>
      <c r="K29" s="83"/>
      <c r="L29" s="83"/>
      <c r="M29" s="83"/>
      <c r="N29" s="83"/>
      <c r="O29" s="83"/>
    </row>
    <row r="30" spans="1:15" ht="20.25" x14ac:dyDescent="0.25">
      <c r="A30" s="103"/>
      <c r="B30" s="103"/>
      <c r="C30" s="105"/>
      <c r="D30" s="105"/>
      <c r="E30" s="83"/>
      <c r="F30" s="83"/>
      <c r="G30" s="83"/>
      <c r="H30" s="83"/>
      <c r="I30" s="83"/>
      <c r="J30" s="83"/>
      <c r="K30" s="83"/>
      <c r="L30" s="83"/>
      <c r="M30" s="83"/>
      <c r="N30" s="83"/>
      <c r="O30" s="83"/>
    </row>
    <row r="31" spans="1:15" ht="20.25" x14ac:dyDescent="0.25">
      <c r="A31" s="103"/>
      <c r="B31" s="103"/>
      <c r="C31" s="105"/>
      <c r="D31" s="105"/>
      <c r="E31" s="83"/>
      <c r="F31" s="83"/>
      <c r="G31" s="83"/>
      <c r="H31" s="83"/>
      <c r="I31" s="83"/>
      <c r="J31" s="83"/>
      <c r="K31" s="83"/>
      <c r="L31" s="83"/>
      <c r="M31" s="83"/>
      <c r="N31" s="83"/>
      <c r="O31" s="83"/>
    </row>
    <row r="32" spans="1:15" ht="20.25" x14ac:dyDescent="0.25">
      <c r="A32" s="103"/>
      <c r="B32" s="103"/>
      <c r="C32" s="105"/>
      <c r="D32" s="105"/>
      <c r="E32" s="83"/>
      <c r="F32" s="83"/>
      <c r="G32" s="83"/>
      <c r="H32" s="83"/>
      <c r="I32" s="83"/>
      <c r="J32" s="83"/>
      <c r="K32" s="83"/>
      <c r="L32" s="83"/>
      <c r="M32" s="83"/>
      <c r="N32" s="83"/>
      <c r="O32" s="83"/>
    </row>
    <row r="33" spans="1:15" ht="20.25" x14ac:dyDescent="0.25">
      <c r="A33" s="103"/>
      <c r="B33" s="103"/>
      <c r="C33" s="105"/>
      <c r="D33" s="105"/>
      <c r="E33" s="83"/>
      <c r="F33" s="83"/>
      <c r="G33" s="83"/>
      <c r="H33" s="83"/>
      <c r="I33" s="83"/>
      <c r="J33" s="83"/>
      <c r="K33" s="83"/>
      <c r="L33" s="83"/>
      <c r="M33" s="83"/>
      <c r="N33" s="83"/>
      <c r="O33" s="83"/>
    </row>
    <row r="34" spans="1:15" ht="20.25" x14ac:dyDescent="0.25">
      <c r="A34" s="103"/>
      <c r="B34" s="103"/>
      <c r="C34" s="105"/>
      <c r="D34" s="105"/>
      <c r="E34" s="83"/>
      <c r="F34" s="83"/>
      <c r="G34" s="83"/>
      <c r="H34" s="83"/>
      <c r="I34" s="83"/>
      <c r="J34" s="83"/>
      <c r="K34" s="83"/>
      <c r="L34" s="83"/>
      <c r="M34" s="83"/>
      <c r="N34" s="83"/>
      <c r="O34" s="83"/>
    </row>
    <row r="35" spans="1:15" ht="20.25" x14ac:dyDescent="0.25">
      <c r="A35" s="103"/>
      <c r="B35" s="103"/>
      <c r="C35" s="105"/>
      <c r="D35" s="105"/>
      <c r="E35" s="83"/>
      <c r="F35" s="83"/>
      <c r="G35" s="83"/>
      <c r="H35" s="83"/>
      <c r="I35" s="83"/>
      <c r="J35" s="83"/>
      <c r="K35" s="83"/>
      <c r="L35" s="83"/>
      <c r="M35" s="83"/>
      <c r="N35" s="83"/>
      <c r="O35" s="83"/>
    </row>
    <row r="36" spans="1:15" ht="20.25" x14ac:dyDescent="0.25">
      <c r="A36" s="103"/>
      <c r="B36" s="103"/>
      <c r="C36" s="105"/>
      <c r="D36" s="105"/>
      <c r="E36" s="83"/>
      <c r="F36" s="83"/>
      <c r="G36" s="83"/>
      <c r="H36" s="83"/>
      <c r="I36" s="83"/>
      <c r="J36" s="83"/>
      <c r="K36" s="83"/>
      <c r="L36" s="83"/>
      <c r="M36" s="83"/>
      <c r="N36" s="83"/>
      <c r="O36" s="83"/>
    </row>
    <row r="37" spans="1:15" ht="20.25" x14ac:dyDescent="0.25">
      <c r="A37" s="103"/>
      <c r="B37" s="103"/>
      <c r="C37" s="105"/>
      <c r="D37" s="105"/>
      <c r="E37" s="83"/>
      <c r="F37" s="83"/>
      <c r="G37" s="83"/>
      <c r="H37" s="83"/>
      <c r="I37" s="83"/>
      <c r="J37" s="83"/>
      <c r="K37" s="83"/>
      <c r="L37" s="83"/>
      <c r="M37" s="83"/>
      <c r="N37" s="83"/>
      <c r="O37" s="83"/>
    </row>
    <row r="38" spans="1:15" ht="20.25" x14ac:dyDescent="0.25">
      <c r="A38" s="103"/>
      <c r="B38" s="103"/>
      <c r="C38" s="105"/>
      <c r="D38" s="105"/>
      <c r="E38" s="83"/>
      <c r="F38" s="83"/>
      <c r="G38" s="83"/>
      <c r="H38" s="83"/>
      <c r="I38" s="83"/>
      <c r="J38" s="83"/>
      <c r="K38" s="83"/>
      <c r="L38" s="83"/>
      <c r="M38" s="83"/>
      <c r="N38" s="83"/>
      <c r="O38" s="83"/>
    </row>
    <row r="39" spans="1:15" ht="20.25" x14ac:dyDescent="0.25">
      <c r="A39" s="103"/>
      <c r="B39" s="103"/>
      <c r="C39" s="105"/>
      <c r="D39" s="105"/>
      <c r="E39" s="83"/>
      <c r="F39" s="83"/>
      <c r="G39" s="83"/>
      <c r="H39" s="83"/>
      <c r="I39" s="83"/>
      <c r="J39" s="83"/>
      <c r="K39" s="83"/>
      <c r="L39" s="83"/>
      <c r="M39" s="83"/>
      <c r="N39" s="83"/>
      <c r="O39" s="83"/>
    </row>
    <row r="40" spans="1:15" ht="20.25" x14ac:dyDescent="0.25">
      <c r="A40" s="103"/>
      <c r="B40" s="103"/>
      <c r="C40" s="105"/>
      <c r="D40" s="105"/>
      <c r="E40" s="83"/>
      <c r="F40" s="83"/>
      <c r="G40" s="83"/>
      <c r="H40" s="83"/>
      <c r="I40" s="83"/>
      <c r="J40" s="83"/>
      <c r="K40" s="83"/>
      <c r="L40" s="83"/>
      <c r="M40" s="83"/>
      <c r="N40" s="83"/>
      <c r="O40" s="83"/>
    </row>
    <row r="41" spans="1:15" ht="20.25" x14ac:dyDescent="0.25">
      <c r="A41" s="103"/>
      <c r="B41" s="103"/>
      <c r="C41" s="105"/>
      <c r="D41" s="105"/>
      <c r="E41" s="83"/>
      <c r="F41" s="83"/>
      <c r="G41" s="83"/>
      <c r="H41" s="83"/>
      <c r="I41" s="83"/>
      <c r="J41" s="83"/>
      <c r="K41" s="83"/>
      <c r="L41" s="83"/>
      <c r="M41" s="83"/>
      <c r="N41" s="83"/>
      <c r="O41" s="83"/>
    </row>
    <row r="42" spans="1:15" ht="20.25" x14ac:dyDescent="0.25">
      <c r="A42" s="103"/>
      <c r="B42" s="103"/>
      <c r="C42" s="105"/>
      <c r="D42" s="105"/>
      <c r="E42" s="83"/>
      <c r="F42" s="83"/>
      <c r="G42" s="83"/>
      <c r="H42" s="83"/>
      <c r="I42" s="83"/>
      <c r="J42" s="83"/>
      <c r="K42" s="83"/>
      <c r="L42" s="83"/>
      <c r="M42" s="83"/>
      <c r="N42" s="83"/>
      <c r="O42" s="83"/>
    </row>
    <row r="43" spans="1:15" ht="20.25" x14ac:dyDescent="0.25">
      <c r="A43" s="103"/>
      <c r="B43" s="103"/>
      <c r="C43" s="105"/>
      <c r="D43" s="105"/>
      <c r="E43" s="83"/>
      <c r="F43" s="83"/>
      <c r="G43" s="83"/>
      <c r="H43" s="83"/>
      <c r="I43" s="83"/>
      <c r="J43" s="83"/>
      <c r="K43" s="83"/>
      <c r="L43" s="83"/>
      <c r="M43" s="83"/>
      <c r="N43" s="83"/>
      <c r="O43" s="83"/>
    </row>
    <row r="44" spans="1:15" ht="20.25" x14ac:dyDescent="0.25">
      <c r="A44" s="103"/>
      <c r="B44" s="103"/>
      <c r="C44" s="105"/>
      <c r="D44" s="105"/>
      <c r="E44" s="83"/>
      <c r="F44" s="83"/>
      <c r="G44" s="83"/>
      <c r="H44" s="83"/>
      <c r="I44" s="83"/>
      <c r="J44" s="83"/>
      <c r="K44" s="83"/>
      <c r="L44" s="83"/>
      <c r="M44" s="83"/>
      <c r="N44" s="83"/>
      <c r="O44" s="83"/>
    </row>
    <row r="45" spans="1:15" ht="20.25" x14ac:dyDescent="0.25">
      <c r="A45" s="103"/>
      <c r="B45" s="103"/>
      <c r="C45" s="105"/>
      <c r="D45" s="105"/>
      <c r="E45" s="83"/>
      <c r="F45" s="83"/>
      <c r="G45" s="83"/>
      <c r="H45" s="83"/>
      <c r="I45" s="83"/>
      <c r="J45" s="83"/>
      <c r="K45" s="83"/>
      <c r="L45" s="83"/>
      <c r="M45" s="83"/>
      <c r="N45" s="83"/>
      <c r="O45" s="83"/>
    </row>
    <row r="46" spans="1:15" ht="20.25" x14ac:dyDescent="0.25">
      <c r="A46" s="103"/>
      <c r="B46" s="103"/>
      <c r="C46" s="105"/>
      <c r="D46" s="105"/>
      <c r="E46" s="83"/>
      <c r="F46" s="83"/>
      <c r="G46" s="83"/>
      <c r="H46" s="83"/>
      <c r="I46" s="83"/>
      <c r="J46" s="83"/>
      <c r="K46" s="83"/>
      <c r="L46" s="83"/>
      <c r="M46" s="83"/>
      <c r="N46" s="83"/>
      <c r="O46" s="83"/>
    </row>
    <row r="47" spans="1:15" ht="20.25" x14ac:dyDescent="0.25">
      <c r="A47" s="103"/>
      <c r="B47" s="103"/>
      <c r="C47" s="105"/>
      <c r="D47" s="105"/>
      <c r="E47" s="83"/>
      <c r="F47" s="83"/>
      <c r="G47" s="83"/>
      <c r="H47" s="83"/>
      <c r="I47" s="83"/>
      <c r="J47" s="83"/>
      <c r="K47" s="83"/>
      <c r="L47" s="83"/>
      <c r="M47" s="83"/>
      <c r="N47" s="83"/>
      <c r="O47" s="83"/>
    </row>
    <row r="48" spans="1:15" ht="20.25" x14ac:dyDescent="0.25">
      <c r="A48" s="103"/>
      <c r="B48" s="103"/>
      <c r="C48" s="105"/>
      <c r="D48" s="105"/>
      <c r="E48" s="83"/>
      <c r="F48" s="83"/>
      <c r="G48" s="83"/>
      <c r="H48" s="83"/>
      <c r="I48" s="83"/>
      <c r="J48" s="83"/>
      <c r="K48" s="83"/>
      <c r="L48" s="83"/>
      <c r="M48" s="83"/>
      <c r="N48" s="83"/>
      <c r="O48" s="83"/>
    </row>
    <row r="49" spans="1:15" ht="20.25" x14ac:dyDescent="0.25">
      <c r="A49" s="103"/>
      <c r="B49" s="103"/>
      <c r="C49" s="105"/>
      <c r="D49" s="105"/>
      <c r="E49" s="83"/>
      <c r="F49" s="83"/>
      <c r="G49" s="83"/>
      <c r="H49" s="83"/>
      <c r="I49" s="83"/>
      <c r="J49" s="83"/>
      <c r="K49" s="83"/>
      <c r="L49" s="83"/>
      <c r="M49" s="83"/>
      <c r="N49" s="83"/>
      <c r="O49" s="83"/>
    </row>
    <row r="50" spans="1:15" ht="20.25" x14ac:dyDescent="0.25">
      <c r="A50" s="103"/>
      <c r="B50" s="103"/>
      <c r="C50" s="105"/>
      <c r="D50" s="105"/>
      <c r="E50" s="83"/>
      <c r="F50" s="83"/>
      <c r="G50" s="83"/>
      <c r="H50" s="83"/>
      <c r="I50" s="83"/>
      <c r="J50" s="83"/>
      <c r="K50" s="83"/>
      <c r="L50" s="83"/>
      <c r="M50" s="83"/>
      <c r="N50" s="83"/>
      <c r="O50" s="83"/>
    </row>
    <row r="51" spans="1:15" ht="20.25" x14ac:dyDescent="0.25">
      <c r="A51" s="103"/>
      <c r="B51" s="103"/>
      <c r="C51" s="105"/>
      <c r="D51" s="105"/>
      <c r="E51" s="83"/>
      <c r="F51" s="83"/>
      <c r="G51" s="83"/>
      <c r="H51" s="83"/>
      <c r="I51" s="83"/>
      <c r="J51" s="83"/>
      <c r="K51" s="83"/>
      <c r="L51" s="83"/>
      <c r="M51" s="83"/>
      <c r="N51" s="83"/>
      <c r="O51" s="83"/>
    </row>
    <row r="52" spans="1:15" ht="20.25" x14ac:dyDescent="0.25">
      <c r="A52" s="103"/>
      <c r="B52" s="23"/>
      <c r="C52" s="34"/>
      <c r="D52" s="34"/>
    </row>
    <row r="53" spans="1:15" ht="20.25" x14ac:dyDescent="0.25">
      <c r="A53" s="103"/>
      <c r="B53" s="23"/>
      <c r="C53" s="34"/>
      <c r="D53" s="34"/>
    </row>
    <row r="54" spans="1:15" ht="20.25" x14ac:dyDescent="0.25">
      <c r="A54" s="103"/>
      <c r="B54" s="23"/>
      <c r="C54" s="34"/>
      <c r="D54" s="34"/>
    </row>
    <row r="55" spans="1:15" ht="20.25" x14ac:dyDescent="0.25">
      <c r="A55" s="103"/>
      <c r="B55" s="23"/>
      <c r="C55" s="34"/>
      <c r="D55" s="34"/>
    </row>
    <row r="56" spans="1:15" ht="20.25" x14ac:dyDescent="0.25">
      <c r="A56" s="103"/>
      <c r="B56" s="23"/>
      <c r="C56" s="34"/>
      <c r="D56" s="34"/>
    </row>
    <row r="57" spans="1:15" ht="20.25" x14ac:dyDescent="0.25">
      <c r="A57" s="103"/>
      <c r="B57" s="23"/>
      <c r="C57" s="34"/>
      <c r="D57" s="34"/>
    </row>
    <row r="58" spans="1:15" ht="20.25" x14ac:dyDescent="0.25">
      <c r="A58" s="103"/>
      <c r="B58" s="23"/>
      <c r="C58" s="34"/>
      <c r="D58" s="34"/>
    </row>
    <row r="59" spans="1:15" ht="20.25" x14ac:dyDescent="0.25">
      <c r="A59" s="103"/>
      <c r="B59" s="23"/>
      <c r="C59" s="34"/>
      <c r="D59" s="34"/>
    </row>
    <row r="60" spans="1:15" ht="20.25" x14ac:dyDescent="0.25">
      <c r="A60" s="103"/>
      <c r="B60" s="23"/>
      <c r="C60" s="34"/>
      <c r="D60" s="34"/>
    </row>
    <row r="61" spans="1:15" ht="20.25" x14ac:dyDescent="0.25">
      <c r="A61" s="103"/>
      <c r="B61" s="23"/>
      <c r="C61" s="34"/>
      <c r="D61" s="34"/>
    </row>
    <row r="62" spans="1:15" ht="20.25" x14ac:dyDescent="0.25">
      <c r="A62" s="103"/>
      <c r="B62" s="23"/>
      <c r="C62" s="34"/>
      <c r="D62" s="34"/>
    </row>
    <row r="63" spans="1:15" ht="20.25" x14ac:dyDescent="0.25">
      <c r="A63" s="103"/>
      <c r="B63" s="23"/>
      <c r="C63" s="34"/>
      <c r="D63" s="34"/>
    </row>
    <row r="64" spans="1:15" ht="20.25" x14ac:dyDescent="0.25">
      <c r="A64" s="103"/>
      <c r="B64" s="23"/>
      <c r="C64" s="34"/>
      <c r="D64" s="34"/>
    </row>
    <row r="65" spans="1:4" ht="20.25" x14ac:dyDescent="0.25">
      <c r="A65" s="103"/>
      <c r="B65" s="23"/>
      <c r="C65" s="34"/>
      <c r="D65" s="34"/>
    </row>
    <row r="66" spans="1:4" ht="20.25" x14ac:dyDescent="0.25">
      <c r="A66" s="103"/>
      <c r="B66" s="23"/>
      <c r="C66" s="34"/>
      <c r="D66" s="34"/>
    </row>
    <row r="67" spans="1:4" ht="20.25" x14ac:dyDescent="0.25">
      <c r="A67" s="103"/>
      <c r="B67" s="23"/>
      <c r="C67" s="34"/>
      <c r="D67" s="34"/>
    </row>
    <row r="68" spans="1:4" ht="20.25" x14ac:dyDescent="0.25">
      <c r="A68" s="103"/>
      <c r="B68" s="23"/>
      <c r="C68" s="34"/>
      <c r="D68" s="34"/>
    </row>
    <row r="69" spans="1:4" ht="20.25" x14ac:dyDescent="0.25">
      <c r="A69" s="103"/>
      <c r="B69" s="23"/>
      <c r="C69" s="34"/>
      <c r="D69" s="34"/>
    </row>
    <row r="70" spans="1:4" ht="20.25" x14ac:dyDescent="0.25">
      <c r="A70" s="103"/>
      <c r="B70" s="23"/>
      <c r="C70" s="34"/>
      <c r="D70" s="34"/>
    </row>
    <row r="71" spans="1:4" ht="20.25" x14ac:dyDescent="0.25">
      <c r="A71" s="103"/>
      <c r="B71" s="23"/>
      <c r="C71" s="34"/>
      <c r="D71" s="34"/>
    </row>
    <row r="72" spans="1:4" ht="20.25" x14ac:dyDescent="0.25">
      <c r="A72" s="103"/>
      <c r="B72" s="23"/>
      <c r="C72" s="34"/>
      <c r="D72" s="34"/>
    </row>
    <row r="73" spans="1:4" ht="20.25" x14ac:dyDescent="0.25">
      <c r="A73" s="103"/>
      <c r="B73" s="23"/>
      <c r="C73" s="34"/>
      <c r="D73" s="34"/>
    </row>
    <row r="74" spans="1:4" ht="20.25" x14ac:dyDescent="0.25">
      <c r="A74" s="103"/>
      <c r="B74" s="23"/>
      <c r="C74" s="34"/>
      <c r="D74" s="34"/>
    </row>
    <row r="75" spans="1:4" ht="20.25" x14ac:dyDescent="0.25">
      <c r="A75" s="103"/>
      <c r="B75" s="23"/>
      <c r="C75" s="34"/>
      <c r="D75" s="34"/>
    </row>
    <row r="76" spans="1:4" ht="20.25" x14ac:dyDescent="0.25">
      <c r="A76" s="103"/>
      <c r="B76" s="23"/>
      <c r="C76" s="34"/>
      <c r="D76" s="34"/>
    </row>
    <row r="77" spans="1:4" ht="20.25" x14ac:dyDescent="0.25">
      <c r="A77" s="103"/>
      <c r="B77" s="23"/>
      <c r="C77" s="34"/>
      <c r="D77" s="34"/>
    </row>
    <row r="78" spans="1:4" ht="20.25" x14ac:dyDescent="0.25">
      <c r="A78" s="103"/>
      <c r="B78" s="23"/>
      <c r="C78" s="34"/>
      <c r="D78" s="34"/>
    </row>
    <row r="79" spans="1:4" ht="20.25" x14ac:dyDescent="0.25">
      <c r="A79" s="103"/>
      <c r="B79" s="23"/>
      <c r="C79" s="34"/>
      <c r="D79" s="34"/>
    </row>
    <row r="80" spans="1:4" ht="20.25" x14ac:dyDescent="0.25">
      <c r="A80" s="103"/>
      <c r="B80" s="23"/>
      <c r="C80" s="34"/>
      <c r="D80" s="34"/>
    </row>
    <row r="81" spans="1:4" ht="20.25" x14ac:dyDescent="0.25">
      <c r="A81" s="103"/>
      <c r="B81" s="23"/>
      <c r="C81" s="34"/>
      <c r="D81" s="34"/>
    </row>
    <row r="82" spans="1:4" ht="20.25" x14ac:dyDescent="0.25">
      <c r="A82" s="103"/>
      <c r="B82" s="23"/>
      <c r="C82" s="34"/>
      <c r="D82" s="34"/>
    </row>
    <row r="83" spans="1:4" ht="20.25" x14ac:dyDescent="0.25">
      <c r="A83" s="103"/>
      <c r="B83" s="23"/>
      <c r="C83" s="34"/>
      <c r="D83" s="34"/>
    </row>
    <row r="84" spans="1:4" ht="20.25" x14ac:dyDescent="0.25">
      <c r="A84" s="103"/>
      <c r="B84" s="23"/>
      <c r="C84" s="34"/>
      <c r="D84" s="34"/>
    </row>
    <row r="85" spans="1:4" ht="20.25" x14ac:dyDescent="0.25">
      <c r="A85" s="103"/>
      <c r="B85" s="23"/>
      <c r="C85" s="34"/>
      <c r="D85" s="34"/>
    </row>
    <row r="86" spans="1:4" ht="20.25" x14ac:dyDescent="0.25">
      <c r="A86" s="103"/>
      <c r="B86" s="23"/>
      <c r="C86" s="34"/>
      <c r="D86" s="34"/>
    </row>
    <row r="87" spans="1:4" ht="20.25" x14ac:dyDescent="0.25">
      <c r="A87" s="103"/>
      <c r="B87" s="23"/>
      <c r="C87" s="34"/>
      <c r="D87" s="34"/>
    </row>
    <row r="88" spans="1:4" ht="20.25" x14ac:dyDescent="0.25">
      <c r="A88" s="103"/>
      <c r="B88" s="23"/>
      <c r="C88" s="34"/>
      <c r="D88" s="34"/>
    </row>
    <row r="89" spans="1:4" ht="20.25" x14ac:dyDescent="0.25">
      <c r="A89" s="103"/>
      <c r="B89" s="23"/>
      <c r="C89" s="34"/>
      <c r="D89" s="34"/>
    </row>
    <row r="90" spans="1:4" ht="20.25" x14ac:dyDescent="0.25">
      <c r="A90" s="103"/>
      <c r="B90" s="23"/>
      <c r="C90" s="34"/>
      <c r="D90" s="34"/>
    </row>
    <row r="91" spans="1:4" ht="20.25" x14ac:dyDescent="0.25">
      <c r="A91" s="103"/>
      <c r="B91" s="23"/>
      <c r="C91" s="34"/>
      <c r="D91" s="34"/>
    </row>
    <row r="92" spans="1:4" ht="20.25" x14ac:dyDescent="0.25">
      <c r="A92" s="103"/>
      <c r="B92" s="23"/>
      <c r="C92" s="34"/>
      <c r="D92" s="34"/>
    </row>
    <row r="93" spans="1:4" ht="20.25" x14ac:dyDescent="0.25">
      <c r="A93" s="103"/>
      <c r="B93" s="23"/>
      <c r="C93" s="34"/>
      <c r="D93" s="34"/>
    </row>
    <row r="94" spans="1:4" ht="20.25" x14ac:dyDescent="0.25">
      <c r="A94" s="103"/>
      <c r="B94" s="23"/>
      <c r="C94" s="34"/>
      <c r="D94" s="34"/>
    </row>
    <row r="95" spans="1:4" ht="20.25" x14ac:dyDescent="0.25">
      <c r="A95" s="103"/>
      <c r="B95" s="23"/>
      <c r="C95" s="34"/>
      <c r="D95" s="34"/>
    </row>
    <row r="96" spans="1:4" ht="20.25" x14ac:dyDescent="0.25">
      <c r="A96" s="103"/>
      <c r="B96" s="23"/>
      <c r="C96" s="34"/>
      <c r="D96" s="34"/>
    </row>
    <row r="97" spans="1:4" ht="20.25" x14ac:dyDescent="0.25">
      <c r="A97" s="103"/>
      <c r="B97" s="23"/>
      <c r="C97" s="34"/>
      <c r="D97" s="34"/>
    </row>
    <row r="98" spans="1:4" ht="20.25" x14ac:dyDescent="0.25">
      <c r="A98" s="103"/>
      <c r="B98" s="23"/>
      <c r="C98" s="34"/>
      <c r="D98" s="34"/>
    </row>
    <row r="99" spans="1:4" ht="20.25" x14ac:dyDescent="0.25">
      <c r="A99" s="103"/>
      <c r="B99" s="23"/>
      <c r="C99" s="34"/>
      <c r="D99" s="34"/>
    </row>
    <row r="100" spans="1:4" ht="20.25" x14ac:dyDescent="0.25">
      <c r="A100" s="103"/>
      <c r="B100" s="23"/>
      <c r="C100" s="34"/>
      <c r="D100" s="34"/>
    </row>
    <row r="101" spans="1:4" ht="20.25" x14ac:dyDescent="0.25">
      <c r="A101" s="103"/>
      <c r="B101" s="23"/>
      <c r="C101" s="34"/>
      <c r="D101" s="34"/>
    </row>
    <row r="102" spans="1:4" ht="20.25" x14ac:dyDescent="0.25">
      <c r="A102" s="103"/>
      <c r="B102" s="23"/>
      <c r="C102" s="34"/>
      <c r="D102" s="34"/>
    </row>
    <row r="103" spans="1:4" ht="20.25" x14ac:dyDescent="0.25">
      <c r="A103" s="103"/>
      <c r="B103" s="23"/>
      <c r="C103" s="34"/>
      <c r="D103" s="34"/>
    </row>
    <row r="104" spans="1:4" ht="20.25" x14ac:dyDescent="0.25">
      <c r="A104" s="103"/>
      <c r="B104" s="23"/>
      <c r="C104" s="34"/>
      <c r="D104" s="34"/>
    </row>
    <row r="105" spans="1:4" ht="20.25" x14ac:dyDescent="0.25">
      <c r="A105" s="103"/>
      <c r="B105" s="23"/>
      <c r="C105" s="34"/>
      <c r="D105" s="34"/>
    </row>
    <row r="106" spans="1:4" ht="20.25" x14ac:dyDescent="0.25">
      <c r="A106" s="103"/>
      <c r="B106" s="23"/>
      <c r="C106" s="34"/>
      <c r="D106" s="34"/>
    </row>
    <row r="107" spans="1:4" ht="20.25" x14ac:dyDescent="0.25">
      <c r="A107" s="103"/>
      <c r="B107" s="23"/>
      <c r="C107" s="34"/>
      <c r="D107" s="34"/>
    </row>
    <row r="108" spans="1:4" ht="20.25" x14ac:dyDescent="0.25">
      <c r="A108" s="103"/>
      <c r="B108" s="23"/>
      <c r="C108" s="34"/>
      <c r="D108" s="34"/>
    </row>
    <row r="109" spans="1:4" ht="20.25" x14ac:dyDescent="0.25">
      <c r="A109" s="103"/>
      <c r="B109" s="23"/>
      <c r="C109" s="34"/>
      <c r="D109" s="34"/>
    </row>
    <row r="110" spans="1:4" ht="20.25" x14ac:dyDescent="0.25">
      <c r="A110" s="103"/>
      <c r="B110" s="23"/>
      <c r="C110" s="34"/>
      <c r="D110" s="34"/>
    </row>
    <row r="111" spans="1:4" ht="20.25" x14ac:dyDescent="0.25">
      <c r="A111" s="103"/>
      <c r="B111" s="23"/>
      <c r="C111" s="34"/>
      <c r="D111" s="34"/>
    </row>
    <row r="112" spans="1:4" ht="20.25" x14ac:dyDescent="0.25">
      <c r="A112" s="103"/>
      <c r="B112" s="23"/>
      <c r="C112" s="34"/>
      <c r="D112" s="34"/>
    </row>
    <row r="113" spans="1:4" ht="20.25" x14ac:dyDescent="0.25">
      <c r="A113" s="103"/>
      <c r="B113" s="23"/>
      <c r="C113" s="34"/>
      <c r="D113" s="34"/>
    </row>
    <row r="114" spans="1:4" ht="20.25" x14ac:dyDescent="0.25">
      <c r="A114" s="103"/>
      <c r="B114" s="23"/>
      <c r="C114" s="34"/>
      <c r="D114" s="34"/>
    </row>
    <row r="115" spans="1:4" ht="20.25" x14ac:dyDescent="0.25">
      <c r="A115" s="103"/>
      <c r="B115" s="23"/>
      <c r="C115" s="34"/>
      <c r="D115" s="34"/>
    </row>
    <row r="116" spans="1:4" ht="20.25" x14ac:dyDescent="0.25">
      <c r="A116" s="103"/>
      <c r="B116" s="23"/>
      <c r="C116" s="34"/>
      <c r="D116" s="34"/>
    </row>
    <row r="117" spans="1:4" ht="20.25" x14ac:dyDescent="0.25">
      <c r="A117" s="103"/>
      <c r="B117" s="23"/>
      <c r="C117" s="34"/>
      <c r="D117" s="34"/>
    </row>
    <row r="118" spans="1:4" ht="20.25" x14ac:dyDescent="0.25">
      <c r="A118" s="103"/>
      <c r="B118" s="23"/>
      <c r="C118" s="34"/>
      <c r="D118" s="34"/>
    </row>
    <row r="119" spans="1:4" ht="20.25" x14ac:dyDescent="0.25">
      <c r="A119" s="103"/>
      <c r="B119" s="23"/>
      <c r="C119" s="34"/>
      <c r="D119" s="34"/>
    </row>
    <row r="120" spans="1:4" ht="20.25" x14ac:dyDescent="0.25">
      <c r="A120" s="103"/>
      <c r="B120" s="23"/>
      <c r="C120" s="34"/>
      <c r="D120" s="34"/>
    </row>
    <row r="121" spans="1:4" ht="20.25" x14ac:dyDescent="0.25">
      <c r="A121" s="103"/>
      <c r="B121" s="23"/>
      <c r="C121" s="34"/>
      <c r="D121" s="34"/>
    </row>
    <row r="122" spans="1:4" ht="20.25" x14ac:dyDescent="0.25">
      <c r="A122" s="103"/>
      <c r="B122" s="23"/>
      <c r="C122" s="34"/>
      <c r="D122" s="34"/>
    </row>
    <row r="123" spans="1:4" ht="20.25" x14ac:dyDescent="0.25">
      <c r="A123" s="103"/>
      <c r="B123" s="23"/>
      <c r="C123" s="34"/>
      <c r="D123" s="34"/>
    </row>
    <row r="124" spans="1:4" ht="20.25" x14ac:dyDescent="0.25">
      <c r="A124" s="103"/>
      <c r="B124" s="23"/>
      <c r="C124" s="34"/>
      <c r="D124" s="34"/>
    </row>
    <row r="125" spans="1:4" ht="20.25" x14ac:dyDescent="0.25">
      <c r="A125" s="103"/>
      <c r="B125" s="23"/>
      <c r="C125" s="34"/>
      <c r="D125" s="34"/>
    </row>
    <row r="126" spans="1:4" ht="20.25" x14ac:dyDescent="0.25">
      <c r="A126" s="103"/>
      <c r="B126" s="23"/>
      <c r="C126" s="34"/>
      <c r="D126" s="34"/>
    </row>
    <row r="127" spans="1:4" ht="20.25" x14ac:dyDescent="0.25">
      <c r="A127" s="103"/>
      <c r="B127" s="23"/>
      <c r="C127" s="34"/>
      <c r="D127" s="34"/>
    </row>
    <row r="128" spans="1:4" ht="20.25" x14ac:dyDescent="0.25">
      <c r="A128" s="103"/>
      <c r="B128" s="23"/>
      <c r="C128" s="34"/>
      <c r="D128" s="34"/>
    </row>
    <row r="129" spans="1:4" ht="20.25" x14ac:dyDescent="0.25">
      <c r="A129" s="103"/>
      <c r="B129" s="23"/>
      <c r="C129" s="34"/>
      <c r="D129" s="34"/>
    </row>
    <row r="130" spans="1:4" ht="20.25" x14ac:dyDescent="0.25">
      <c r="A130" s="103"/>
      <c r="B130" s="23"/>
      <c r="C130" s="34"/>
      <c r="D130" s="34"/>
    </row>
    <row r="131" spans="1:4" ht="20.25" x14ac:dyDescent="0.25">
      <c r="A131" s="103"/>
      <c r="B131" s="23"/>
      <c r="C131" s="34"/>
      <c r="D131" s="34"/>
    </row>
    <row r="132" spans="1:4" ht="20.25" x14ac:dyDescent="0.25">
      <c r="A132" s="103"/>
      <c r="B132" s="23"/>
      <c r="C132" s="34"/>
      <c r="D132" s="34"/>
    </row>
    <row r="133" spans="1:4" ht="20.25" x14ac:dyDescent="0.25">
      <c r="A133" s="103"/>
      <c r="B133" s="23"/>
      <c r="C133" s="34"/>
      <c r="D133" s="34"/>
    </row>
    <row r="134" spans="1:4" ht="20.25" x14ac:dyDescent="0.25">
      <c r="A134" s="103"/>
      <c r="B134" s="23"/>
      <c r="C134" s="34"/>
      <c r="D134" s="34"/>
    </row>
    <row r="135" spans="1:4" ht="20.25" x14ac:dyDescent="0.25">
      <c r="A135" s="103"/>
      <c r="B135" s="23"/>
      <c r="C135" s="34"/>
      <c r="D135" s="34"/>
    </row>
    <row r="136" spans="1:4" ht="20.25" x14ac:dyDescent="0.25">
      <c r="A136" s="103"/>
      <c r="B136" s="23"/>
      <c r="C136" s="34"/>
      <c r="D136" s="34"/>
    </row>
    <row r="137" spans="1:4" ht="20.25" x14ac:dyDescent="0.25">
      <c r="A137" s="103"/>
      <c r="B137" s="23"/>
      <c r="C137" s="34"/>
      <c r="D137" s="34"/>
    </row>
    <row r="138" spans="1:4" ht="20.25" x14ac:dyDescent="0.25">
      <c r="A138" s="103"/>
      <c r="B138" s="23"/>
      <c r="C138" s="34"/>
      <c r="D138" s="34"/>
    </row>
    <row r="139" spans="1:4" ht="20.25" x14ac:dyDescent="0.25">
      <c r="A139" s="103"/>
      <c r="B139" s="23"/>
      <c r="C139" s="34"/>
      <c r="D139" s="34"/>
    </row>
    <row r="140" spans="1:4" ht="20.25" x14ac:dyDescent="0.25">
      <c r="A140" s="103"/>
      <c r="B140" s="23"/>
      <c r="C140" s="34"/>
      <c r="D140" s="34"/>
    </row>
    <row r="141" spans="1:4" ht="20.25" x14ac:dyDescent="0.25">
      <c r="A141" s="103"/>
      <c r="B141" s="23"/>
      <c r="C141" s="34"/>
      <c r="D141" s="34"/>
    </row>
    <row r="142" spans="1:4" ht="20.25" x14ac:dyDescent="0.25">
      <c r="A142" s="103"/>
      <c r="B142" s="23"/>
      <c r="C142" s="34"/>
      <c r="D142" s="34"/>
    </row>
    <row r="143" spans="1:4" ht="20.25" x14ac:dyDescent="0.25">
      <c r="A143" s="103"/>
      <c r="B143" s="23"/>
      <c r="C143" s="34"/>
      <c r="D143" s="34"/>
    </row>
    <row r="144" spans="1:4" ht="20.25" x14ac:dyDescent="0.25">
      <c r="A144" s="103"/>
      <c r="B144" s="23"/>
      <c r="C144" s="34"/>
      <c r="D144" s="34"/>
    </row>
    <row r="145" spans="1:4" ht="20.25" x14ac:dyDescent="0.25">
      <c r="A145" s="103"/>
      <c r="B145" s="23"/>
      <c r="C145" s="34"/>
      <c r="D145" s="34"/>
    </row>
    <row r="146" spans="1:4" ht="20.25" x14ac:dyDescent="0.25">
      <c r="A146" s="103"/>
      <c r="B146" s="23"/>
      <c r="C146" s="34"/>
      <c r="D146" s="34"/>
    </row>
    <row r="147" spans="1:4" ht="20.25" x14ac:dyDescent="0.25">
      <c r="A147" s="103"/>
      <c r="B147" s="23"/>
      <c r="C147" s="34"/>
      <c r="D147" s="34"/>
    </row>
    <row r="148" spans="1:4" ht="20.25" x14ac:dyDescent="0.25">
      <c r="A148" s="103"/>
      <c r="B148" s="23"/>
      <c r="C148" s="34"/>
      <c r="D148" s="34"/>
    </row>
    <row r="149" spans="1:4" ht="20.25" x14ac:dyDescent="0.25">
      <c r="A149" s="103"/>
      <c r="B149" s="23"/>
      <c r="C149" s="34"/>
      <c r="D149" s="34"/>
    </row>
    <row r="150" spans="1:4" ht="20.25" x14ac:dyDescent="0.25">
      <c r="A150" s="103"/>
      <c r="B150" s="23"/>
      <c r="C150" s="34"/>
      <c r="D150" s="34"/>
    </row>
    <row r="151" spans="1:4" ht="20.25" x14ac:dyDescent="0.25">
      <c r="A151" s="103"/>
      <c r="B151" s="23"/>
      <c r="C151" s="34"/>
      <c r="D151" s="34"/>
    </row>
    <row r="152" spans="1:4" ht="20.25" x14ac:dyDescent="0.25">
      <c r="A152" s="103"/>
      <c r="B152" s="23"/>
      <c r="C152" s="34"/>
      <c r="D152" s="34"/>
    </row>
    <row r="153" spans="1:4" ht="20.25" x14ac:dyDescent="0.25">
      <c r="A153" s="103"/>
      <c r="B153" s="23"/>
      <c r="C153" s="34"/>
      <c r="D153" s="34"/>
    </row>
    <row r="154" spans="1:4" ht="20.25" x14ac:dyDescent="0.25">
      <c r="A154" s="103"/>
      <c r="B154" s="23"/>
      <c r="C154" s="34"/>
      <c r="D154" s="34"/>
    </row>
    <row r="155" spans="1:4" ht="20.25" x14ac:dyDescent="0.25">
      <c r="A155" s="103"/>
      <c r="B155" s="23"/>
      <c r="C155" s="34"/>
      <c r="D155" s="34"/>
    </row>
    <row r="156" spans="1:4" ht="20.25" x14ac:dyDescent="0.25">
      <c r="A156" s="103"/>
      <c r="B156" s="23"/>
      <c r="C156" s="34"/>
      <c r="D156" s="34"/>
    </row>
    <row r="157" spans="1:4" ht="20.25" x14ac:dyDescent="0.25">
      <c r="A157" s="103"/>
      <c r="B157" s="23"/>
      <c r="C157" s="34"/>
      <c r="D157" s="34"/>
    </row>
    <row r="158" spans="1:4" ht="20.25" x14ac:dyDescent="0.25">
      <c r="A158" s="103"/>
      <c r="B158" s="23"/>
      <c r="C158" s="34"/>
      <c r="D158" s="34"/>
    </row>
    <row r="159" spans="1:4" ht="20.25" x14ac:dyDescent="0.25">
      <c r="A159" s="103"/>
      <c r="B159" s="23"/>
      <c r="C159" s="34"/>
      <c r="D159" s="34"/>
    </row>
    <row r="160" spans="1:4" ht="20.25" x14ac:dyDescent="0.25">
      <c r="A160" s="103"/>
      <c r="B160" s="23"/>
      <c r="C160" s="34"/>
      <c r="D160" s="34"/>
    </row>
    <row r="161" spans="1:4" ht="20.25" x14ac:dyDescent="0.25">
      <c r="A161" s="103"/>
      <c r="B161" s="23"/>
      <c r="C161" s="34"/>
      <c r="D161" s="34"/>
    </row>
    <row r="162" spans="1:4" ht="20.25" x14ac:dyDescent="0.25">
      <c r="A162" s="103"/>
      <c r="B162" s="23"/>
      <c r="C162" s="34"/>
      <c r="D162" s="34"/>
    </row>
    <row r="163" spans="1:4" ht="20.25" x14ac:dyDescent="0.25">
      <c r="A163" s="103"/>
      <c r="B163" s="23"/>
      <c r="C163" s="34"/>
      <c r="D163" s="34"/>
    </row>
    <row r="164" spans="1:4" ht="20.25" x14ac:dyDescent="0.25">
      <c r="A164" s="103"/>
      <c r="B164" s="23"/>
      <c r="C164" s="34"/>
      <c r="D164" s="34"/>
    </row>
    <row r="165" spans="1:4" ht="20.25" x14ac:dyDescent="0.25">
      <c r="A165" s="103"/>
      <c r="B165" s="23"/>
      <c r="C165" s="34"/>
      <c r="D165" s="34"/>
    </row>
    <row r="166" spans="1:4" ht="20.25" x14ac:dyDescent="0.25">
      <c r="A166" s="103"/>
      <c r="B166" s="23"/>
      <c r="C166" s="34"/>
      <c r="D166" s="34"/>
    </row>
    <row r="167" spans="1:4" ht="20.25" x14ac:dyDescent="0.25">
      <c r="A167" s="103"/>
      <c r="B167" s="23"/>
      <c r="C167" s="34"/>
      <c r="D167" s="34"/>
    </row>
    <row r="168" spans="1:4" ht="20.25" x14ac:dyDescent="0.25">
      <c r="A168" s="103"/>
      <c r="B168" s="23"/>
      <c r="C168" s="34"/>
      <c r="D168" s="34"/>
    </row>
    <row r="169" spans="1:4" ht="20.25" x14ac:dyDescent="0.25">
      <c r="A169" s="103"/>
      <c r="B169" s="23"/>
      <c r="C169" s="34"/>
      <c r="D169" s="34"/>
    </row>
    <row r="170" spans="1:4" ht="20.25" x14ac:dyDescent="0.25">
      <c r="A170" s="103"/>
      <c r="B170" s="23"/>
      <c r="C170" s="34"/>
      <c r="D170" s="34"/>
    </row>
    <row r="171" spans="1:4" ht="20.25" x14ac:dyDescent="0.25">
      <c r="A171" s="103"/>
      <c r="B171" s="23"/>
      <c r="C171" s="34"/>
      <c r="D171" s="34"/>
    </row>
    <row r="172" spans="1:4" ht="20.25" x14ac:dyDescent="0.25">
      <c r="A172" s="103"/>
      <c r="B172" s="23"/>
      <c r="C172" s="34"/>
      <c r="D172" s="34"/>
    </row>
    <row r="173" spans="1:4" ht="20.25" x14ac:dyDescent="0.25">
      <c r="A173" s="103"/>
      <c r="B173" s="23"/>
      <c r="C173" s="34"/>
      <c r="D173" s="34"/>
    </row>
    <row r="174" spans="1:4" ht="20.25" x14ac:dyDescent="0.25">
      <c r="A174" s="103"/>
      <c r="B174" s="23"/>
      <c r="C174" s="34"/>
      <c r="D174" s="34"/>
    </row>
    <row r="175" spans="1:4" ht="20.25" x14ac:dyDescent="0.25">
      <c r="A175" s="103"/>
      <c r="B175" s="23"/>
      <c r="C175" s="34"/>
      <c r="D175" s="34"/>
    </row>
    <row r="176" spans="1:4" ht="20.25" x14ac:dyDescent="0.25">
      <c r="A176" s="103"/>
      <c r="B176" s="23"/>
      <c r="C176" s="34"/>
      <c r="D176" s="34"/>
    </row>
    <row r="177" spans="1:4" ht="20.25" x14ac:dyDescent="0.25">
      <c r="A177" s="103"/>
      <c r="B177" s="23"/>
      <c r="C177" s="34"/>
      <c r="D177" s="34"/>
    </row>
    <row r="178" spans="1:4" ht="20.25" x14ac:dyDescent="0.25">
      <c r="A178" s="103"/>
      <c r="B178" s="23"/>
      <c r="C178" s="34"/>
      <c r="D178" s="34"/>
    </row>
    <row r="179" spans="1:4" ht="20.25" x14ac:dyDescent="0.25">
      <c r="A179" s="103"/>
      <c r="B179" s="23"/>
      <c r="C179" s="34"/>
      <c r="D179" s="34"/>
    </row>
    <row r="180" spans="1:4" ht="20.25" x14ac:dyDescent="0.25">
      <c r="A180" s="103"/>
      <c r="B180" s="23"/>
      <c r="C180" s="34"/>
      <c r="D180" s="34"/>
    </row>
    <row r="181" spans="1:4" ht="20.25" x14ac:dyDescent="0.25">
      <c r="A181" s="103"/>
      <c r="B181" s="23"/>
      <c r="C181" s="34"/>
      <c r="D181" s="34"/>
    </row>
    <row r="182" spans="1:4" ht="20.25" x14ac:dyDescent="0.25">
      <c r="A182" s="103"/>
      <c r="B182" s="23"/>
      <c r="C182" s="34"/>
      <c r="D182" s="34"/>
    </row>
    <row r="183" spans="1:4" ht="20.25" x14ac:dyDescent="0.25">
      <c r="A183" s="103"/>
      <c r="B183" s="23"/>
      <c r="C183" s="34"/>
      <c r="D183" s="34"/>
    </row>
    <row r="184" spans="1:4" ht="20.25" x14ac:dyDescent="0.25">
      <c r="A184" s="103"/>
      <c r="B184" s="23"/>
      <c r="C184" s="34"/>
      <c r="D184" s="34"/>
    </row>
    <row r="185" spans="1:4" ht="20.25" x14ac:dyDescent="0.25">
      <c r="A185" s="103"/>
      <c r="B185" s="23"/>
      <c r="C185" s="34"/>
      <c r="D185" s="34"/>
    </row>
    <row r="186" spans="1:4" ht="20.25" x14ac:dyDescent="0.25">
      <c r="A186" s="103"/>
      <c r="B186" s="23"/>
      <c r="C186" s="34"/>
      <c r="D186" s="34"/>
    </row>
    <row r="187" spans="1:4" ht="20.25" x14ac:dyDescent="0.25">
      <c r="A187" s="103"/>
      <c r="B187" s="23"/>
      <c r="C187" s="34"/>
      <c r="D187" s="34"/>
    </row>
    <row r="188" spans="1:4" ht="20.25" x14ac:dyDescent="0.25">
      <c r="A188" s="103"/>
      <c r="B188" s="23"/>
      <c r="C188" s="34"/>
      <c r="D188" s="34"/>
    </row>
    <row r="189" spans="1:4" ht="20.25" x14ac:dyDescent="0.25">
      <c r="A189" s="103"/>
      <c r="B189" s="23"/>
      <c r="C189" s="34"/>
      <c r="D189" s="34"/>
    </row>
    <row r="190" spans="1:4" ht="20.25" x14ac:dyDescent="0.25">
      <c r="A190" s="103"/>
      <c r="B190" s="23"/>
      <c r="C190" s="34"/>
      <c r="D190" s="34"/>
    </row>
    <row r="191" spans="1:4" ht="20.25" x14ac:dyDescent="0.25">
      <c r="A191" s="103"/>
      <c r="B191" s="23"/>
      <c r="C191" s="34"/>
      <c r="D191" s="34"/>
    </row>
    <row r="192" spans="1:4" ht="20.25" x14ac:dyDescent="0.25">
      <c r="A192" s="103"/>
      <c r="B192" s="23"/>
      <c r="C192" s="34"/>
      <c r="D192" s="34"/>
    </row>
    <row r="193" spans="1:4" ht="20.25" x14ac:dyDescent="0.25">
      <c r="A193" s="103"/>
      <c r="B193" s="23"/>
      <c r="C193" s="34"/>
      <c r="D193" s="34"/>
    </row>
    <row r="194" spans="1:4" ht="20.25" x14ac:dyDescent="0.25">
      <c r="A194" s="103"/>
      <c r="B194" s="23"/>
      <c r="C194" s="34"/>
      <c r="D194" s="34"/>
    </row>
    <row r="195" spans="1:4" ht="20.25" x14ac:dyDescent="0.25">
      <c r="A195" s="103"/>
      <c r="B195" s="23"/>
      <c r="C195" s="34"/>
      <c r="D195" s="34"/>
    </row>
    <row r="196" spans="1:4" ht="20.25" x14ac:dyDescent="0.25">
      <c r="A196" s="103"/>
      <c r="B196" s="23"/>
      <c r="C196" s="34"/>
      <c r="D196" s="34"/>
    </row>
    <row r="197" spans="1:4" ht="20.25" x14ac:dyDescent="0.25">
      <c r="A197" s="103"/>
      <c r="B197" s="23"/>
      <c r="C197" s="34"/>
      <c r="D197" s="34"/>
    </row>
    <row r="198" spans="1:4" ht="20.25" x14ac:dyDescent="0.25">
      <c r="A198" s="103"/>
      <c r="B198" s="23"/>
      <c r="C198" s="34"/>
      <c r="D198" s="34"/>
    </row>
    <row r="199" spans="1:4" ht="20.25" x14ac:dyDescent="0.25">
      <c r="A199" s="103"/>
      <c r="B199" s="23"/>
      <c r="C199" s="34"/>
      <c r="D199" s="34"/>
    </row>
    <row r="200" spans="1:4" ht="20.25" x14ac:dyDescent="0.25">
      <c r="A200" s="103"/>
      <c r="B200" s="23"/>
      <c r="C200" s="34"/>
      <c r="D200" s="34"/>
    </row>
    <row r="201" spans="1:4" ht="20.25" x14ac:dyDescent="0.25">
      <c r="A201" s="103"/>
      <c r="B201" s="23"/>
      <c r="C201" s="34"/>
      <c r="D201" s="34"/>
    </row>
    <row r="202" spans="1:4" ht="20.25" x14ac:dyDescent="0.25">
      <c r="A202" s="103"/>
      <c r="B202" s="23"/>
      <c r="C202" s="34"/>
      <c r="D202" s="34"/>
    </row>
    <row r="203" spans="1:4" ht="20.25" x14ac:dyDescent="0.25">
      <c r="A203" s="103"/>
      <c r="B203" s="23"/>
      <c r="C203" s="34"/>
      <c r="D203" s="34"/>
    </row>
    <row r="204" spans="1:4" ht="20.25" x14ac:dyDescent="0.25">
      <c r="A204" s="103"/>
      <c r="B204" s="23"/>
      <c r="C204" s="34"/>
      <c r="D204" s="34"/>
    </row>
    <row r="205" spans="1:4" ht="20.25" x14ac:dyDescent="0.25">
      <c r="A205" s="103"/>
      <c r="B205" s="23"/>
      <c r="C205" s="34"/>
      <c r="D205" s="34"/>
    </row>
    <row r="206" spans="1:4" ht="20.25" x14ac:dyDescent="0.25">
      <c r="A206" s="103"/>
      <c r="B206" s="23"/>
      <c r="C206" s="34"/>
      <c r="D206" s="34"/>
    </row>
    <row r="207" spans="1:4" ht="20.25" x14ac:dyDescent="0.25">
      <c r="A207" s="103"/>
      <c r="B207" s="23"/>
      <c r="C207" s="34"/>
      <c r="D207" s="34"/>
    </row>
    <row r="208" spans="1:4" x14ac:dyDescent="0.25">
      <c r="A208" s="83"/>
      <c r="B208" s="23"/>
      <c r="C208" s="23"/>
      <c r="D208" s="23"/>
    </row>
    <row r="209" spans="1:8" ht="20.25" x14ac:dyDescent="0.25">
      <c r="A209" s="83"/>
      <c r="B209" s="30" t="s">
        <v>88</v>
      </c>
      <c r="C209" s="30" t="s">
        <v>145</v>
      </c>
      <c r="D209" s="33" t="s">
        <v>88</v>
      </c>
      <c r="E209" s="33" t="s">
        <v>145</v>
      </c>
    </row>
    <row r="210" spans="1:8" ht="21" x14ac:dyDescent="0.35">
      <c r="A210" s="83"/>
      <c r="B210" s="31" t="s">
        <v>90</v>
      </c>
      <c r="C210" s="31" t="s">
        <v>58</v>
      </c>
      <c r="D210" t="s">
        <v>90</v>
      </c>
      <c r="F210" t="str">
        <f>IF(NOT(ISBLANK(D210)),D210,IF(NOT(ISBLANK(E210)),"     "&amp;E210,FALSE))</f>
        <v>Afectación Económica o presupuestal</v>
      </c>
      <c r="G210" t="s">
        <v>90</v>
      </c>
      <c r="H210" t="str">
        <f ca="1">IF(NOT(ISERROR(MATCH(G210,_xlfn.ANCHORARRAY(B221),0))),F223&amp;"Por favor no seleccionar los criterios de impacto",G210)</f>
        <v>Afectación Económica o presupuestal</v>
      </c>
    </row>
    <row r="211" spans="1:8" ht="21" x14ac:dyDescent="0.35">
      <c r="A211" s="83"/>
      <c r="B211" s="31" t="s">
        <v>90</v>
      </c>
      <c r="C211" s="31" t="s">
        <v>93</v>
      </c>
      <c r="E211" t="s">
        <v>58</v>
      </c>
      <c r="F211" t="str">
        <f t="shared" ref="F211:F221" si="0">IF(NOT(ISBLANK(D211)),D211,IF(NOT(ISBLANK(E211)),"     "&amp;E211,FALSE))</f>
        <v xml:space="preserve">     Afectación menor a 10 SMLMV .</v>
      </c>
    </row>
    <row r="212" spans="1:8" ht="21" x14ac:dyDescent="0.35">
      <c r="A212" s="83"/>
      <c r="B212" s="31" t="s">
        <v>90</v>
      </c>
      <c r="C212" s="31" t="s">
        <v>94</v>
      </c>
      <c r="E212" t="s">
        <v>93</v>
      </c>
      <c r="F212" t="str">
        <f t="shared" si="0"/>
        <v xml:space="preserve">     Entre 10 y 50 SMLMV </v>
      </c>
    </row>
    <row r="213" spans="1:8" ht="21" x14ac:dyDescent="0.35">
      <c r="A213" s="83"/>
      <c r="B213" s="31" t="s">
        <v>90</v>
      </c>
      <c r="C213" s="31" t="s">
        <v>95</v>
      </c>
      <c r="E213" t="s">
        <v>94</v>
      </c>
      <c r="F213" t="str">
        <f t="shared" si="0"/>
        <v xml:space="preserve">     Entre 50 y 100 SMLMV </v>
      </c>
    </row>
    <row r="214" spans="1:8" ht="21" x14ac:dyDescent="0.35">
      <c r="A214" s="83"/>
      <c r="B214" s="31" t="s">
        <v>90</v>
      </c>
      <c r="C214" s="31" t="s">
        <v>96</v>
      </c>
      <c r="E214" t="s">
        <v>95</v>
      </c>
      <c r="F214" t="str">
        <f t="shared" si="0"/>
        <v xml:space="preserve">     Entre 100 y 500 SMLMV </v>
      </c>
    </row>
    <row r="215" spans="1:8" ht="21" x14ac:dyDescent="0.35">
      <c r="A215" s="83"/>
      <c r="B215" s="31" t="s">
        <v>57</v>
      </c>
      <c r="C215" s="31" t="s">
        <v>97</v>
      </c>
      <c r="E215" t="s">
        <v>96</v>
      </c>
      <c r="F215" t="str">
        <f t="shared" si="0"/>
        <v xml:space="preserve">     Mayor a 500 SMLMV </v>
      </c>
    </row>
    <row r="216" spans="1:8" ht="21" x14ac:dyDescent="0.35">
      <c r="A216" s="83"/>
      <c r="B216" s="31" t="s">
        <v>57</v>
      </c>
      <c r="C216" s="31" t="s">
        <v>98</v>
      </c>
      <c r="D216" t="s">
        <v>57</v>
      </c>
      <c r="F216" t="str">
        <f t="shared" si="0"/>
        <v>Pérdida Reputacional</v>
      </c>
    </row>
    <row r="217" spans="1:8" ht="21" x14ac:dyDescent="0.35">
      <c r="A217" s="83"/>
      <c r="B217" s="31" t="s">
        <v>57</v>
      </c>
      <c r="C217" s="31" t="s">
        <v>100</v>
      </c>
      <c r="E217" t="s">
        <v>97</v>
      </c>
      <c r="F217" t="str">
        <f t="shared" si="0"/>
        <v xml:space="preserve">     El riesgo afecta la imagen de alguna área de la organización</v>
      </c>
    </row>
    <row r="218" spans="1:8" ht="21" x14ac:dyDescent="0.35">
      <c r="A218" s="83"/>
      <c r="B218" s="31" t="s">
        <v>57</v>
      </c>
      <c r="C218" s="31" t="s">
        <v>99</v>
      </c>
      <c r="E218" t="s">
        <v>98</v>
      </c>
      <c r="F218" t="str">
        <f t="shared" si="0"/>
        <v xml:space="preserve">     El riesgo afecta la imagen de la entidad internamente, de conocimiento general, nivel interno, de junta dircetiva y accionistas y/o de provedores</v>
      </c>
    </row>
    <row r="219" spans="1:8" ht="21" x14ac:dyDescent="0.35">
      <c r="A219" s="83"/>
      <c r="B219" s="31" t="s">
        <v>57</v>
      </c>
      <c r="C219" s="31" t="s">
        <v>118</v>
      </c>
      <c r="E219" t="s">
        <v>100</v>
      </c>
      <c r="F219" t="str">
        <f t="shared" si="0"/>
        <v xml:space="preserve">     El riesgo afecta la imagen de la entidad con algunos usuarios de relevancia frente al logro de los objetivos</v>
      </c>
    </row>
    <row r="220" spans="1:8" x14ac:dyDescent="0.25">
      <c r="A220" s="83"/>
      <c r="B220" s="32"/>
      <c r="C220" s="32"/>
      <c r="E220" t="s">
        <v>99</v>
      </c>
      <c r="F220" t="str">
        <f t="shared" si="0"/>
        <v xml:space="preserve">     El riesgo afecta la imagen de de la entidad con efecto publicitario sostenido a nivel de sector administrativo, nivel departamental o municipal</v>
      </c>
    </row>
    <row r="221" spans="1:8" x14ac:dyDescent="0.25">
      <c r="A221" s="83"/>
      <c r="B221" s="32" t="e" cm="1">
        <f t="array" aca="1" ref="B221:B223" ca="1">_xlfn.UNIQUE(Tabla1[[#All],[Criterios]])</f>
        <v>#NAME?</v>
      </c>
      <c r="C221" s="32"/>
      <c r="E221" t="s">
        <v>118</v>
      </c>
      <c r="F221" t="str">
        <f t="shared" si="0"/>
        <v xml:space="preserve">     El riesgo afecta la imagen de la entidad a nivel nacional, con efecto publicitarios sostenible a nivel país</v>
      </c>
    </row>
    <row r="222" spans="1:8" x14ac:dyDescent="0.25">
      <c r="A222" s="83"/>
      <c r="B222" s="32" t="e">
        <f ca="1"/>
        <v>#NAME?</v>
      </c>
      <c r="C222" s="32"/>
    </row>
    <row r="223" spans="1:8" x14ac:dyDescent="0.25">
      <c r="B223" s="32" t="e">
        <f ca="1"/>
        <v>#NAME?</v>
      </c>
      <c r="C223" s="32"/>
      <c r="F223" s="35" t="s">
        <v>147</v>
      </c>
    </row>
    <row r="224" spans="1:8" x14ac:dyDescent="0.25">
      <c r="B224" s="22"/>
      <c r="C224" s="22"/>
      <c r="F224" s="35" t="s">
        <v>148</v>
      </c>
    </row>
    <row r="225" spans="2:4" x14ac:dyDescent="0.25">
      <c r="B225" s="22"/>
      <c r="C225" s="22"/>
    </row>
    <row r="226" spans="2:4" x14ac:dyDescent="0.25">
      <c r="B226" s="22"/>
      <c r="C226" s="22"/>
    </row>
    <row r="227" spans="2:4" x14ac:dyDescent="0.25">
      <c r="B227" s="22"/>
      <c r="C227" s="22"/>
      <c r="D227" s="22"/>
    </row>
    <row r="228" spans="2:4" x14ac:dyDescent="0.25">
      <c r="B228" s="22"/>
      <c r="C228" s="22"/>
      <c r="D228" s="22"/>
    </row>
    <row r="229" spans="2:4" x14ac:dyDescent="0.25">
      <c r="B229" s="22"/>
      <c r="C229" s="22"/>
      <c r="D229" s="22"/>
    </row>
    <row r="230" spans="2:4" x14ac:dyDescent="0.25">
      <c r="B230" s="22"/>
      <c r="C230" s="22"/>
      <c r="D230" s="22"/>
    </row>
    <row r="231" spans="2:4" x14ac:dyDescent="0.25">
      <c r="B231" s="22"/>
      <c r="C231" s="22"/>
      <c r="D231" s="22"/>
    </row>
    <row r="232" spans="2:4" x14ac:dyDescent="0.25">
      <c r="B232" s="22"/>
      <c r="C232" s="22"/>
      <c r="D232" s="22"/>
    </row>
  </sheetData>
  <mergeCells count="1">
    <mergeCell ref="B1:D1"/>
  </mergeCells>
  <dataValidations disablePrompts="1" count="1">
    <dataValidation type="list" allowBlank="1" showInputMessage="1" showErrorMessage="1" sqref="G210" xr:uid="{00000000-0002-0000-0500-000000000000}">
      <formula1>$F$210:$F$221</formula1>
    </dataValidation>
  </dataValidations>
  <pageMargins left="0.7" right="0.7" top="0.75" bottom="0.75" header="0.3" footer="0.3"/>
  <pageSetup orientation="portrait"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sheetPr>
  <dimension ref="B1:F16"/>
  <sheetViews>
    <sheetView workbookViewId="0">
      <selection activeCell="D7" sqref="D7"/>
    </sheetView>
  </sheetViews>
  <sheetFormatPr baseColWidth="10" defaultColWidth="14.28515625" defaultRowHeight="12.75" x14ac:dyDescent="0.2"/>
  <cols>
    <col min="1" max="2" width="14.28515625" style="88"/>
    <col min="3" max="3" width="17" style="88" customWidth="1"/>
    <col min="4" max="4" width="14.28515625" style="88"/>
    <col min="5" max="5" width="46" style="88" customWidth="1"/>
    <col min="6" max="16384" width="14.28515625" style="88"/>
  </cols>
  <sheetData>
    <row r="1" spans="2:6" ht="24" customHeight="1" thickBot="1" x14ac:dyDescent="0.25">
      <c r="B1" s="974" t="s">
        <v>78</v>
      </c>
      <c r="C1" s="975"/>
      <c r="D1" s="975"/>
      <c r="E1" s="975"/>
      <c r="F1" s="976"/>
    </row>
    <row r="2" spans="2:6" ht="16.5" thickBot="1" x14ac:dyDescent="0.3">
      <c r="B2" s="89"/>
      <c r="C2" s="89"/>
      <c r="D2" s="89"/>
      <c r="E2" s="89"/>
      <c r="F2" s="89"/>
    </row>
    <row r="3" spans="2:6" ht="16.5" thickBot="1" x14ac:dyDescent="0.25">
      <c r="B3" s="978" t="s">
        <v>64</v>
      </c>
      <c r="C3" s="979"/>
      <c r="D3" s="979"/>
      <c r="E3" s="101" t="s">
        <v>65</v>
      </c>
      <c r="F3" s="102" t="s">
        <v>66</v>
      </c>
    </row>
    <row r="4" spans="2:6" ht="31.5" x14ac:dyDescent="0.2">
      <c r="B4" s="980" t="s">
        <v>67</v>
      </c>
      <c r="C4" s="982" t="s">
        <v>13</v>
      </c>
      <c r="D4" s="90" t="s">
        <v>14</v>
      </c>
      <c r="E4" s="91" t="s">
        <v>68</v>
      </c>
      <c r="F4" s="92">
        <v>0.25</v>
      </c>
    </row>
    <row r="5" spans="2:6" ht="47.25" x14ac:dyDescent="0.2">
      <c r="B5" s="981"/>
      <c r="C5" s="983"/>
      <c r="D5" s="93" t="s">
        <v>15</v>
      </c>
      <c r="E5" s="94" t="s">
        <v>69</v>
      </c>
      <c r="F5" s="95">
        <v>0.15</v>
      </c>
    </row>
    <row r="6" spans="2:6" ht="47.25" x14ac:dyDescent="0.2">
      <c r="B6" s="981"/>
      <c r="C6" s="983"/>
      <c r="D6" s="93" t="s">
        <v>16</v>
      </c>
      <c r="E6" s="94" t="s">
        <v>70</v>
      </c>
      <c r="F6" s="95">
        <v>0.1</v>
      </c>
    </row>
    <row r="7" spans="2:6" ht="63" x14ac:dyDescent="0.2">
      <c r="B7" s="981"/>
      <c r="C7" s="983" t="s">
        <v>17</v>
      </c>
      <c r="D7" s="93" t="s">
        <v>10</v>
      </c>
      <c r="E7" s="94" t="s">
        <v>71</v>
      </c>
      <c r="F7" s="95">
        <v>0.25</v>
      </c>
    </row>
    <row r="8" spans="2:6" ht="31.5" x14ac:dyDescent="0.2">
      <c r="B8" s="981"/>
      <c r="C8" s="983"/>
      <c r="D8" s="93" t="s">
        <v>9</v>
      </c>
      <c r="E8" s="94" t="s">
        <v>72</v>
      </c>
      <c r="F8" s="95">
        <v>0.15</v>
      </c>
    </row>
    <row r="9" spans="2:6" ht="47.25" x14ac:dyDescent="0.2">
      <c r="B9" s="981" t="s">
        <v>162</v>
      </c>
      <c r="C9" s="983" t="s">
        <v>18</v>
      </c>
      <c r="D9" s="93" t="s">
        <v>19</v>
      </c>
      <c r="E9" s="94" t="s">
        <v>73</v>
      </c>
      <c r="F9" s="96" t="s">
        <v>74</v>
      </c>
    </row>
    <row r="10" spans="2:6" ht="63" x14ac:dyDescent="0.2">
      <c r="B10" s="981"/>
      <c r="C10" s="983"/>
      <c r="D10" s="93" t="s">
        <v>20</v>
      </c>
      <c r="E10" s="94" t="s">
        <v>75</v>
      </c>
      <c r="F10" s="96" t="s">
        <v>74</v>
      </c>
    </row>
    <row r="11" spans="2:6" ht="47.25" x14ac:dyDescent="0.2">
      <c r="B11" s="981"/>
      <c r="C11" s="983" t="s">
        <v>21</v>
      </c>
      <c r="D11" s="93" t="s">
        <v>22</v>
      </c>
      <c r="E11" s="94" t="s">
        <v>76</v>
      </c>
      <c r="F11" s="96" t="s">
        <v>74</v>
      </c>
    </row>
    <row r="12" spans="2:6" ht="47.25" x14ac:dyDescent="0.2">
      <c r="B12" s="981"/>
      <c r="C12" s="983"/>
      <c r="D12" s="93" t="s">
        <v>23</v>
      </c>
      <c r="E12" s="94" t="s">
        <v>77</v>
      </c>
      <c r="F12" s="96" t="s">
        <v>74</v>
      </c>
    </row>
    <row r="13" spans="2:6" ht="31.5" x14ac:dyDescent="0.2">
      <c r="B13" s="981"/>
      <c r="C13" s="983" t="s">
        <v>24</v>
      </c>
      <c r="D13" s="93" t="s">
        <v>119</v>
      </c>
      <c r="E13" s="94" t="s">
        <v>122</v>
      </c>
      <c r="F13" s="96" t="s">
        <v>74</v>
      </c>
    </row>
    <row r="14" spans="2:6" ht="32.25" thickBot="1" x14ac:dyDescent="0.25">
      <c r="B14" s="984"/>
      <c r="C14" s="985"/>
      <c r="D14" s="97" t="s">
        <v>120</v>
      </c>
      <c r="E14" s="98" t="s">
        <v>121</v>
      </c>
      <c r="F14" s="99" t="s">
        <v>74</v>
      </c>
    </row>
    <row r="15" spans="2:6" ht="49.5" customHeight="1" x14ac:dyDescent="0.2">
      <c r="B15" s="977" t="s">
        <v>159</v>
      </c>
      <c r="C15" s="977"/>
      <c r="D15" s="977"/>
      <c r="E15" s="977"/>
      <c r="F15" s="977"/>
    </row>
    <row r="16" spans="2:6" ht="27" customHeight="1" x14ac:dyDescent="0.25">
      <c r="B16" s="100"/>
    </row>
  </sheetData>
  <mergeCells count="10">
    <mergeCell ref="B1:F1"/>
    <mergeCell ref="B15:F15"/>
    <mergeCell ref="B3:D3"/>
    <mergeCell ref="B4:B8"/>
    <mergeCell ref="C4:C6"/>
    <mergeCell ref="C7:C8"/>
    <mergeCell ref="B9:B14"/>
    <mergeCell ref="C9:C10"/>
    <mergeCell ref="C11:C12"/>
    <mergeCell ref="C13:C1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1B31-8A2D-47E5-8B08-A02195EDF883}">
  <dimension ref="B2:CT61"/>
  <sheetViews>
    <sheetView zoomScale="60" zoomScaleNormal="60" workbookViewId="0">
      <selection activeCell="BG18" sqref="BE1:CI18"/>
    </sheetView>
  </sheetViews>
  <sheetFormatPr baseColWidth="10" defaultRowHeight="15" x14ac:dyDescent="0.25"/>
  <cols>
    <col min="2" max="5" width="2.85546875" customWidth="1"/>
    <col min="6" max="6" width="5.42578125" customWidth="1"/>
    <col min="7" max="8" width="5.7109375" customWidth="1"/>
    <col min="9" max="46" width="2.85546875" customWidth="1"/>
    <col min="49" max="50" width="2.5703125" customWidth="1"/>
    <col min="51" max="51" width="3.5703125" customWidth="1"/>
    <col min="52" max="56" width="3" customWidth="1"/>
    <col min="57" max="93" width="2.5703125" customWidth="1"/>
    <col min="96" max="96" width="24.140625" customWidth="1"/>
    <col min="97" max="97" width="70.140625" customWidth="1"/>
    <col min="98" max="98" width="29.85546875" customWidth="1"/>
  </cols>
  <sheetData>
    <row r="2" spans="2:98" ht="9.75" customHeight="1" x14ac:dyDescent="0.35">
      <c r="B2" s="1119" t="s">
        <v>161</v>
      </c>
      <c r="C2" s="1119"/>
      <c r="D2" s="1119"/>
      <c r="E2" s="1119"/>
      <c r="F2" s="1119"/>
      <c r="G2" s="1119"/>
      <c r="H2" s="1119"/>
      <c r="I2" s="1119"/>
      <c r="J2" s="1120" t="s">
        <v>2</v>
      </c>
      <c r="K2" s="1120"/>
      <c r="L2" s="1120"/>
      <c r="M2" s="1120"/>
      <c r="N2" s="1120"/>
      <c r="O2" s="1120"/>
      <c r="P2" s="1120"/>
      <c r="Q2" s="1120"/>
      <c r="R2" s="1120"/>
      <c r="S2" s="1120"/>
      <c r="T2" s="1120"/>
      <c r="U2" s="1120"/>
      <c r="V2" s="1120"/>
      <c r="W2" s="1120"/>
      <c r="X2" s="1120"/>
      <c r="Y2" s="1120"/>
      <c r="Z2" s="1120"/>
      <c r="AA2" s="1120"/>
      <c r="AB2" s="1120"/>
      <c r="AC2" s="1120"/>
      <c r="AD2" s="1120"/>
      <c r="AE2" s="1120"/>
      <c r="AF2" s="1120"/>
      <c r="AG2" s="1120"/>
      <c r="AH2" s="1120"/>
      <c r="AI2" s="1120"/>
      <c r="AJ2" s="1120"/>
      <c r="AK2" s="1120"/>
      <c r="AL2" s="1120"/>
      <c r="AM2" s="1120"/>
      <c r="AN2" s="188"/>
      <c r="AO2" s="188"/>
      <c r="AP2" s="188"/>
      <c r="AQ2" s="188"/>
      <c r="AR2" s="188"/>
      <c r="AS2" s="188"/>
      <c r="AT2" s="188"/>
      <c r="AW2" s="1052" t="s">
        <v>160</v>
      </c>
      <c r="AX2" s="1052"/>
      <c r="AY2" s="1052"/>
      <c r="AZ2" s="1052"/>
      <c r="BA2" s="1052"/>
      <c r="BB2" s="1052"/>
      <c r="BC2" s="1052"/>
      <c r="BD2" s="1052"/>
      <c r="BE2" s="1002" t="s">
        <v>2</v>
      </c>
      <c r="BF2" s="1002"/>
      <c r="BG2" s="1002"/>
      <c r="BH2" s="1002"/>
      <c r="BI2" s="1002"/>
      <c r="BJ2" s="1002"/>
      <c r="BK2" s="1002"/>
      <c r="BL2" s="1002"/>
      <c r="BM2" s="1002"/>
      <c r="BN2" s="1002"/>
      <c r="BO2" s="1002"/>
      <c r="BP2" s="1002"/>
      <c r="BQ2" s="1002"/>
      <c r="BR2" s="1002"/>
      <c r="BS2" s="1002"/>
      <c r="BT2" s="1002"/>
      <c r="BU2" s="1002"/>
      <c r="BV2" s="1002"/>
      <c r="BW2" s="1002"/>
      <c r="BX2" s="1002"/>
      <c r="BY2" s="1002"/>
      <c r="BZ2" s="1002"/>
      <c r="CA2" s="1002"/>
      <c r="CB2" s="1002"/>
      <c r="CC2" s="1002"/>
      <c r="CD2" s="1002"/>
      <c r="CE2" s="1002"/>
      <c r="CF2" s="1002"/>
      <c r="CG2" s="1002"/>
      <c r="CH2" s="1002"/>
      <c r="CI2" s="187"/>
      <c r="CJ2" s="187"/>
      <c r="CK2" s="187"/>
      <c r="CL2" s="187"/>
      <c r="CM2" s="187"/>
      <c r="CN2" s="187"/>
      <c r="CO2" s="187"/>
      <c r="CR2" s="972" t="s">
        <v>55</v>
      </c>
      <c r="CS2" s="972"/>
      <c r="CT2" s="972"/>
    </row>
    <row r="3" spans="2:98" ht="9.75" customHeight="1" x14ac:dyDescent="0.35">
      <c r="B3" s="1119"/>
      <c r="C3" s="1119"/>
      <c r="D3" s="1119"/>
      <c r="E3" s="1119"/>
      <c r="F3" s="1119"/>
      <c r="G3" s="1119"/>
      <c r="H3" s="1119"/>
      <c r="I3" s="1119"/>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88"/>
      <c r="AO3" s="188"/>
      <c r="AP3" s="188"/>
      <c r="AQ3" s="188"/>
      <c r="AR3" s="188"/>
      <c r="AS3" s="188"/>
      <c r="AT3" s="188"/>
      <c r="AW3" s="1052"/>
      <c r="AX3" s="1052"/>
      <c r="AY3" s="1052"/>
      <c r="AZ3" s="1052"/>
      <c r="BA3" s="1052"/>
      <c r="BB3" s="1052"/>
      <c r="BC3" s="1052"/>
      <c r="BD3" s="1052"/>
      <c r="BE3" s="1002"/>
      <c r="BF3" s="1002"/>
      <c r="BG3" s="1002"/>
      <c r="BH3" s="1002"/>
      <c r="BI3" s="1002"/>
      <c r="BJ3" s="1002"/>
      <c r="BK3" s="1002"/>
      <c r="BL3" s="1002"/>
      <c r="BM3" s="1002"/>
      <c r="BN3" s="1002"/>
      <c r="BO3" s="1002"/>
      <c r="BP3" s="1002"/>
      <c r="BQ3" s="1002"/>
      <c r="BR3" s="1002"/>
      <c r="BS3" s="1002"/>
      <c r="BT3" s="1002"/>
      <c r="BU3" s="1002"/>
      <c r="BV3" s="1002"/>
      <c r="BW3" s="1002"/>
      <c r="BX3" s="1002"/>
      <c r="BY3" s="1002"/>
      <c r="BZ3" s="1002"/>
      <c r="CA3" s="1002"/>
      <c r="CB3" s="1002"/>
      <c r="CC3" s="1002"/>
      <c r="CD3" s="1002"/>
      <c r="CE3" s="1002"/>
      <c r="CF3" s="1002"/>
      <c r="CG3" s="1002"/>
      <c r="CH3" s="1002"/>
      <c r="CI3" s="187"/>
      <c r="CJ3" s="187"/>
      <c r="CK3" s="187"/>
      <c r="CL3" s="187"/>
      <c r="CM3" s="187"/>
      <c r="CN3" s="187"/>
      <c r="CO3" s="187"/>
      <c r="CR3" s="83"/>
      <c r="CS3" s="83"/>
      <c r="CT3" s="83"/>
    </row>
    <row r="4" spans="2:98" ht="9.75" customHeight="1" x14ac:dyDescent="0.35">
      <c r="B4" s="1119"/>
      <c r="C4" s="1119"/>
      <c r="D4" s="1119"/>
      <c r="E4" s="1119"/>
      <c r="F4" s="1119"/>
      <c r="G4" s="1119"/>
      <c r="H4" s="1119"/>
      <c r="I4" s="1119"/>
      <c r="J4" s="1120"/>
      <c r="K4" s="1120"/>
      <c r="L4" s="1120"/>
      <c r="M4" s="1120"/>
      <c r="N4" s="1120"/>
      <c r="O4" s="1120"/>
      <c r="P4" s="1120"/>
      <c r="Q4" s="1120"/>
      <c r="R4" s="1120"/>
      <c r="S4" s="1120"/>
      <c r="T4" s="1120"/>
      <c r="U4" s="1120"/>
      <c r="V4" s="1120"/>
      <c r="W4" s="1120"/>
      <c r="X4" s="1120"/>
      <c r="Y4" s="1120"/>
      <c r="Z4" s="1120"/>
      <c r="AA4" s="1120"/>
      <c r="AB4" s="1120"/>
      <c r="AC4" s="1120"/>
      <c r="AD4" s="1120"/>
      <c r="AE4" s="1120"/>
      <c r="AF4" s="1120"/>
      <c r="AG4" s="1120"/>
      <c r="AH4" s="1120"/>
      <c r="AI4" s="1120"/>
      <c r="AJ4" s="1120"/>
      <c r="AK4" s="1120"/>
      <c r="AL4" s="1120"/>
      <c r="AM4" s="1120"/>
      <c r="AN4" s="188"/>
      <c r="AO4" s="188"/>
      <c r="AP4" s="188"/>
      <c r="AQ4" s="188"/>
      <c r="AR4" s="188"/>
      <c r="AS4" s="188"/>
      <c r="AT4" s="188"/>
      <c r="AW4" s="1052"/>
      <c r="AX4" s="1052"/>
      <c r="AY4" s="1052"/>
      <c r="AZ4" s="1052"/>
      <c r="BA4" s="1052"/>
      <c r="BB4" s="1052"/>
      <c r="BC4" s="1052"/>
      <c r="BD4" s="1052"/>
      <c r="BE4" s="1002"/>
      <c r="BF4" s="1002"/>
      <c r="BG4" s="1002"/>
      <c r="BH4" s="1002"/>
      <c r="BI4" s="1002"/>
      <c r="BJ4" s="1002"/>
      <c r="BK4" s="1002"/>
      <c r="BL4" s="1002"/>
      <c r="BM4" s="1002"/>
      <c r="BN4" s="1002"/>
      <c r="BO4" s="1002"/>
      <c r="BP4" s="1002"/>
      <c r="BQ4" s="1002"/>
      <c r="BR4" s="1002"/>
      <c r="BS4" s="1002"/>
      <c r="BT4" s="1002"/>
      <c r="BU4" s="1002"/>
      <c r="BV4" s="1002"/>
      <c r="BW4" s="1002"/>
      <c r="BX4" s="1002"/>
      <c r="BY4" s="1002"/>
      <c r="BZ4" s="1002"/>
      <c r="CA4" s="1002"/>
      <c r="CB4" s="1002"/>
      <c r="CC4" s="1002"/>
      <c r="CD4" s="1002"/>
      <c r="CE4" s="1002"/>
      <c r="CF4" s="1002"/>
      <c r="CG4" s="1002"/>
      <c r="CH4" s="1002"/>
      <c r="CI4" s="187"/>
      <c r="CJ4" s="187"/>
      <c r="CK4" s="187"/>
      <c r="CL4" s="187"/>
      <c r="CM4" s="187"/>
      <c r="CN4" s="187"/>
      <c r="CO4" s="187"/>
      <c r="CR4" s="11"/>
      <c r="CS4" s="12" t="s">
        <v>52</v>
      </c>
      <c r="CT4" s="12" t="s">
        <v>4</v>
      </c>
    </row>
    <row r="5" spans="2:98" ht="9.75" customHeight="1" thickBot="1" x14ac:dyDescent="0.4">
      <c r="B5" s="188"/>
      <c r="C5" s="188"/>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W5" s="187"/>
      <c r="AX5" s="187"/>
      <c r="AY5" s="187"/>
      <c r="AZ5" s="187"/>
      <c r="BA5" s="187"/>
      <c r="BB5" s="187"/>
      <c r="BC5" s="187"/>
      <c r="BD5" s="187"/>
      <c r="BE5" s="187"/>
      <c r="BF5" s="187"/>
      <c r="BG5" s="187"/>
      <c r="BH5" s="187"/>
      <c r="BI5" s="187"/>
      <c r="BJ5" s="18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R5" s="13" t="s">
        <v>51</v>
      </c>
      <c r="CS5" s="14" t="s">
        <v>102</v>
      </c>
      <c r="CT5" s="15">
        <v>0.2</v>
      </c>
    </row>
    <row r="6" spans="2:98" ht="9" customHeight="1" x14ac:dyDescent="0.35">
      <c r="B6" s="1121" t="s">
        <v>4</v>
      </c>
      <c r="C6" s="1121"/>
      <c r="D6" s="1122"/>
      <c r="E6" s="1042" t="s">
        <v>116</v>
      </c>
      <c r="F6" s="1043"/>
      <c r="G6" s="1043"/>
      <c r="H6" s="1043"/>
      <c r="I6" s="1044"/>
      <c r="J6" s="1077" t="s">
        <v>373</v>
      </c>
      <c r="K6" s="1078"/>
      <c r="L6" s="1078" t="s">
        <v>373</v>
      </c>
      <c r="M6" s="1078"/>
      <c r="N6" s="1078" t="s">
        <v>373</v>
      </c>
      <c r="O6" s="1079"/>
      <c r="P6" s="1077" t="s">
        <v>373</v>
      </c>
      <c r="Q6" s="1078"/>
      <c r="R6" s="1078" t="s">
        <v>373</v>
      </c>
      <c r="S6" s="1078"/>
      <c r="T6" s="1078" t="s">
        <v>373</v>
      </c>
      <c r="U6" s="1079"/>
      <c r="V6" s="1077" t="s">
        <v>373</v>
      </c>
      <c r="W6" s="1078"/>
      <c r="X6" s="1078" t="s">
        <v>373</v>
      </c>
      <c r="Y6" s="1078"/>
      <c r="Z6" s="1078" t="s">
        <v>373</v>
      </c>
      <c r="AA6" s="1079"/>
      <c r="AB6" s="1077" t="s">
        <v>373</v>
      </c>
      <c r="AC6" s="1078"/>
      <c r="AD6" s="1078" t="s">
        <v>373</v>
      </c>
      <c r="AE6" s="1078"/>
      <c r="AF6" s="1078" t="s">
        <v>373</v>
      </c>
      <c r="AG6" s="1079"/>
      <c r="AH6" s="1071" t="s">
        <v>373</v>
      </c>
      <c r="AI6" s="1072"/>
      <c r="AJ6" s="1072" t="s">
        <v>373</v>
      </c>
      <c r="AK6" s="1072"/>
      <c r="AL6" s="1072" t="s">
        <v>373</v>
      </c>
      <c r="AM6" s="1073"/>
      <c r="AN6" s="189"/>
      <c r="AO6" s="1110" t="s">
        <v>79</v>
      </c>
      <c r="AP6" s="1111"/>
      <c r="AQ6" s="1111"/>
      <c r="AR6" s="1111"/>
      <c r="AS6" s="1111"/>
      <c r="AT6" s="1112"/>
      <c r="AW6" s="1003" t="s">
        <v>4</v>
      </c>
      <c r="AX6" s="1003"/>
      <c r="AY6" s="1004"/>
      <c r="AZ6" s="992" t="s">
        <v>116</v>
      </c>
      <c r="BA6" s="993"/>
      <c r="BB6" s="993"/>
      <c r="BC6" s="993"/>
      <c r="BD6" s="994"/>
      <c r="BE6" s="190" t="s">
        <v>373</v>
      </c>
      <c r="BF6" s="191" t="s">
        <v>373</v>
      </c>
      <c r="BG6" s="191" t="s">
        <v>373</v>
      </c>
      <c r="BH6" s="191" t="s">
        <v>373</v>
      </c>
      <c r="BI6" s="191" t="s">
        <v>373</v>
      </c>
      <c r="BJ6" s="192" t="s">
        <v>373</v>
      </c>
      <c r="BK6" s="190" t="s">
        <v>373</v>
      </c>
      <c r="BL6" s="191" t="s">
        <v>373</v>
      </c>
      <c r="BM6" s="191" t="s">
        <v>373</v>
      </c>
      <c r="BN6" s="191" t="s">
        <v>373</v>
      </c>
      <c r="BO6" s="191" t="s">
        <v>373</v>
      </c>
      <c r="BP6" s="192" t="s">
        <v>373</v>
      </c>
      <c r="BQ6" s="190" t="s">
        <v>373</v>
      </c>
      <c r="BR6" s="191" t="s">
        <v>373</v>
      </c>
      <c r="BS6" s="191" t="s">
        <v>373</v>
      </c>
      <c r="BT6" s="191" t="s">
        <v>373</v>
      </c>
      <c r="BU6" s="191" t="s">
        <v>373</v>
      </c>
      <c r="BV6" s="192" t="s">
        <v>373</v>
      </c>
      <c r="BW6" s="190" t="s">
        <v>373</v>
      </c>
      <c r="BX6" s="191" t="s">
        <v>373</v>
      </c>
      <c r="BY6" s="191" t="s">
        <v>373</v>
      </c>
      <c r="BZ6" s="191" t="s">
        <v>373</v>
      </c>
      <c r="CA6" s="191" t="s">
        <v>373</v>
      </c>
      <c r="CB6" s="192" t="s">
        <v>373</v>
      </c>
      <c r="CC6" s="193" t="s">
        <v>373</v>
      </c>
      <c r="CD6" s="194" t="s">
        <v>373</v>
      </c>
      <c r="CE6" s="194" t="s">
        <v>373</v>
      </c>
      <c r="CF6" s="194" t="s">
        <v>373</v>
      </c>
      <c r="CG6" s="194" t="s">
        <v>373</v>
      </c>
      <c r="CH6" s="195" t="s">
        <v>373</v>
      </c>
      <c r="CI6" s="187"/>
      <c r="CJ6" s="1005" t="s">
        <v>79</v>
      </c>
      <c r="CK6" s="1006"/>
      <c r="CL6" s="1006"/>
      <c r="CM6" s="1006"/>
      <c r="CN6" s="1006"/>
      <c r="CO6" s="1007"/>
      <c r="CR6" s="16" t="s">
        <v>53</v>
      </c>
      <c r="CS6" s="17" t="s">
        <v>103</v>
      </c>
      <c r="CT6" s="18">
        <v>0.4</v>
      </c>
    </row>
    <row r="7" spans="2:98" ht="9" customHeight="1" x14ac:dyDescent="0.35">
      <c r="B7" s="1121"/>
      <c r="C7" s="1121"/>
      <c r="D7" s="1122"/>
      <c r="E7" s="1045"/>
      <c r="F7" s="1046"/>
      <c r="G7" s="1046"/>
      <c r="H7" s="1046"/>
      <c r="I7" s="1047"/>
      <c r="J7" s="986"/>
      <c r="K7" s="987"/>
      <c r="L7" s="987"/>
      <c r="M7" s="987"/>
      <c r="N7" s="987"/>
      <c r="O7" s="990"/>
      <c r="P7" s="986"/>
      <c r="Q7" s="987"/>
      <c r="R7" s="987"/>
      <c r="S7" s="987"/>
      <c r="T7" s="987"/>
      <c r="U7" s="990"/>
      <c r="V7" s="986"/>
      <c r="W7" s="987"/>
      <c r="X7" s="987"/>
      <c r="Y7" s="987"/>
      <c r="Z7" s="987"/>
      <c r="AA7" s="990"/>
      <c r="AB7" s="986"/>
      <c r="AC7" s="987"/>
      <c r="AD7" s="987"/>
      <c r="AE7" s="987"/>
      <c r="AF7" s="987"/>
      <c r="AG7" s="990"/>
      <c r="AH7" s="1053"/>
      <c r="AI7" s="1054"/>
      <c r="AJ7" s="1054"/>
      <c r="AK7" s="1054"/>
      <c r="AL7" s="1054"/>
      <c r="AM7" s="1057"/>
      <c r="AN7" s="188"/>
      <c r="AO7" s="1113"/>
      <c r="AP7" s="1114"/>
      <c r="AQ7" s="1114"/>
      <c r="AR7" s="1114"/>
      <c r="AS7" s="1114"/>
      <c r="AT7" s="1115"/>
      <c r="AW7" s="1003"/>
      <c r="AX7" s="1003"/>
      <c r="AY7" s="1004"/>
      <c r="AZ7" s="995"/>
      <c r="BA7" s="996"/>
      <c r="BB7" s="996"/>
      <c r="BC7" s="996"/>
      <c r="BD7" s="997"/>
      <c r="BE7" s="196" t="s">
        <v>373</v>
      </c>
      <c r="BF7" s="197" t="s">
        <v>373</v>
      </c>
      <c r="BG7" s="197" t="s">
        <v>373</v>
      </c>
      <c r="BH7" s="197" t="s">
        <v>373</v>
      </c>
      <c r="BI7" s="197" t="s">
        <v>373</v>
      </c>
      <c r="BJ7" s="198" t="s">
        <v>373</v>
      </c>
      <c r="BK7" s="196" t="s">
        <v>373</v>
      </c>
      <c r="BL7" s="197" t="s">
        <v>373</v>
      </c>
      <c r="BM7" s="197" t="s">
        <v>373</v>
      </c>
      <c r="BN7" s="197" t="s">
        <v>373</v>
      </c>
      <c r="BO7" s="197" t="s">
        <v>373</v>
      </c>
      <c r="BP7" s="198" t="s">
        <v>373</v>
      </c>
      <c r="BQ7" s="196" t="s">
        <v>373</v>
      </c>
      <c r="BR7" s="197" t="s">
        <v>373</v>
      </c>
      <c r="BS7" s="197" t="s">
        <v>373</v>
      </c>
      <c r="BT7" s="197" t="s">
        <v>373</v>
      </c>
      <c r="BU7" s="197" t="s">
        <v>373</v>
      </c>
      <c r="BV7" s="198" t="s">
        <v>373</v>
      </c>
      <c r="BW7" s="196" t="s">
        <v>373</v>
      </c>
      <c r="BX7" s="197" t="s">
        <v>373</v>
      </c>
      <c r="BY7" s="197" t="s">
        <v>373</v>
      </c>
      <c r="BZ7" s="197" t="s">
        <v>373</v>
      </c>
      <c r="CA7" s="197" t="s">
        <v>373</v>
      </c>
      <c r="CB7" s="198" t="s">
        <v>373</v>
      </c>
      <c r="CC7" s="199" t="s">
        <v>373</v>
      </c>
      <c r="CD7" s="200" t="s">
        <v>373</v>
      </c>
      <c r="CE7" s="200" t="s">
        <v>373</v>
      </c>
      <c r="CF7" s="200" t="s">
        <v>373</v>
      </c>
      <c r="CG7" s="200" t="s">
        <v>373</v>
      </c>
      <c r="CH7" s="201" t="s">
        <v>373</v>
      </c>
      <c r="CI7" s="187"/>
      <c r="CJ7" s="1008"/>
      <c r="CK7" s="1009"/>
      <c r="CL7" s="1009"/>
      <c r="CM7" s="1009"/>
      <c r="CN7" s="1009"/>
      <c r="CO7" s="1010"/>
      <c r="CR7" s="19" t="s">
        <v>107</v>
      </c>
      <c r="CS7" s="17" t="s">
        <v>104</v>
      </c>
      <c r="CT7" s="18">
        <v>0.6</v>
      </c>
    </row>
    <row r="8" spans="2:98" ht="9" customHeight="1" x14ac:dyDescent="0.35">
      <c r="B8" s="1121"/>
      <c r="C8" s="1121"/>
      <c r="D8" s="1122"/>
      <c r="E8" s="1045"/>
      <c r="F8" s="1046"/>
      <c r="G8" s="1046"/>
      <c r="H8" s="1046"/>
      <c r="I8" s="1047"/>
      <c r="J8" s="986" t="s">
        <v>373</v>
      </c>
      <c r="K8" s="987"/>
      <c r="L8" s="987" t="s">
        <v>373</v>
      </c>
      <c r="M8" s="987"/>
      <c r="N8" s="987" t="s">
        <v>373</v>
      </c>
      <c r="O8" s="990"/>
      <c r="P8" s="986" t="s">
        <v>373</v>
      </c>
      <c r="Q8" s="987"/>
      <c r="R8" s="987" t="s">
        <v>373</v>
      </c>
      <c r="S8" s="987"/>
      <c r="T8" s="987" t="s">
        <v>373</v>
      </c>
      <c r="U8" s="990"/>
      <c r="V8" s="986" t="s">
        <v>373</v>
      </c>
      <c r="W8" s="987"/>
      <c r="X8" s="987" t="s">
        <v>373</v>
      </c>
      <c r="Y8" s="987"/>
      <c r="Z8" s="987" t="s">
        <v>373</v>
      </c>
      <c r="AA8" s="990"/>
      <c r="AB8" s="986" t="s">
        <v>373</v>
      </c>
      <c r="AC8" s="987"/>
      <c r="AD8" s="987" t="s">
        <v>373</v>
      </c>
      <c r="AE8" s="987"/>
      <c r="AF8" s="987" t="s">
        <v>373</v>
      </c>
      <c r="AG8" s="990"/>
      <c r="AH8" s="1053" t="s">
        <v>373</v>
      </c>
      <c r="AI8" s="1054"/>
      <c r="AJ8" s="1054" t="s">
        <v>373</v>
      </c>
      <c r="AK8" s="1054"/>
      <c r="AL8" s="1054" t="s">
        <v>373</v>
      </c>
      <c r="AM8" s="1057"/>
      <c r="AN8" s="188"/>
      <c r="AO8" s="1113"/>
      <c r="AP8" s="1114"/>
      <c r="AQ8" s="1114"/>
      <c r="AR8" s="1114"/>
      <c r="AS8" s="1114"/>
      <c r="AT8" s="1115"/>
      <c r="AW8" s="1003"/>
      <c r="AX8" s="1003"/>
      <c r="AY8" s="1004"/>
      <c r="AZ8" s="995"/>
      <c r="BA8" s="996"/>
      <c r="BB8" s="996"/>
      <c r="BC8" s="996"/>
      <c r="BD8" s="997"/>
      <c r="BE8" s="196" t="s">
        <v>373</v>
      </c>
      <c r="BF8" s="197" t="s">
        <v>373</v>
      </c>
      <c r="BG8" s="197" t="s">
        <v>373</v>
      </c>
      <c r="BH8" s="197" t="s">
        <v>373</v>
      </c>
      <c r="BI8" s="197" t="s">
        <v>373</v>
      </c>
      <c r="BJ8" s="198" t="s">
        <v>373</v>
      </c>
      <c r="BK8" s="196" t="s">
        <v>373</v>
      </c>
      <c r="BL8" s="197" t="s">
        <v>373</v>
      </c>
      <c r="BM8" s="197" t="s">
        <v>373</v>
      </c>
      <c r="BN8" s="197" t="s">
        <v>373</v>
      </c>
      <c r="BO8" s="197" t="s">
        <v>373</v>
      </c>
      <c r="BP8" s="198" t="s">
        <v>373</v>
      </c>
      <c r="BQ8" s="196" t="s">
        <v>373</v>
      </c>
      <c r="BR8" s="197" t="s">
        <v>373</v>
      </c>
      <c r="BS8" s="197" t="s">
        <v>373</v>
      </c>
      <c r="BT8" s="197" t="s">
        <v>373</v>
      </c>
      <c r="BU8" s="197" t="s">
        <v>373</v>
      </c>
      <c r="BV8" s="198" t="s">
        <v>373</v>
      </c>
      <c r="BW8" s="196" t="s">
        <v>373</v>
      </c>
      <c r="BX8" s="197" t="s">
        <v>373</v>
      </c>
      <c r="BY8" s="197" t="s">
        <v>373</v>
      </c>
      <c r="BZ8" s="197" t="s">
        <v>373</v>
      </c>
      <c r="CA8" s="197" t="s">
        <v>373</v>
      </c>
      <c r="CB8" s="198" t="s">
        <v>373</v>
      </c>
      <c r="CC8" s="199" t="s">
        <v>373</v>
      </c>
      <c r="CD8" s="200" t="s">
        <v>373</v>
      </c>
      <c r="CE8" s="200" t="s">
        <v>373</v>
      </c>
      <c r="CF8" s="200" t="s">
        <v>373</v>
      </c>
      <c r="CG8" s="200" t="s">
        <v>373</v>
      </c>
      <c r="CH8" s="201" t="s">
        <v>373</v>
      </c>
      <c r="CI8" s="187"/>
      <c r="CJ8" s="1008"/>
      <c r="CK8" s="1009"/>
      <c r="CL8" s="1009"/>
      <c r="CM8" s="1009"/>
      <c r="CN8" s="1009"/>
      <c r="CO8" s="1010"/>
      <c r="CR8" s="20" t="s">
        <v>6</v>
      </c>
      <c r="CS8" s="17" t="s">
        <v>105</v>
      </c>
      <c r="CT8" s="18">
        <v>0.8</v>
      </c>
    </row>
    <row r="9" spans="2:98" ht="9" customHeight="1" x14ac:dyDescent="0.35">
      <c r="B9" s="1121"/>
      <c r="C9" s="1121"/>
      <c r="D9" s="1122"/>
      <c r="E9" s="1045"/>
      <c r="F9" s="1046"/>
      <c r="G9" s="1046"/>
      <c r="H9" s="1046"/>
      <c r="I9" s="1047"/>
      <c r="J9" s="986"/>
      <c r="K9" s="987"/>
      <c r="L9" s="987"/>
      <c r="M9" s="987"/>
      <c r="N9" s="987"/>
      <c r="O9" s="990"/>
      <c r="P9" s="986"/>
      <c r="Q9" s="987"/>
      <c r="R9" s="987"/>
      <c r="S9" s="987"/>
      <c r="T9" s="987"/>
      <c r="U9" s="990"/>
      <c r="V9" s="986"/>
      <c r="W9" s="987"/>
      <c r="X9" s="987"/>
      <c r="Y9" s="987"/>
      <c r="Z9" s="987"/>
      <c r="AA9" s="990"/>
      <c r="AB9" s="986"/>
      <c r="AC9" s="987"/>
      <c r="AD9" s="987"/>
      <c r="AE9" s="987"/>
      <c r="AF9" s="987"/>
      <c r="AG9" s="990"/>
      <c r="AH9" s="1053"/>
      <c r="AI9" s="1054"/>
      <c r="AJ9" s="1054"/>
      <c r="AK9" s="1054"/>
      <c r="AL9" s="1054"/>
      <c r="AM9" s="1057"/>
      <c r="AN9" s="188"/>
      <c r="AO9" s="1113"/>
      <c r="AP9" s="1114"/>
      <c r="AQ9" s="1114"/>
      <c r="AR9" s="1114"/>
      <c r="AS9" s="1114"/>
      <c r="AT9" s="1115"/>
      <c r="AW9" s="1003"/>
      <c r="AX9" s="1003"/>
      <c r="AY9" s="1004"/>
      <c r="AZ9" s="995"/>
      <c r="BA9" s="996"/>
      <c r="BB9" s="996"/>
      <c r="BC9" s="996"/>
      <c r="BD9" s="997"/>
      <c r="BE9" s="196" t="s">
        <v>373</v>
      </c>
      <c r="BF9" s="197" t="s">
        <v>373</v>
      </c>
      <c r="BG9" s="197" t="s">
        <v>373</v>
      </c>
      <c r="BH9" s="197" t="s">
        <v>373</v>
      </c>
      <c r="BI9" s="197" t="s">
        <v>373</v>
      </c>
      <c r="BJ9" s="198" t="s">
        <v>373</v>
      </c>
      <c r="BK9" s="196" t="s">
        <v>373</v>
      </c>
      <c r="BL9" s="197" t="s">
        <v>373</v>
      </c>
      <c r="BM9" s="197" t="s">
        <v>373</v>
      </c>
      <c r="BN9" s="197" t="s">
        <v>373</v>
      </c>
      <c r="BO9" s="197" t="s">
        <v>373</v>
      </c>
      <c r="BP9" s="198" t="s">
        <v>373</v>
      </c>
      <c r="BQ9" s="196" t="s">
        <v>373</v>
      </c>
      <c r="BR9" s="197" t="s">
        <v>373</v>
      </c>
      <c r="BS9" s="197" t="s">
        <v>373</v>
      </c>
      <c r="BT9" s="197" t="s">
        <v>373</v>
      </c>
      <c r="BU9" s="197" t="s">
        <v>373</v>
      </c>
      <c r="BV9" s="198" t="s">
        <v>373</v>
      </c>
      <c r="BW9" s="196" t="s">
        <v>373</v>
      </c>
      <c r="BX9" s="197" t="s">
        <v>373</v>
      </c>
      <c r="BY9" s="197" t="s">
        <v>373</v>
      </c>
      <c r="BZ9" s="197" t="s">
        <v>373</v>
      </c>
      <c r="CA9" s="197" t="s">
        <v>373</v>
      </c>
      <c r="CB9" s="198" t="s">
        <v>373</v>
      </c>
      <c r="CC9" s="199" t="s">
        <v>373</v>
      </c>
      <c r="CD9" s="200" t="s">
        <v>373</v>
      </c>
      <c r="CE9" s="200" t="s">
        <v>373</v>
      </c>
      <c r="CF9" s="200" t="s">
        <v>373</v>
      </c>
      <c r="CG9" s="200" t="s">
        <v>373</v>
      </c>
      <c r="CH9" s="201" t="s">
        <v>373</v>
      </c>
      <c r="CI9" s="187"/>
      <c r="CJ9" s="1008"/>
      <c r="CK9" s="1009"/>
      <c r="CL9" s="1009"/>
      <c r="CM9" s="1009"/>
      <c r="CN9" s="1009"/>
      <c r="CO9" s="1010"/>
      <c r="CR9" s="21" t="s">
        <v>54</v>
      </c>
      <c r="CS9" s="17" t="s">
        <v>106</v>
      </c>
      <c r="CT9" s="18">
        <v>1</v>
      </c>
    </row>
    <row r="10" spans="2:98" ht="9" customHeight="1" x14ac:dyDescent="0.35">
      <c r="B10" s="1121"/>
      <c r="C10" s="1121"/>
      <c r="D10" s="1122"/>
      <c r="E10" s="1045"/>
      <c r="F10" s="1046"/>
      <c r="G10" s="1046"/>
      <c r="H10" s="1046"/>
      <c r="I10" s="1047"/>
      <c r="J10" s="986" t="s">
        <v>373</v>
      </c>
      <c r="K10" s="987"/>
      <c r="L10" s="987" t="s">
        <v>373</v>
      </c>
      <c r="M10" s="987"/>
      <c r="N10" s="987" t="s">
        <v>373</v>
      </c>
      <c r="O10" s="990"/>
      <c r="P10" s="986" t="s">
        <v>373</v>
      </c>
      <c r="Q10" s="987"/>
      <c r="R10" s="987" t="s">
        <v>373</v>
      </c>
      <c r="S10" s="987"/>
      <c r="T10" s="987" t="s">
        <v>373</v>
      </c>
      <c r="U10" s="990"/>
      <c r="V10" s="986" t="s">
        <v>373</v>
      </c>
      <c r="W10" s="987"/>
      <c r="X10" s="987" t="s">
        <v>373</v>
      </c>
      <c r="Y10" s="987"/>
      <c r="Z10" s="987" t="s">
        <v>373</v>
      </c>
      <c r="AA10" s="990"/>
      <c r="AB10" s="986" t="s">
        <v>373</v>
      </c>
      <c r="AC10" s="987"/>
      <c r="AD10" s="987" t="s">
        <v>373</v>
      </c>
      <c r="AE10" s="987"/>
      <c r="AF10" s="987" t="s">
        <v>373</v>
      </c>
      <c r="AG10" s="990"/>
      <c r="AH10" s="1053" t="s">
        <v>373</v>
      </c>
      <c r="AI10" s="1054"/>
      <c r="AJ10" s="1054" t="s">
        <v>373</v>
      </c>
      <c r="AK10" s="1054"/>
      <c r="AL10" s="1054" t="s">
        <v>373</v>
      </c>
      <c r="AM10" s="1057"/>
      <c r="AN10" s="188"/>
      <c r="AO10" s="1113"/>
      <c r="AP10" s="1114"/>
      <c r="AQ10" s="1114"/>
      <c r="AR10" s="1114"/>
      <c r="AS10" s="1114"/>
      <c r="AT10" s="1115"/>
      <c r="AW10" s="1003"/>
      <c r="AX10" s="1003"/>
      <c r="AY10" s="1004"/>
      <c r="AZ10" s="995"/>
      <c r="BA10" s="996"/>
      <c r="BB10" s="996"/>
      <c r="BC10" s="996"/>
      <c r="BD10" s="997"/>
      <c r="BE10" s="196" t="s">
        <v>373</v>
      </c>
      <c r="BF10" s="197" t="s">
        <v>373</v>
      </c>
      <c r="BG10" s="197" t="s">
        <v>373</v>
      </c>
      <c r="BH10" s="197" t="s">
        <v>373</v>
      </c>
      <c r="BI10" s="197" t="s">
        <v>373</v>
      </c>
      <c r="BJ10" s="198" t="s">
        <v>373</v>
      </c>
      <c r="BK10" s="196" t="s">
        <v>373</v>
      </c>
      <c r="BL10" s="197" t="s">
        <v>373</v>
      </c>
      <c r="BM10" s="197" t="s">
        <v>373</v>
      </c>
      <c r="BN10" s="197" t="s">
        <v>373</v>
      </c>
      <c r="BO10" s="197" t="s">
        <v>373</v>
      </c>
      <c r="BP10" s="198" t="s">
        <v>373</v>
      </c>
      <c r="BQ10" s="196" t="s">
        <v>373</v>
      </c>
      <c r="BR10" s="197" t="s">
        <v>373</v>
      </c>
      <c r="BS10" s="197" t="s">
        <v>373</v>
      </c>
      <c r="BT10" s="197" t="s">
        <v>373</v>
      </c>
      <c r="BU10" s="197" t="s">
        <v>373</v>
      </c>
      <c r="BV10" s="198" t="s">
        <v>373</v>
      </c>
      <c r="BW10" s="196" t="s">
        <v>373</v>
      </c>
      <c r="BX10" s="197" t="s">
        <v>373</v>
      </c>
      <c r="BY10" s="197" t="s">
        <v>373</v>
      </c>
      <c r="BZ10" s="197" t="s">
        <v>373</v>
      </c>
      <c r="CA10" s="197" t="s">
        <v>373</v>
      </c>
      <c r="CB10" s="198" t="s">
        <v>373</v>
      </c>
      <c r="CC10" s="199" t="s">
        <v>373</v>
      </c>
      <c r="CD10" s="200" t="s">
        <v>373</v>
      </c>
      <c r="CE10" s="200" t="s">
        <v>373</v>
      </c>
      <c r="CF10" s="200" t="s">
        <v>373</v>
      </c>
      <c r="CG10" s="200" t="s">
        <v>373</v>
      </c>
      <c r="CH10" s="201" t="s">
        <v>373</v>
      </c>
      <c r="CI10" s="187"/>
      <c r="CJ10" s="1008"/>
      <c r="CK10" s="1009"/>
      <c r="CL10" s="1009"/>
      <c r="CM10" s="1009"/>
      <c r="CN10" s="1009"/>
      <c r="CO10" s="1010"/>
    </row>
    <row r="11" spans="2:98" ht="9" customHeight="1" x14ac:dyDescent="0.35">
      <c r="B11" s="1121"/>
      <c r="C11" s="1121"/>
      <c r="D11" s="1122"/>
      <c r="E11" s="1045"/>
      <c r="F11" s="1046"/>
      <c r="G11" s="1046"/>
      <c r="H11" s="1046"/>
      <c r="I11" s="1047"/>
      <c r="J11" s="986"/>
      <c r="K11" s="987"/>
      <c r="L11" s="987"/>
      <c r="M11" s="987"/>
      <c r="N11" s="987"/>
      <c r="O11" s="990"/>
      <c r="P11" s="986"/>
      <c r="Q11" s="987"/>
      <c r="R11" s="987"/>
      <c r="S11" s="987"/>
      <c r="T11" s="987"/>
      <c r="U11" s="990"/>
      <c r="V11" s="986"/>
      <c r="W11" s="987"/>
      <c r="X11" s="987"/>
      <c r="Y11" s="987"/>
      <c r="Z11" s="987"/>
      <c r="AA11" s="990"/>
      <c r="AB11" s="986"/>
      <c r="AC11" s="987"/>
      <c r="AD11" s="987"/>
      <c r="AE11" s="987"/>
      <c r="AF11" s="987"/>
      <c r="AG11" s="990"/>
      <c r="AH11" s="1053"/>
      <c r="AI11" s="1054"/>
      <c r="AJ11" s="1054"/>
      <c r="AK11" s="1054"/>
      <c r="AL11" s="1054"/>
      <c r="AM11" s="1057"/>
      <c r="AN11" s="188"/>
      <c r="AO11" s="1113"/>
      <c r="AP11" s="1114"/>
      <c r="AQ11" s="1114"/>
      <c r="AR11" s="1114"/>
      <c r="AS11" s="1114"/>
      <c r="AT11" s="1115"/>
      <c r="AW11" s="1003"/>
      <c r="AX11" s="1003"/>
      <c r="AY11" s="1004"/>
      <c r="AZ11" s="995"/>
      <c r="BA11" s="996"/>
      <c r="BB11" s="996"/>
      <c r="BC11" s="996"/>
      <c r="BD11" s="997"/>
      <c r="BE11" s="196" t="s">
        <v>373</v>
      </c>
      <c r="BF11" s="197" t="s">
        <v>373</v>
      </c>
      <c r="BG11" s="197" t="s">
        <v>373</v>
      </c>
      <c r="BH11" s="197" t="s">
        <v>373</v>
      </c>
      <c r="BI11" s="197" t="s">
        <v>373</v>
      </c>
      <c r="BJ11" s="198" t="s">
        <v>373</v>
      </c>
      <c r="BK11" s="196" t="s">
        <v>373</v>
      </c>
      <c r="BL11" s="197" t="s">
        <v>373</v>
      </c>
      <c r="BM11" s="197" t="s">
        <v>373</v>
      </c>
      <c r="BN11" s="197" t="s">
        <v>373</v>
      </c>
      <c r="BO11" s="197" t="s">
        <v>373</v>
      </c>
      <c r="BP11" s="198" t="s">
        <v>373</v>
      </c>
      <c r="BQ11" s="196" t="s">
        <v>373</v>
      </c>
      <c r="BR11" s="197" t="s">
        <v>373</v>
      </c>
      <c r="BS11" s="197" t="s">
        <v>373</v>
      </c>
      <c r="BT11" s="197" t="s">
        <v>373</v>
      </c>
      <c r="BU11" s="197" t="s">
        <v>373</v>
      </c>
      <c r="BV11" s="198" t="s">
        <v>373</v>
      </c>
      <c r="BW11" s="196" t="s">
        <v>373</v>
      </c>
      <c r="BX11" s="197" t="s">
        <v>373</v>
      </c>
      <c r="BY11" s="197" t="s">
        <v>373</v>
      </c>
      <c r="BZ11" s="197" t="s">
        <v>373</v>
      </c>
      <c r="CA11" s="197" t="s">
        <v>373</v>
      </c>
      <c r="CB11" s="198" t="s">
        <v>373</v>
      </c>
      <c r="CC11" s="199" t="s">
        <v>373</v>
      </c>
      <c r="CD11" s="200" t="s">
        <v>373</v>
      </c>
      <c r="CE11" s="200" t="s">
        <v>373</v>
      </c>
      <c r="CF11" s="200" t="s">
        <v>373</v>
      </c>
      <c r="CG11" s="200" t="s">
        <v>373</v>
      </c>
      <c r="CH11" s="201" t="s">
        <v>373</v>
      </c>
      <c r="CI11" s="187"/>
      <c r="CJ11" s="1008"/>
      <c r="CK11" s="1009"/>
      <c r="CL11" s="1009"/>
      <c r="CM11" s="1009"/>
      <c r="CN11" s="1009"/>
      <c r="CO11" s="1010"/>
    </row>
    <row r="12" spans="2:98" ht="9" customHeight="1" x14ac:dyDescent="0.35">
      <c r="B12" s="1121"/>
      <c r="C12" s="1121"/>
      <c r="D12" s="1122"/>
      <c r="E12" s="1045"/>
      <c r="F12" s="1046"/>
      <c r="G12" s="1046"/>
      <c r="H12" s="1046"/>
      <c r="I12" s="1047"/>
      <c r="J12" s="986" t="s">
        <v>373</v>
      </c>
      <c r="K12" s="987"/>
      <c r="L12" s="987" t="s">
        <v>373</v>
      </c>
      <c r="M12" s="987"/>
      <c r="N12" s="987" t="s">
        <v>373</v>
      </c>
      <c r="O12" s="990"/>
      <c r="P12" s="986" t="s">
        <v>373</v>
      </c>
      <c r="Q12" s="987"/>
      <c r="R12" s="987" t="s">
        <v>373</v>
      </c>
      <c r="S12" s="987"/>
      <c r="T12" s="987" t="s">
        <v>373</v>
      </c>
      <c r="U12" s="990"/>
      <c r="V12" s="986" t="s">
        <v>373</v>
      </c>
      <c r="W12" s="987"/>
      <c r="X12" s="987" t="s">
        <v>373</v>
      </c>
      <c r="Y12" s="987"/>
      <c r="Z12" s="987" t="s">
        <v>373</v>
      </c>
      <c r="AA12" s="990"/>
      <c r="AB12" s="986" t="s">
        <v>373</v>
      </c>
      <c r="AC12" s="987"/>
      <c r="AD12" s="987" t="s">
        <v>373</v>
      </c>
      <c r="AE12" s="987"/>
      <c r="AF12" s="987" t="s">
        <v>373</v>
      </c>
      <c r="AG12" s="990"/>
      <c r="AH12" s="1053" t="s">
        <v>373</v>
      </c>
      <c r="AI12" s="1054"/>
      <c r="AJ12" s="1054" t="s">
        <v>373</v>
      </c>
      <c r="AK12" s="1054"/>
      <c r="AL12" s="1054" t="s">
        <v>373</v>
      </c>
      <c r="AM12" s="1057"/>
      <c r="AN12" s="188"/>
      <c r="AO12" s="1113"/>
      <c r="AP12" s="1114"/>
      <c r="AQ12" s="1114"/>
      <c r="AR12" s="1114"/>
      <c r="AS12" s="1114"/>
      <c r="AT12" s="1115"/>
      <c r="AW12" s="1003"/>
      <c r="AX12" s="1003"/>
      <c r="AY12" s="1004"/>
      <c r="AZ12" s="995"/>
      <c r="BA12" s="996"/>
      <c r="BB12" s="996"/>
      <c r="BC12" s="996"/>
      <c r="BD12" s="997"/>
      <c r="BE12" s="196" t="s">
        <v>373</v>
      </c>
      <c r="BF12" s="197" t="s">
        <v>373</v>
      </c>
      <c r="BG12" s="197" t="s">
        <v>373</v>
      </c>
      <c r="BH12" s="197" t="s">
        <v>373</v>
      </c>
      <c r="BI12" s="197" t="s">
        <v>373</v>
      </c>
      <c r="BJ12" s="198" t="s">
        <v>373</v>
      </c>
      <c r="BK12" s="196" t="s">
        <v>373</v>
      </c>
      <c r="BL12" s="197" t="s">
        <v>373</v>
      </c>
      <c r="BM12" s="197" t="s">
        <v>373</v>
      </c>
      <c r="BN12" s="197" t="s">
        <v>373</v>
      </c>
      <c r="BO12" s="197" t="s">
        <v>373</v>
      </c>
      <c r="BP12" s="198" t="s">
        <v>373</v>
      </c>
      <c r="BQ12" s="196" t="s">
        <v>373</v>
      </c>
      <c r="BR12" s="197" t="s">
        <v>373</v>
      </c>
      <c r="BS12" s="197" t="s">
        <v>373</v>
      </c>
      <c r="BT12" s="197" t="s">
        <v>373</v>
      </c>
      <c r="BU12" s="197" t="s">
        <v>373</v>
      </c>
      <c r="BV12" s="198" t="s">
        <v>373</v>
      </c>
      <c r="BW12" s="196" t="s">
        <v>373</v>
      </c>
      <c r="BX12" s="197" t="s">
        <v>373</v>
      </c>
      <c r="BY12" s="197" t="s">
        <v>373</v>
      </c>
      <c r="BZ12" s="197" t="s">
        <v>373</v>
      </c>
      <c r="CA12" s="197" t="s">
        <v>373</v>
      </c>
      <c r="CB12" s="198" t="s">
        <v>373</v>
      </c>
      <c r="CC12" s="199" t="s">
        <v>373</v>
      </c>
      <c r="CD12" s="200" t="s">
        <v>373</v>
      </c>
      <c r="CE12" s="200" t="s">
        <v>373</v>
      </c>
      <c r="CF12" s="200" t="s">
        <v>373</v>
      </c>
      <c r="CG12" s="200" t="s">
        <v>373</v>
      </c>
      <c r="CH12" s="201" t="s">
        <v>373</v>
      </c>
      <c r="CI12" s="187"/>
      <c r="CJ12" s="1008"/>
      <c r="CK12" s="1009"/>
      <c r="CL12" s="1009"/>
      <c r="CM12" s="1009"/>
      <c r="CN12" s="1009"/>
      <c r="CO12" s="1010"/>
    </row>
    <row r="13" spans="2:98" ht="9" customHeight="1" thickBot="1" x14ac:dyDescent="0.4">
      <c r="B13" s="1121"/>
      <c r="C13" s="1121"/>
      <c r="D13" s="1122"/>
      <c r="E13" s="1048"/>
      <c r="F13" s="1049"/>
      <c r="G13" s="1049"/>
      <c r="H13" s="1049"/>
      <c r="I13" s="1050"/>
      <c r="J13" s="988"/>
      <c r="K13" s="989"/>
      <c r="L13" s="989"/>
      <c r="M13" s="989"/>
      <c r="N13" s="989"/>
      <c r="O13" s="991"/>
      <c r="P13" s="988"/>
      <c r="Q13" s="989"/>
      <c r="R13" s="989"/>
      <c r="S13" s="989"/>
      <c r="T13" s="989"/>
      <c r="U13" s="991"/>
      <c r="V13" s="988"/>
      <c r="W13" s="989"/>
      <c r="X13" s="989"/>
      <c r="Y13" s="989"/>
      <c r="Z13" s="989"/>
      <c r="AA13" s="991"/>
      <c r="AB13" s="988"/>
      <c r="AC13" s="989"/>
      <c r="AD13" s="989"/>
      <c r="AE13" s="989"/>
      <c r="AF13" s="989"/>
      <c r="AG13" s="991"/>
      <c r="AH13" s="1055"/>
      <c r="AI13" s="1056"/>
      <c r="AJ13" s="1056"/>
      <c r="AK13" s="1056"/>
      <c r="AL13" s="1056"/>
      <c r="AM13" s="1058"/>
      <c r="AN13" s="188"/>
      <c r="AO13" s="1116"/>
      <c r="AP13" s="1117"/>
      <c r="AQ13" s="1117"/>
      <c r="AR13" s="1117"/>
      <c r="AS13" s="1117"/>
      <c r="AT13" s="1118"/>
      <c r="AW13" s="1003"/>
      <c r="AX13" s="1003"/>
      <c r="AY13" s="1004"/>
      <c r="AZ13" s="995"/>
      <c r="BA13" s="996"/>
      <c r="BB13" s="996"/>
      <c r="BC13" s="996"/>
      <c r="BD13" s="997"/>
      <c r="BE13" s="196" t="s">
        <v>373</v>
      </c>
      <c r="BF13" s="197" t="s">
        <v>373</v>
      </c>
      <c r="BG13" s="197" t="s">
        <v>373</v>
      </c>
      <c r="BH13" s="197" t="s">
        <v>373</v>
      </c>
      <c r="BI13" s="197" t="s">
        <v>373</v>
      </c>
      <c r="BJ13" s="198" t="s">
        <v>373</v>
      </c>
      <c r="BK13" s="196" t="s">
        <v>373</v>
      </c>
      <c r="BL13" s="197" t="s">
        <v>373</v>
      </c>
      <c r="BM13" s="197" t="s">
        <v>373</v>
      </c>
      <c r="BN13" s="197" t="s">
        <v>373</v>
      </c>
      <c r="BO13" s="197" t="s">
        <v>373</v>
      </c>
      <c r="BP13" s="198" t="s">
        <v>373</v>
      </c>
      <c r="BQ13" s="196" t="s">
        <v>373</v>
      </c>
      <c r="BR13" s="197" t="s">
        <v>373</v>
      </c>
      <c r="BS13" s="197" t="s">
        <v>373</v>
      </c>
      <c r="BT13" s="197" t="s">
        <v>373</v>
      </c>
      <c r="BU13" s="197" t="s">
        <v>373</v>
      </c>
      <c r="BV13" s="198" t="s">
        <v>373</v>
      </c>
      <c r="BW13" s="196" t="s">
        <v>373</v>
      </c>
      <c r="BX13" s="197" t="s">
        <v>373</v>
      </c>
      <c r="BY13" s="197" t="s">
        <v>373</v>
      </c>
      <c r="BZ13" s="197" t="s">
        <v>373</v>
      </c>
      <c r="CA13" s="197" t="s">
        <v>373</v>
      </c>
      <c r="CB13" s="198" t="s">
        <v>373</v>
      </c>
      <c r="CC13" s="199" t="s">
        <v>373</v>
      </c>
      <c r="CD13" s="200" t="s">
        <v>373</v>
      </c>
      <c r="CE13" s="200" t="s">
        <v>373</v>
      </c>
      <c r="CF13" s="200" t="s">
        <v>373</v>
      </c>
      <c r="CG13" s="200" t="s">
        <v>373</v>
      </c>
      <c r="CH13" s="201" t="s">
        <v>373</v>
      </c>
      <c r="CI13" s="187"/>
      <c r="CJ13" s="1008"/>
      <c r="CK13" s="1009"/>
      <c r="CL13" s="1009"/>
      <c r="CM13" s="1009"/>
      <c r="CN13" s="1009"/>
      <c r="CO13" s="1010"/>
    </row>
    <row r="14" spans="2:98" ht="9" customHeight="1" x14ac:dyDescent="0.35">
      <c r="B14" s="1121"/>
      <c r="C14" s="1121"/>
      <c r="D14" s="1122"/>
      <c r="E14" s="1042" t="s">
        <v>115</v>
      </c>
      <c r="F14" s="1043"/>
      <c r="G14" s="1043"/>
      <c r="H14" s="1043"/>
      <c r="I14" s="1043"/>
      <c r="J14" s="1074" t="s">
        <v>373</v>
      </c>
      <c r="K14" s="1075"/>
      <c r="L14" s="1075" t="s">
        <v>373</v>
      </c>
      <c r="M14" s="1075"/>
      <c r="N14" s="1075" t="s">
        <v>373</v>
      </c>
      <c r="O14" s="1076"/>
      <c r="P14" s="1074" t="s">
        <v>373</v>
      </c>
      <c r="Q14" s="1075"/>
      <c r="R14" s="1075" t="s">
        <v>373</v>
      </c>
      <c r="S14" s="1075"/>
      <c r="T14" s="1075" t="s">
        <v>373</v>
      </c>
      <c r="U14" s="1076"/>
      <c r="V14" s="1077" t="s">
        <v>373</v>
      </c>
      <c r="W14" s="1078"/>
      <c r="X14" s="1078" t="s">
        <v>373</v>
      </c>
      <c r="Y14" s="1078"/>
      <c r="Z14" s="1078" t="s">
        <v>373</v>
      </c>
      <c r="AA14" s="1079"/>
      <c r="AB14" s="1077" t="s">
        <v>373</v>
      </c>
      <c r="AC14" s="1078"/>
      <c r="AD14" s="1078" t="s">
        <v>373</v>
      </c>
      <c r="AE14" s="1078"/>
      <c r="AF14" s="1078" t="s">
        <v>373</v>
      </c>
      <c r="AG14" s="1079"/>
      <c r="AH14" s="1071" t="s">
        <v>373</v>
      </c>
      <c r="AI14" s="1072"/>
      <c r="AJ14" s="1072" t="s">
        <v>373</v>
      </c>
      <c r="AK14" s="1072"/>
      <c r="AL14" s="1072" t="s">
        <v>373</v>
      </c>
      <c r="AM14" s="1073"/>
      <c r="AN14" s="188"/>
      <c r="AO14" s="1101" t="s">
        <v>80</v>
      </c>
      <c r="AP14" s="1102"/>
      <c r="AQ14" s="1102"/>
      <c r="AR14" s="1102"/>
      <c r="AS14" s="1102"/>
      <c r="AT14" s="1103"/>
      <c r="AW14" s="1003"/>
      <c r="AX14" s="1003"/>
      <c r="AY14" s="1004"/>
      <c r="AZ14" s="995"/>
      <c r="BA14" s="996"/>
      <c r="BB14" s="996"/>
      <c r="BC14" s="996"/>
      <c r="BD14" s="997"/>
      <c r="BE14" s="196" t="s">
        <v>373</v>
      </c>
      <c r="BF14" s="197" t="s">
        <v>373</v>
      </c>
      <c r="BG14" s="197" t="s">
        <v>373</v>
      </c>
      <c r="BH14" s="197" t="s">
        <v>373</v>
      </c>
      <c r="BI14" s="197" t="s">
        <v>373</v>
      </c>
      <c r="BJ14" s="198" t="s">
        <v>373</v>
      </c>
      <c r="BK14" s="196" t="s">
        <v>373</v>
      </c>
      <c r="BL14" s="197" t="s">
        <v>373</v>
      </c>
      <c r="BM14" s="197" t="s">
        <v>373</v>
      </c>
      <c r="BN14" s="197" t="s">
        <v>373</v>
      </c>
      <c r="BO14" s="197" t="s">
        <v>373</v>
      </c>
      <c r="BP14" s="198" t="s">
        <v>373</v>
      </c>
      <c r="BQ14" s="196" t="s">
        <v>373</v>
      </c>
      <c r="BR14" s="197" t="s">
        <v>373</v>
      </c>
      <c r="BS14" s="197" t="s">
        <v>373</v>
      </c>
      <c r="BT14" s="197" t="s">
        <v>373</v>
      </c>
      <c r="BU14" s="197" t="s">
        <v>373</v>
      </c>
      <c r="BV14" s="198" t="s">
        <v>373</v>
      </c>
      <c r="BW14" s="196" t="s">
        <v>373</v>
      </c>
      <c r="BX14" s="197" t="s">
        <v>373</v>
      </c>
      <c r="BY14" s="197" t="s">
        <v>373</v>
      </c>
      <c r="BZ14" s="197" t="s">
        <v>373</v>
      </c>
      <c r="CA14" s="197" t="s">
        <v>373</v>
      </c>
      <c r="CB14" s="198" t="s">
        <v>373</v>
      </c>
      <c r="CC14" s="199" t="s">
        <v>373</v>
      </c>
      <c r="CD14" s="200" t="s">
        <v>373</v>
      </c>
      <c r="CE14" s="200" t="s">
        <v>373</v>
      </c>
      <c r="CF14" s="200" t="s">
        <v>373</v>
      </c>
      <c r="CG14" s="200" t="s">
        <v>373</v>
      </c>
      <c r="CH14" s="201" t="s">
        <v>373</v>
      </c>
      <c r="CI14" s="187"/>
      <c r="CJ14" s="1008"/>
      <c r="CK14" s="1009"/>
      <c r="CL14" s="1009"/>
      <c r="CM14" s="1009"/>
      <c r="CN14" s="1009"/>
      <c r="CO14" s="1010"/>
    </row>
    <row r="15" spans="2:98" ht="9" customHeight="1" thickBot="1" x14ac:dyDescent="0.4">
      <c r="B15" s="1121"/>
      <c r="C15" s="1121"/>
      <c r="D15" s="1122"/>
      <c r="E15" s="1045"/>
      <c r="F15" s="1046"/>
      <c r="G15" s="1046"/>
      <c r="H15" s="1046"/>
      <c r="I15" s="1046"/>
      <c r="J15" s="1067"/>
      <c r="K15" s="1059"/>
      <c r="L15" s="1059"/>
      <c r="M15" s="1059"/>
      <c r="N15" s="1059"/>
      <c r="O15" s="1060"/>
      <c r="P15" s="1067"/>
      <c r="Q15" s="1059"/>
      <c r="R15" s="1059"/>
      <c r="S15" s="1059"/>
      <c r="T15" s="1059"/>
      <c r="U15" s="1060"/>
      <c r="V15" s="986"/>
      <c r="W15" s="987"/>
      <c r="X15" s="987"/>
      <c r="Y15" s="987"/>
      <c r="Z15" s="987"/>
      <c r="AA15" s="990"/>
      <c r="AB15" s="986"/>
      <c r="AC15" s="987"/>
      <c r="AD15" s="987"/>
      <c r="AE15" s="987"/>
      <c r="AF15" s="987"/>
      <c r="AG15" s="990"/>
      <c r="AH15" s="1053"/>
      <c r="AI15" s="1054"/>
      <c r="AJ15" s="1054"/>
      <c r="AK15" s="1054"/>
      <c r="AL15" s="1054"/>
      <c r="AM15" s="1057"/>
      <c r="AN15" s="188"/>
      <c r="AO15" s="1104"/>
      <c r="AP15" s="1105"/>
      <c r="AQ15" s="1105"/>
      <c r="AR15" s="1105"/>
      <c r="AS15" s="1105"/>
      <c r="AT15" s="1106"/>
      <c r="AW15" s="1003"/>
      <c r="AX15" s="1003"/>
      <c r="AY15" s="1004"/>
      <c r="AZ15" s="998"/>
      <c r="BA15" s="999"/>
      <c r="BB15" s="999"/>
      <c r="BC15" s="999"/>
      <c r="BD15" s="1000"/>
      <c r="BE15" s="202" t="s">
        <v>373</v>
      </c>
      <c r="BF15" s="203" t="s">
        <v>373</v>
      </c>
      <c r="BG15" s="203" t="s">
        <v>373</v>
      </c>
      <c r="BH15" s="203" t="s">
        <v>373</v>
      </c>
      <c r="BI15" s="203" t="s">
        <v>373</v>
      </c>
      <c r="BJ15" s="204" t="s">
        <v>373</v>
      </c>
      <c r="BK15" s="196" t="s">
        <v>373</v>
      </c>
      <c r="BL15" s="197" t="s">
        <v>373</v>
      </c>
      <c r="BM15" s="197" t="s">
        <v>373</v>
      </c>
      <c r="BN15" s="197" t="s">
        <v>373</v>
      </c>
      <c r="BO15" s="197" t="s">
        <v>373</v>
      </c>
      <c r="BP15" s="198" t="s">
        <v>373</v>
      </c>
      <c r="BQ15" s="202" t="s">
        <v>373</v>
      </c>
      <c r="BR15" s="203" t="s">
        <v>373</v>
      </c>
      <c r="BS15" s="203" t="s">
        <v>373</v>
      </c>
      <c r="BT15" s="203" t="s">
        <v>373</v>
      </c>
      <c r="BU15" s="203" t="s">
        <v>373</v>
      </c>
      <c r="BV15" s="204" t="s">
        <v>373</v>
      </c>
      <c r="BW15" s="196" t="s">
        <v>373</v>
      </c>
      <c r="BX15" s="197" t="s">
        <v>373</v>
      </c>
      <c r="BY15" s="197" t="s">
        <v>373</v>
      </c>
      <c r="BZ15" s="197" t="s">
        <v>373</v>
      </c>
      <c r="CA15" s="197" t="s">
        <v>373</v>
      </c>
      <c r="CB15" s="198" t="s">
        <v>373</v>
      </c>
      <c r="CC15" s="205" t="s">
        <v>373</v>
      </c>
      <c r="CD15" s="206" t="s">
        <v>373</v>
      </c>
      <c r="CE15" s="206" t="s">
        <v>373</v>
      </c>
      <c r="CF15" s="206" t="s">
        <v>373</v>
      </c>
      <c r="CG15" s="206" t="s">
        <v>373</v>
      </c>
      <c r="CH15" s="207" t="s">
        <v>373</v>
      </c>
      <c r="CI15" s="187"/>
      <c r="CJ15" s="1011"/>
      <c r="CK15" s="1012"/>
      <c r="CL15" s="1012"/>
      <c r="CM15" s="1012"/>
      <c r="CN15" s="1012"/>
      <c r="CO15" s="1013"/>
    </row>
    <row r="16" spans="2:98" ht="9" customHeight="1" x14ac:dyDescent="0.35">
      <c r="B16" s="1121"/>
      <c r="C16" s="1121"/>
      <c r="D16" s="1122"/>
      <c r="E16" s="1045"/>
      <c r="F16" s="1046"/>
      <c r="G16" s="1046"/>
      <c r="H16" s="1046"/>
      <c r="I16" s="1046"/>
      <c r="J16" s="1067" t="s">
        <v>373</v>
      </c>
      <c r="K16" s="1059"/>
      <c r="L16" s="1059" t="s">
        <v>373</v>
      </c>
      <c r="M16" s="1059"/>
      <c r="N16" s="1059" t="s">
        <v>373</v>
      </c>
      <c r="O16" s="1060"/>
      <c r="P16" s="1067" t="s">
        <v>373</v>
      </c>
      <c r="Q16" s="1059"/>
      <c r="R16" s="1059" t="s">
        <v>373</v>
      </c>
      <c r="S16" s="1059"/>
      <c r="T16" s="1059" t="s">
        <v>373</v>
      </c>
      <c r="U16" s="1060"/>
      <c r="V16" s="986" t="s">
        <v>373</v>
      </c>
      <c r="W16" s="987"/>
      <c r="X16" s="987" t="s">
        <v>373</v>
      </c>
      <c r="Y16" s="987"/>
      <c r="Z16" s="987" t="s">
        <v>373</v>
      </c>
      <c r="AA16" s="990"/>
      <c r="AB16" s="986" t="s">
        <v>373</v>
      </c>
      <c r="AC16" s="987"/>
      <c r="AD16" s="987" t="s">
        <v>373</v>
      </c>
      <c r="AE16" s="987"/>
      <c r="AF16" s="987" t="s">
        <v>373</v>
      </c>
      <c r="AG16" s="990"/>
      <c r="AH16" s="1053" t="s">
        <v>373</v>
      </c>
      <c r="AI16" s="1054"/>
      <c r="AJ16" s="1054" t="s">
        <v>373</v>
      </c>
      <c r="AK16" s="1054"/>
      <c r="AL16" s="1054" t="s">
        <v>373</v>
      </c>
      <c r="AM16" s="1057"/>
      <c r="AN16" s="188"/>
      <c r="AO16" s="1104"/>
      <c r="AP16" s="1105"/>
      <c r="AQ16" s="1105"/>
      <c r="AR16" s="1105"/>
      <c r="AS16" s="1105"/>
      <c r="AT16" s="1106"/>
      <c r="AW16" s="1003"/>
      <c r="AX16" s="1003"/>
      <c r="AY16" s="1004"/>
      <c r="AZ16" s="992" t="s">
        <v>115</v>
      </c>
      <c r="BA16" s="993"/>
      <c r="BB16" s="993"/>
      <c r="BC16" s="993"/>
      <c r="BD16" s="993"/>
      <c r="BE16" s="208" t="s">
        <v>373</v>
      </c>
      <c r="BF16" s="209" t="s">
        <v>373</v>
      </c>
      <c r="BG16" s="209" t="s">
        <v>373</v>
      </c>
      <c r="BH16" s="209" t="s">
        <v>373</v>
      </c>
      <c r="BI16" s="209" t="s">
        <v>373</v>
      </c>
      <c r="BJ16" s="210" t="s">
        <v>373</v>
      </c>
      <c r="BK16" s="208" t="s">
        <v>373</v>
      </c>
      <c r="BL16" s="209" t="s">
        <v>373</v>
      </c>
      <c r="BM16" s="209" t="s">
        <v>373</v>
      </c>
      <c r="BN16" s="209" t="s">
        <v>373</v>
      </c>
      <c r="BO16" s="209" t="s">
        <v>373</v>
      </c>
      <c r="BP16" s="210" t="s">
        <v>373</v>
      </c>
      <c r="BQ16" s="190" t="s">
        <v>373</v>
      </c>
      <c r="BR16" s="191" t="s">
        <v>373</v>
      </c>
      <c r="BS16" s="191" t="s">
        <v>373</v>
      </c>
      <c r="BT16" s="191" t="s">
        <v>373</v>
      </c>
      <c r="BU16" s="191" t="s">
        <v>373</v>
      </c>
      <c r="BV16" s="192" t="s">
        <v>373</v>
      </c>
      <c r="BW16" s="190" t="s">
        <v>373</v>
      </c>
      <c r="BX16" s="191" t="s">
        <v>373</v>
      </c>
      <c r="BY16" s="191" t="s">
        <v>373</v>
      </c>
      <c r="BZ16" s="191" t="s">
        <v>373</v>
      </c>
      <c r="CA16" s="191" t="s">
        <v>373</v>
      </c>
      <c r="CB16" s="192" t="s">
        <v>373</v>
      </c>
      <c r="CC16" s="193" t="s">
        <v>373</v>
      </c>
      <c r="CD16" s="194" t="s">
        <v>373</v>
      </c>
      <c r="CE16" s="194" t="s">
        <v>373</v>
      </c>
      <c r="CF16" s="194" t="s">
        <v>373</v>
      </c>
      <c r="CG16" s="194" t="s">
        <v>373</v>
      </c>
      <c r="CH16" s="195" t="s">
        <v>373</v>
      </c>
      <c r="CI16" s="187"/>
      <c r="CJ16" s="1015" t="s">
        <v>80</v>
      </c>
      <c r="CK16" s="1016"/>
      <c r="CL16" s="1016"/>
      <c r="CM16" s="1016"/>
      <c r="CN16" s="1016"/>
      <c r="CO16" s="1017"/>
    </row>
    <row r="17" spans="2:93" ht="9" customHeight="1" x14ac:dyDescent="0.35">
      <c r="B17" s="1121"/>
      <c r="C17" s="1121"/>
      <c r="D17" s="1122"/>
      <c r="E17" s="1045"/>
      <c r="F17" s="1046"/>
      <c r="G17" s="1046"/>
      <c r="H17" s="1046"/>
      <c r="I17" s="1046"/>
      <c r="J17" s="1067"/>
      <c r="K17" s="1059"/>
      <c r="L17" s="1059"/>
      <c r="M17" s="1059"/>
      <c r="N17" s="1059"/>
      <c r="O17" s="1060"/>
      <c r="P17" s="1067"/>
      <c r="Q17" s="1059"/>
      <c r="R17" s="1059"/>
      <c r="S17" s="1059"/>
      <c r="T17" s="1059"/>
      <c r="U17" s="1060"/>
      <c r="V17" s="986"/>
      <c r="W17" s="987"/>
      <c r="X17" s="987"/>
      <c r="Y17" s="987"/>
      <c r="Z17" s="987"/>
      <c r="AA17" s="990"/>
      <c r="AB17" s="986"/>
      <c r="AC17" s="987"/>
      <c r="AD17" s="987"/>
      <c r="AE17" s="987"/>
      <c r="AF17" s="987"/>
      <c r="AG17" s="990"/>
      <c r="AH17" s="1053"/>
      <c r="AI17" s="1054"/>
      <c r="AJ17" s="1054"/>
      <c r="AK17" s="1054"/>
      <c r="AL17" s="1054"/>
      <c r="AM17" s="1057"/>
      <c r="AN17" s="188"/>
      <c r="AO17" s="1104"/>
      <c r="AP17" s="1105"/>
      <c r="AQ17" s="1105"/>
      <c r="AR17" s="1105"/>
      <c r="AS17" s="1105"/>
      <c r="AT17" s="1106"/>
      <c r="AW17" s="1003"/>
      <c r="AX17" s="1003"/>
      <c r="AY17" s="1004"/>
      <c r="AZ17" s="1014"/>
      <c r="BA17" s="996"/>
      <c r="BB17" s="996"/>
      <c r="BC17" s="996"/>
      <c r="BD17" s="996"/>
      <c r="BE17" s="211" t="s">
        <v>373</v>
      </c>
      <c r="BF17" s="212" t="s">
        <v>373</v>
      </c>
      <c r="BG17" s="212" t="s">
        <v>373</v>
      </c>
      <c r="BH17" s="212" t="s">
        <v>373</v>
      </c>
      <c r="BI17" s="212" t="s">
        <v>373</v>
      </c>
      <c r="BJ17" s="213" t="s">
        <v>373</v>
      </c>
      <c r="BK17" s="211" t="s">
        <v>373</v>
      </c>
      <c r="BL17" s="212" t="s">
        <v>373</v>
      </c>
      <c r="BM17" s="212" t="s">
        <v>373</v>
      </c>
      <c r="BN17" s="212" t="s">
        <v>373</v>
      </c>
      <c r="BO17" s="212" t="s">
        <v>373</v>
      </c>
      <c r="BP17" s="213" t="s">
        <v>373</v>
      </c>
      <c r="BQ17" s="196" t="s">
        <v>373</v>
      </c>
      <c r="BR17" s="197" t="s">
        <v>373</v>
      </c>
      <c r="BS17" s="197" t="s">
        <v>373</v>
      </c>
      <c r="BT17" s="197" t="s">
        <v>373</v>
      </c>
      <c r="BU17" s="197" t="s">
        <v>373</v>
      </c>
      <c r="BV17" s="198" t="s">
        <v>373</v>
      </c>
      <c r="BW17" s="196" t="s">
        <v>373</v>
      </c>
      <c r="BX17" s="197" t="s">
        <v>373</v>
      </c>
      <c r="BY17" s="197" t="s">
        <v>373</v>
      </c>
      <c r="BZ17" s="197" t="s">
        <v>373</v>
      </c>
      <c r="CA17" s="197" t="s">
        <v>373</v>
      </c>
      <c r="CB17" s="198" t="s">
        <v>373</v>
      </c>
      <c r="CC17" s="199" t="s">
        <v>373</v>
      </c>
      <c r="CD17" s="200" t="s">
        <v>373</v>
      </c>
      <c r="CE17" s="200" t="s">
        <v>373</v>
      </c>
      <c r="CF17" s="200" t="s">
        <v>373</v>
      </c>
      <c r="CG17" s="200" t="s">
        <v>373</v>
      </c>
      <c r="CH17" s="201" t="s">
        <v>373</v>
      </c>
      <c r="CI17" s="187"/>
      <c r="CJ17" s="1018"/>
      <c r="CK17" s="1019"/>
      <c r="CL17" s="1019"/>
      <c r="CM17" s="1019"/>
      <c r="CN17" s="1019"/>
      <c r="CO17" s="1020"/>
    </row>
    <row r="18" spans="2:93" ht="9" customHeight="1" x14ac:dyDescent="0.35">
      <c r="B18" s="1121"/>
      <c r="C18" s="1121"/>
      <c r="D18" s="1122"/>
      <c r="E18" s="1045"/>
      <c r="F18" s="1046"/>
      <c r="G18" s="1046"/>
      <c r="H18" s="1046"/>
      <c r="I18" s="1046"/>
      <c r="J18" s="1067" t="s">
        <v>373</v>
      </c>
      <c r="K18" s="1059"/>
      <c r="L18" s="1059" t="s">
        <v>373</v>
      </c>
      <c r="M18" s="1059"/>
      <c r="N18" s="1059" t="s">
        <v>373</v>
      </c>
      <c r="O18" s="1060"/>
      <c r="P18" s="1067" t="s">
        <v>373</v>
      </c>
      <c r="Q18" s="1059"/>
      <c r="R18" s="1059" t="s">
        <v>373</v>
      </c>
      <c r="S18" s="1059"/>
      <c r="T18" s="1059" t="s">
        <v>373</v>
      </c>
      <c r="U18" s="1060"/>
      <c r="V18" s="986" t="s">
        <v>373</v>
      </c>
      <c r="W18" s="987"/>
      <c r="X18" s="987" t="s">
        <v>373</v>
      </c>
      <c r="Y18" s="987"/>
      <c r="Z18" s="987" t="s">
        <v>373</v>
      </c>
      <c r="AA18" s="990"/>
      <c r="AB18" s="986" t="s">
        <v>373</v>
      </c>
      <c r="AC18" s="987"/>
      <c r="AD18" s="987" t="s">
        <v>373</v>
      </c>
      <c r="AE18" s="987"/>
      <c r="AF18" s="987" t="s">
        <v>373</v>
      </c>
      <c r="AG18" s="990"/>
      <c r="AH18" s="1053" t="s">
        <v>373</v>
      </c>
      <c r="AI18" s="1054"/>
      <c r="AJ18" s="1054" t="s">
        <v>373</v>
      </c>
      <c r="AK18" s="1054"/>
      <c r="AL18" s="1054" t="s">
        <v>373</v>
      </c>
      <c r="AM18" s="1057"/>
      <c r="AN18" s="188"/>
      <c r="AO18" s="1104"/>
      <c r="AP18" s="1105"/>
      <c r="AQ18" s="1105"/>
      <c r="AR18" s="1105"/>
      <c r="AS18" s="1105"/>
      <c r="AT18" s="1106"/>
      <c r="AW18" s="1003"/>
      <c r="AX18" s="1003"/>
      <c r="AY18" s="1004"/>
      <c r="AZ18" s="995"/>
      <c r="BA18" s="996"/>
      <c r="BB18" s="996"/>
      <c r="BC18" s="996"/>
      <c r="BD18" s="996"/>
      <c r="BE18" s="211" t="s">
        <v>373</v>
      </c>
      <c r="BF18" s="212" t="s">
        <v>373</v>
      </c>
      <c r="BG18" s="212" t="s">
        <v>373</v>
      </c>
      <c r="BH18" s="212" t="s">
        <v>373</v>
      </c>
      <c r="BI18" s="212" t="s">
        <v>373</v>
      </c>
      <c r="BJ18" s="213" t="s">
        <v>373</v>
      </c>
      <c r="BK18" s="211" t="s">
        <v>373</v>
      </c>
      <c r="BL18" s="212" t="s">
        <v>373</v>
      </c>
      <c r="BM18" s="212" t="s">
        <v>373</v>
      </c>
      <c r="BN18" s="212" t="s">
        <v>373</v>
      </c>
      <c r="BO18" s="212" t="s">
        <v>373</v>
      </c>
      <c r="BP18" s="213" t="s">
        <v>373</v>
      </c>
      <c r="BQ18" s="196" t="s">
        <v>373</v>
      </c>
      <c r="BR18" s="197" t="s">
        <v>373</v>
      </c>
      <c r="BS18" s="197" t="s">
        <v>373</v>
      </c>
      <c r="BT18" s="197" t="s">
        <v>373</v>
      </c>
      <c r="BU18" s="197" t="s">
        <v>373</v>
      </c>
      <c r="BV18" s="198" t="s">
        <v>373</v>
      </c>
      <c r="BW18" s="196" t="s">
        <v>373</v>
      </c>
      <c r="BX18" s="197" t="s">
        <v>373</v>
      </c>
      <c r="BY18" s="197" t="s">
        <v>373</v>
      </c>
      <c r="BZ18" s="197" t="s">
        <v>373</v>
      </c>
      <c r="CA18" s="197" t="s">
        <v>373</v>
      </c>
      <c r="CB18" s="198" t="s">
        <v>373</v>
      </c>
      <c r="CC18" s="199" t="s">
        <v>373</v>
      </c>
      <c r="CD18" s="200" t="s">
        <v>373</v>
      </c>
      <c r="CE18" s="200" t="s">
        <v>373</v>
      </c>
      <c r="CF18" s="200" t="s">
        <v>373</v>
      </c>
      <c r="CG18" s="200" t="s">
        <v>373</v>
      </c>
      <c r="CH18" s="201" t="s">
        <v>373</v>
      </c>
      <c r="CI18" s="187"/>
      <c r="CJ18" s="1018"/>
      <c r="CK18" s="1019"/>
      <c r="CL18" s="1019"/>
      <c r="CM18" s="1019"/>
      <c r="CN18" s="1019"/>
      <c r="CO18" s="1020"/>
    </row>
    <row r="19" spans="2:93" ht="9" customHeight="1" x14ac:dyDescent="0.35">
      <c r="B19" s="1121"/>
      <c r="C19" s="1121"/>
      <c r="D19" s="1122"/>
      <c r="E19" s="1045"/>
      <c r="F19" s="1046"/>
      <c r="G19" s="1046"/>
      <c r="H19" s="1046"/>
      <c r="I19" s="1046"/>
      <c r="J19" s="1067"/>
      <c r="K19" s="1059"/>
      <c r="L19" s="1059"/>
      <c r="M19" s="1059"/>
      <c r="N19" s="1059"/>
      <c r="O19" s="1060"/>
      <c r="P19" s="1067"/>
      <c r="Q19" s="1059"/>
      <c r="R19" s="1059"/>
      <c r="S19" s="1059"/>
      <c r="T19" s="1059"/>
      <c r="U19" s="1060"/>
      <c r="V19" s="986"/>
      <c r="W19" s="987"/>
      <c r="X19" s="987"/>
      <c r="Y19" s="987"/>
      <c r="Z19" s="987"/>
      <c r="AA19" s="990"/>
      <c r="AB19" s="986"/>
      <c r="AC19" s="987"/>
      <c r="AD19" s="987"/>
      <c r="AE19" s="987"/>
      <c r="AF19" s="987"/>
      <c r="AG19" s="990"/>
      <c r="AH19" s="1053"/>
      <c r="AI19" s="1054"/>
      <c r="AJ19" s="1054"/>
      <c r="AK19" s="1054"/>
      <c r="AL19" s="1054"/>
      <c r="AM19" s="1057"/>
      <c r="AN19" s="188"/>
      <c r="AO19" s="1104"/>
      <c r="AP19" s="1105"/>
      <c r="AQ19" s="1105"/>
      <c r="AR19" s="1105"/>
      <c r="AS19" s="1105"/>
      <c r="AT19" s="1106"/>
      <c r="AW19" s="1003"/>
      <c r="AX19" s="1003"/>
      <c r="AY19" s="1004"/>
      <c r="AZ19" s="995"/>
      <c r="BA19" s="996"/>
      <c r="BB19" s="996"/>
      <c r="BC19" s="996"/>
      <c r="BD19" s="996"/>
      <c r="BE19" s="211" t="s">
        <v>373</v>
      </c>
      <c r="BF19" s="212" t="s">
        <v>373</v>
      </c>
      <c r="BG19" s="212" t="s">
        <v>373</v>
      </c>
      <c r="BH19" s="212" t="s">
        <v>373</v>
      </c>
      <c r="BI19" s="212" t="s">
        <v>373</v>
      </c>
      <c r="BJ19" s="213" t="s">
        <v>373</v>
      </c>
      <c r="BK19" s="211" t="s">
        <v>373</v>
      </c>
      <c r="BL19" s="212" t="s">
        <v>373</v>
      </c>
      <c r="BM19" s="212" t="s">
        <v>373</v>
      </c>
      <c r="BN19" s="212" t="s">
        <v>373</v>
      </c>
      <c r="BO19" s="212" t="s">
        <v>373</v>
      </c>
      <c r="BP19" s="213" t="s">
        <v>373</v>
      </c>
      <c r="BQ19" s="196" t="s">
        <v>373</v>
      </c>
      <c r="BR19" s="197" t="s">
        <v>373</v>
      </c>
      <c r="BS19" s="197" t="s">
        <v>373</v>
      </c>
      <c r="BT19" s="197" t="s">
        <v>373</v>
      </c>
      <c r="BU19" s="197" t="s">
        <v>373</v>
      </c>
      <c r="BV19" s="198" t="s">
        <v>373</v>
      </c>
      <c r="BW19" s="196" t="s">
        <v>373</v>
      </c>
      <c r="BX19" s="197" t="s">
        <v>373</v>
      </c>
      <c r="BY19" s="197" t="s">
        <v>373</v>
      </c>
      <c r="BZ19" s="197" t="s">
        <v>373</v>
      </c>
      <c r="CA19" s="197" t="s">
        <v>373</v>
      </c>
      <c r="CB19" s="198" t="s">
        <v>373</v>
      </c>
      <c r="CC19" s="199" t="s">
        <v>373</v>
      </c>
      <c r="CD19" s="200" t="s">
        <v>373</v>
      </c>
      <c r="CE19" s="200" t="s">
        <v>373</v>
      </c>
      <c r="CF19" s="200" t="s">
        <v>373</v>
      </c>
      <c r="CG19" s="200" t="s">
        <v>373</v>
      </c>
      <c r="CH19" s="201" t="s">
        <v>373</v>
      </c>
      <c r="CI19" s="187"/>
      <c r="CJ19" s="1018"/>
      <c r="CK19" s="1019"/>
      <c r="CL19" s="1019"/>
      <c r="CM19" s="1019"/>
      <c r="CN19" s="1019"/>
      <c r="CO19" s="1020"/>
    </row>
    <row r="20" spans="2:93" ht="9" customHeight="1" x14ac:dyDescent="0.35">
      <c r="B20" s="1121"/>
      <c r="C20" s="1121"/>
      <c r="D20" s="1122"/>
      <c r="E20" s="1045"/>
      <c r="F20" s="1046"/>
      <c r="G20" s="1046"/>
      <c r="H20" s="1046"/>
      <c r="I20" s="1046"/>
      <c r="J20" s="1067" t="s">
        <v>373</v>
      </c>
      <c r="K20" s="1059"/>
      <c r="L20" s="1059" t="s">
        <v>373</v>
      </c>
      <c r="M20" s="1059"/>
      <c r="N20" s="1059" t="s">
        <v>373</v>
      </c>
      <c r="O20" s="1060"/>
      <c r="P20" s="1067" t="s">
        <v>373</v>
      </c>
      <c r="Q20" s="1059"/>
      <c r="R20" s="1059" t="s">
        <v>373</v>
      </c>
      <c r="S20" s="1059"/>
      <c r="T20" s="1059" t="s">
        <v>373</v>
      </c>
      <c r="U20" s="1060"/>
      <c r="V20" s="986" t="s">
        <v>373</v>
      </c>
      <c r="W20" s="987"/>
      <c r="X20" s="987" t="s">
        <v>373</v>
      </c>
      <c r="Y20" s="987"/>
      <c r="Z20" s="987" t="s">
        <v>373</v>
      </c>
      <c r="AA20" s="990"/>
      <c r="AB20" s="986" t="s">
        <v>373</v>
      </c>
      <c r="AC20" s="987"/>
      <c r="AD20" s="987" t="s">
        <v>373</v>
      </c>
      <c r="AE20" s="987"/>
      <c r="AF20" s="987" t="s">
        <v>373</v>
      </c>
      <c r="AG20" s="990"/>
      <c r="AH20" s="1053" t="s">
        <v>373</v>
      </c>
      <c r="AI20" s="1054"/>
      <c r="AJ20" s="1054" t="s">
        <v>373</v>
      </c>
      <c r="AK20" s="1054"/>
      <c r="AL20" s="1054" t="s">
        <v>373</v>
      </c>
      <c r="AM20" s="1057"/>
      <c r="AN20" s="188"/>
      <c r="AO20" s="1104"/>
      <c r="AP20" s="1105"/>
      <c r="AQ20" s="1105"/>
      <c r="AR20" s="1105"/>
      <c r="AS20" s="1105"/>
      <c r="AT20" s="1106"/>
      <c r="AW20" s="1003"/>
      <c r="AX20" s="1003"/>
      <c r="AY20" s="1004"/>
      <c r="AZ20" s="995"/>
      <c r="BA20" s="996"/>
      <c r="BB20" s="996"/>
      <c r="BC20" s="996"/>
      <c r="BD20" s="996"/>
      <c r="BE20" s="211" t="s">
        <v>373</v>
      </c>
      <c r="BF20" s="212" t="s">
        <v>373</v>
      </c>
      <c r="BG20" s="212" t="s">
        <v>373</v>
      </c>
      <c r="BH20" s="212" t="s">
        <v>373</v>
      </c>
      <c r="BI20" s="212" t="s">
        <v>373</v>
      </c>
      <c r="BJ20" s="213" t="s">
        <v>373</v>
      </c>
      <c r="BK20" s="211" t="s">
        <v>373</v>
      </c>
      <c r="BL20" s="212" t="s">
        <v>373</v>
      </c>
      <c r="BM20" s="212" t="s">
        <v>373</v>
      </c>
      <c r="BN20" s="212" t="s">
        <v>373</v>
      </c>
      <c r="BO20" s="212" t="s">
        <v>373</v>
      </c>
      <c r="BP20" s="213" t="s">
        <v>373</v>
      </c>
      <c r="BQ20" s="196" t="s">
        <v>373</v>
      </c>
      <c r="BR20" s="197" t="s">
        <v>373</v>
      </c>
      <c r="BS20" s="197" t="s">
        <v>373</v>
      </c>
      <c r="BT20" s="197" t="s">
        <v>373</v>
      </c>
      <c r="BU20" s="197" t="s">
        <v>373</v>
      </c>
      <c r="BV20" s="198" t="s">
        <v>373</v>
      </c>
      <c r="BW20" s="196" t="s">
        <v>373</v>
      </c>
      <c r="BX20" s="197" t="s">
        <v>373</v>
      </c>
      <c r="BY20" s="197" t="s">
        <v>373</v>
      </c>
      <c r="BZ20" s="197" t="s">
        <v>373</v>
      </c>
      <c r="CA20" s="197" t="s">
        <v>373</v>
      </c>
      <c r="CB20" s="198" t="s">
        <v>373</v>
      </c>
      <c r="CC20" s="199" t="s">
        <v>373</v>
      </c>
      <c r="CD20" s="200" t="s">
        <v>373</v>
      </c>
      <c r="CE20" s="200" t="s">
        <v>373</v>
      </c>
      <c r="CF20" s="200" t="s">
        <v>373</v>
      </c>
      <c r="CG20" s="200" t="s">
        <v>373</v>
      </c>
      <c r="CH20" s="201" t="s">
        <v>373</v>
      </c>
      <c r="CI20" s="187"/>
      <c r="CJ20" s="1018"/>
      <c r="CK20" s="1019"/>
      <c r="CL20" s="1019"/>
      <c r="CM20" s="1019"/>
      <c r="CN20" s="1019"/>
      <c r="CO20" s="1020"/>
    </row>
    <row r="21" spans="2:93" ht="9" customHeight="1" thickBot="1" x14ac:dyDescent="0.4">
      <c r="B21" s="1121"/>
      <c r="C21" s="1121"/>
      <c r="D21" s="1122"/>
      <c r="E21" s="1048"/>
      <c r="F21" s="1049"/>
      <c r="G21" s="1049"/>
      <c r="H21" s="1049"/>
      <c r="I21" s="1049"/>
      <c r="J21" s="1068"/>
      <c r="K21" s="1069"/>
      <c r="L21" s="1069"/>
      <c r="M21" s="1069"/>
      <c r="N21" s="1069"/>
      <c r="O21" s="1070"/>
      <c r="P21" s="1068"/>
      <c r="Q21" s="1069"/>
      <c r="R21" s="1069"/>
      <c r="S21" s="1069"/>
      <c r="T21" s="1069"/>
      <c r="U21" s="1070"/>
      <c r="V21" s="988"/>
      <c r="W21" s="989"/>
      <c r="X21" s="989"/>
      <c r="Y21" s="989"/>
      <c r="Z21" s="989"/>
      <c r="AA21" s="991"/>
      <c r="AB21" s="988"/>
      <c r="AC21" s="989"/>
      <c r="AD21" s="989"/>
      <c r="AE21" s="989"/>
      <c r="AF21" s="989"/>
      <c r="AG21" s="991"/>
      <c r="AH21" s="1055"/>
      <c r="AI21" s="1056"/>
      <c r="AJ21" s="1056"/>
      <c r="AK21" s="1056"/>
      <c r="AL21" s="1056"/>
      <c r="AM21" s="1058"/>
      <c r="AN21" s="188"/>
      <c r="AO21" s="1107"/>
      <c r="AP21" s="1108"/>
      <c r="AQ21" s="1108"/>
      <c r="AR21" s="1108"/>
      <c r="AS21" s="1108"/>
      <c r="AT21" s="1109"/>
      <c r="AW21" s="1003"/>
      <c r="AX21" s="1003"/>
      <c r="AY21" s="1004"/>
      <c r="AZ21" s="995"/>
      <c r="BA21" s="996"/>
      <c r="BB21" s="996"/>
      <c r="BC21" s="996"/>
      <c r="BD21" s="996"/>
      <c r="BE21" s="211" t="s">
        <v>373</v>
      </c>
      <c r="BF21" s="212" t="s">
        <v>373</v>
      </c>
      <c r="BG21" s="212" t="s">
        <v>373</v>
      </c>
      <c r="BH21" s="212" t="s">
        <v>373</v>
      </c>
      <c r="BI21" s="212" t="s">
        <v>373</v>
      </c>
      <c r="BJ21" s="213" t="s">
        <v>373</v>
      </c>
      <c r="BK21" s="211" t="s">
        <v>373</v>
      </c>
      <c r="BL21" s="212" t="s">
        <v>373</v>
      </c>
      <c r="BM21" s="212" t="s">
        <v>373</v>
      </c>
      <c r="BN21" s="212" t="s">
        <v>373</v>
      </c>
      <c r="BO21" s="212" t="s">
        <v>373</v>
      </c>
      <c r="BP21" s="213" t="s">
        <v>373</v>
      </c>
      <c r="BQ21" s="196" t="s">
        <v>373</v>
      </c>
      <c r="BR21" s="197" t="s">
        <v>373</v>
      </c>
      <c r="BS21" s="197" t="s">
        <v>373</v>
      </c>
      <c r="BT21" s="197" t="s">
        <v>373</v>
      </c>
      <c r="BU21" s="197" t="s">
        <v>373</v>
      </c>
      <c r="BV21" s="198" t="s">
        <v>373</v>
      </c>
      <c r="BW21" s="196" t="s">
        <v>373</v>
      </c>
      <c r="BX21" s="197" t="s">
        <v>373</v>
      </c>
      <c r="BY21" s="197" t="s">
        <v>373</v>
      </c>
      <c r="BZ21" s="197" t="s">
        <v>373</v>
      </c>
      <c r="CA21" s="197" t="s">
        <v>373</v>
      </c>
      <c r="CB21" s="198" t="s">
        <v>373</v>
      </c>
      <c r="CC21" s="199" t="s">
        <v>373</v>
      </c>
      <c r="CD21" s="200" t="s">
        <v>373</v>
      </c>
      <c r="CE21" s="200" t="s">
        <v>373</v>
      </c>
      <c r="CF21" s="200" t="s">
        <v>373</v>
      </c>
      <c r="CG21" s="200" t="s">
        <v>373</v>
      </c>
      <c r="CH21" s="201" t="s">
        <v>373</v>
      </c>
      <c r="CI21" s="187"/>
      <c r="CJ21" s="1018"/>
      <c r="CK21" s="1019"/>
      <c r="CL21" s="1019"/>
      <c r="CM21" s="1019"/>
      <c r="CN21" s="1019"/>
      <c r="CO21" s="1020"/>
    </row>
    <row r="22" spans="2:93" ht="9" customHeight="1" x14ac:dyDescent="0.35">
      <c r="B22" s="1121"/>
      <c r="C22" s="1121"/>
      <c r="D22" s="1122"/>
      <c r="E22" s="1042" t="s">
        <v>117</v>
      </c>
      <c r="F22" s="1043"/>
      <c r="G22" s="1043"/>
      <c r="H22" s="1043"/>
      <c r="I22" s="1044"/>
      <c r="J22" s="1074" t="s">
        <v>373</v>
      </c>
      <c r="K22" s="1075"/>
      <c r="L22" s="1075" t="s">
        <v>373</v>
      </c>
      <c r="M22" s="1075"/>
      <c r="N22" s="1075" t="s">
        <v>373</v>
      </c>
      <c r="O22" s="1076"/>
      <c r="P22" s="1074" t="s">
        <v>373</v>
      </c>
      <c r="Q22" s="1075"/>
      <c r="R22" s="1075" t="s">
        <v>373</v>
      </c>
      <c r="S22" s="1075"/>
      <c r="T22" s="1075" t="s">
        <v>373</v>
      </c>
      <c r="U22" s="1076"/>
      <c r="V22" s="1074" t="s">
        <v>373</v>
      </c>
      <c r="W22" s="1075"/>
      <c r="X22" s="1075" t="s">
        <v>373</v>
      </c>
      <c r="Y22" s="1075"/>
      <c r="Z22" s="1075" t="s">
        <v>373</v>
      </c>
      <c r="AA22" s="1076"/>
      <c r="AB22" s="1077" t="s">
        <v>373</v>
      </c>
      <c r="AC22" s="1078"/>
      <c r="AD22" s="1078" t="s">
        <v>373</v>
      </c>
      <c r="AE22" s="1078"/>
      <c r="AF22" s="1078" t="s">
        <v>373</v>
      </c>
      <c r="AG22" s="1079"/>
      <c r="AH22" s="1071" t="s">
        <v>373</v>
      </c>
      <c r="AI22" s="1072"/>
      <c r="AJ22" s="1072" t="s">
        <v>373</v>
      </c>
      <c r="AK22" s="1072"/>
      <c r="AL22" s="1072" t="s">
        <v>373</v>
      </c>
      <c r="AM22" s="1073"/>
      <c r="AN22" s="188"/>
      <c r="AO22" s="1092" t="s">
        <v>81</v>
      </c>
      <c r="AP22" s="1093"/>
      <c r="AQ22" s="1093"/>
      <c r="AR22" s="1093"/>
      <c r="AS22" s="1093"/>
      <c r="AT22" s="1094"/>
      <c r="AW22" s="1003"/>
      <c r="AX22" s="1003"/>
      <c r="AY22" s="1004"/>
      <c r="AZ22" s="995"/>
      <c r="BA22" s="996"/>
      <c r="BB22" s="996"/>
      <c r="BC22" s="996"/>
      <c r="BD22" s="996"/>
      <c r="BE22" s="211" t="s">
        <v>373</v>
      </c>
      <c r="BF22" s="212" t="s">
        <v>373</v>
      </c>
      <c r="BG22" s="212" t="s">
        <v>373</v>
      </c>
      <c r="BH22" s="212" t="s">
        <v>373</v>
      </c>
      <c r="BI22" s="212" t="s">
        <v>373</v>
      </c>
      <c r="BJ22" s="213" t="s">
        <v>373</v>
      </c>
      <c r="BK22" s="211" t="s">
        <v>373</v>
      </c>
      <c r="BL22" s="212" t="s">
        <v>373</v>
      </c>
      <c r="BM22" s="212" t="s">
        <v>373</v>
      </c>
      <c r="BN22" s="212" t="s">
        <v>373</v>
      </c>
      <c r="BO22" s="212" t="s">
        <v>373</v>
      </c>
      <c r="BP22" s="213" t="s">
        <v>373</v>
      </c>
      <c r="BQ22" s="196" t="s">
        <v>373</v>
      </c>
      <c r="BR22" s="197" t="s">
        <v>373</v>
      </c>
      <c r="BS22" s="197" t="s">
        <v>373</v>
      </c>
      <c r="BT22" s="197" t="s">
        <v>373</v>
      </c>
      <c r="BU22" s="197" t="s">
        <v>373</v>
      </c>
      <c r="BV22" s="198" t="s">
        <v>373</v>
      </c>
      <c r="BW22" s="196" t="s">
        <v>373</v>
      </c>
      <c r="BX22" s="197" t="s">
        <v>373</v>
      </c>
      <c r="BY22" s="197" t="s">
        <v>373</v>
      </c>
      <c r="BZ22" s="197" t="s">
        <v>373</v>
      </c>
      <c r="CA22" s="197" t="s">
        <v>373</v>
      </c>
      <c r="CB22" s="198" t="s">
        <v>373</v>
      </c>
      <c r="CC22" s="199" t="s">
        <v>373</v>
      </c>
      <c r="CD22" s="200" t="s">
        <v>373</v>
      </c>
      <c r="CE22" s="200" t="s">
        <v>373</v>
      </c>
      <c r="CF22" s="200" t="s">
        <v>373</v>
      </c>
      <c r="CG22" s="200" t="s">
        <v>373</v>
      </c>
      <c r="CH22" s="201" t="s">
        <v>373</v>
      </c>
      <c r="CI22" s="187"/>
      <c r="CJ22" s="1018"/>
      <c r="CK22" s="1019"/>
      <c r="CL22" s="1019"/>
      <c r="CM22" s="1019"/>
      <c r="CN22" s="1019"/>
      <c r="CO22" s="1020"/>
    </row>
    <row r="23" spans="2:93" ht="9" customHeight="1" x14ac:dyDescent="0.35">
      <c r="B23" s="1121"/>
      <c r="C23" s="1121"/>
      <c r="D23" s="1122"/>
      <c r="E23" s="1045"/>
      <c r="F23" s="1046"/>
      <c r="G23" s="1046"/>
      <c r="H23" s="1046"/>
      <c r="I23" s="1047"/>
      <c r="J23" s="1067"/>
      <c r="K23" s="1059"/>
      <c r="L23" s="1059"/>
      <c r="M23" s="1059"/>
      <c r="N23" s="1059"/>
      <c r="O23" s="1060"/>
      <c r="P23" s="1067"/>
      <c r="Q23" s="1059"/>
      <c r="R23" s="1059"/>
      <c r="S23" s="1059"/>
      <c r="T23" s="1059"/>
      <c r="U23" s="1060"/>
      <c r="V23" s="1067"/>
      <c r="W23" s="1059"/>
      <c r="X23" s="1059"/>
      <c r="Y23" s="1059"/>
      <c r="Z23" s="1059"/>
      <c r="AA23" s="1060"/>
      <c r="AB23" s="986"/>
      <c r="AC23" s="987"/>
      <c r="AD23" s="987"/>
      <c r="AE23" s="987"/>
      <c r="AF23" s="987"/>
      <c r="AG23" s="990"/>
      <c r="AH23" s="1053"/>
      <c r="AI23" s="1054"/>
      <c r="AJ23" s="1054"/>
      <c r="AK23" s="1054"/>
      <c r="AL23" s="1054"/>
      <c r="AM23" s="1057"/>
      <c r="AN23" s="188"/>
      <c r="AO23" s="1095"/>
      <c r="AP23" s="1096"/>
      <c r="AQ23" s="1096"/>
      <c r="AR23" s="1096"/>
      <c r="AS23" s="1096"/>
      <c r="AT23" s="1097"/>
      <c r="AW23" s="1003"/>
      <c r="AX23" s="1003"/>
      <c r="AY23" s="1004"/>
      <c r="AZ23" s="995"/>
      <c r="BA23" s="996"/>
      <c r="BB23" s="996"/>
      <c r="BC23" s="996"/>
      <c r="BD23" s="996"/>
      <c r="BE23" s="211" t="s">
        <v>373</v>
      </c>
      <c r="BF23" s="212" t="s">
        <v>373</v>
      </c>
      <c r="BG23" s="212" t="s">
        <v>373</v>
      </c>
      <c r="BH23" s="212" t="s">
        <v>373</v>
      </c>
      <c r="BI23" s="212" t="s">
        <v>373</v>
      </c>
      <c r="BJ23" s="213" t="s">
        <v>373</v>
      </c>
      <c r="BK23" s="211" t="s">
        <v>373</v>
      </c>
      <c r="BL23" s="212" t="s">
        <v>373</v>
      </c>
      <c r="BM23" s="212" t="s">
        <v>373</v>
      </c>
      <c r="BN23" s="212" t="s">
        <v>373</v>
      </c>
      <c r="BO23" s="212" t="s">
        <v>373</v>
      </c>
      <c r="BP23" s="213" t="s">
        <v>373</v>
      </c>
      <c r="BQ23" s="196" t="s">
        <v>373</v>
      </c>
      <c r="BR23" s="197" t="s">
        <v>373</v>
      </c>
      <c r="BS23" s="197" t="s">
        <v>373</v>
      </c>
      <c r="BT23" s="197" t="s">
        <v>373</v>
      </c>
      <c r="BU23" s="197" t="s">
        <v>373</v>
      </c>
      <c r="BV23" s="198" t="s">
        <v>373</v>
      </c>
      <c r="BW23" s="196" t="s">
        <v>373</v>
      </c>
      <c r="BX23" s="197" t="s">
        <v>373</v>
      </c>
      <c r="BY23" s="197" t="s">
        <v>373</v>
      </c>
      <c r="BZ23" s="197" t="s">
        <v>373</v>
      </c>
      <c r="CA23" s="197" t="s">
        <v>373</v>
      </c>
      <c r="CB23" s="198" t="s">
        <v>373</v>
      </c>
      <c r="CC23" s="199" t="s">
        <v>373</v>
      </c>
      <c r="CD23" s="200" t="s">
        <v>373</v>
      </c>
      <c r="CE23" s="200" t="s">
        <v>373</v>
      </c>
      <c r="CF23" s="200" t="s">
        <v>373</v>
      </c>
      <c r="CG23" s="200" t="s">
        <v>373</v>
      </c>
      <c r="CH23" s="201" t="s">
        <v>373</v>
      </c>
      <c r="CI23" s="187"/>
      <c r="CJ23" s="1018"/>
      <c r="CK23" s="1019"/>
      <c r="CL23" s="1019"/>
      <c r="CM23" s="1019"/>
      <c r="CN23" s="1019"/>
      <c r="CO23" s="1020"/>
    </row>
    <row r="24" spans="2:93" ht="9" customHeight="1" x14ac:dyDescent="0.35">
      <c r="B24" s="1121"/>
      <c r="C24" s="1121"/>
      <c r="D24" s="1122"/>
      <c r="E24" s="1045"/>
      <c r="F24" s="1046"/>
      <c r="G24" s="1046"/>
      <c r="H24" s="1046"/>
      <c r="I24" s="1047"/>
      <c r="J24" s="1067" t="s">
        <v>373</v>
      </c>
      <c r="K24" s="1059"/>
      <c r="L24" s="1059" t="s">
        <v>373</v>
      </c>
      <c r="M24" s="1059"/>
      <c r="N24" s="1059" t="s">
        <v>373</v>
      </c>
      <c r="O24" s="1060"/>
      <c r="P24" s="1067" t="s">
        <v>373</v>
      </c>
      <c r="Q24" s="1059"/>
      <c r="R24" s="1059" t="s">
        <v>373</v>
      </c>
      <c r="S24" s="1059"/>
      <c r="T24" s="1059" t="s">
        <v>373</v>
      </c>
      <c r="U24" s="1060"/>
      <c r="V24" s="1067" t="s">
        <v>373</v>
      </c>
      <c r="W24" s="1059"/>
      <c r="X24" s="1059" t="s">
        <v>373</v>
      </c>
      <c r="Y24" s="1059"/>
      <c r="Z24" s="1059" t="s">
        <v>373</v>
      </c>
      <c r="AA24" s="1060"/>
      <c r="AB24" s="986" t="s">
        <v>373</v>
      </c>
      <c r="AC24" s="987"/>
      <c r="AD24" s="987" t="s">
        <v>373</v>
      </c>
      <c r="AE24" s="987"/>
      <c r="AF24" s="987" t="s">
        <v>373</v>
      </c>
      <c r="AG24" s="990"/>
      <c r="AH24" s="1053" t="s">
        <v>373</v>
      </c>
      <c r="AI24" s="1054"/>
      <c r="AJ24" s="1054" t="s">
        <v>373</v>
      </c>
      <c r="AK24" s="1054"/>
      <c r="AL24" s="1054" t="s">
        <v>373</v>
      </c>
      <c r="AM24" s="1057"/>
      <c r="AN24" s="188"/>
      <c r="AO24" s="1095"/>
      <c r="AP24" s="1096"/>
      <c r="AQ24" s="1096"/>
      <c r="AR24" s="1096"/>
      <c r="AS24" s="1096"/>
      <c r="AT24" s="1097"/>
      <c r="AW24" s="1003"/>
      <c r="AX24" s="1003"/>
      <c r="AY24" s="1004"/>
      <c r="AZ24" s="995"/>
      <c r="BA24" s="996"/>
      <c r="BB24" s="996"/>
      <c r="BC24" s="996"/>
      <c r="BD24" s="996"/>
      <c r="BE24" s="211" t="s">
        <v>373</v>
      </c>
      <c r="BF24" s="212" t="s">
        <v>373</v>
      </c>
      <c r="BG24" s="212" t="s">
        <v>373</v>
      </c>
      <c r="BH24" s="212" t="s">
        <v>373</v>
      </c>
      <c r="BI24" s="212" t="s">
        <v>373</v>
      </c>
      <c r="BJ24" s="213" t="s">
        <v>373</v>
      </c>
      <c r="BK24" s="211" t="s">
        <v>373</v>
      </c>
      <c r="BL24" s="212" t="s">
        <v>373</v>
      </c>
      <c r="BM24" s="212" t="s">
        <v>373</v>
      </c>
      <c r="BN24" s="212" t="s">
        <v>373</v>
      </c>
      <c r="BO24" s="212" t="s">
        <v>373</v>
      </c>
      <c r="BP24" s="213" t="s">
        <v>373</v>
      </c>
      <c r="BQ24" s="196" t="s">
        <v>373</v>
      </c>
      <c r="BR24" s="197" t="s">
        <v>373</v>
      </c>
      <c r="BS24" s="197" t="s">
        <v>373</v>
      </c>
      <c r="BT24" s="197" t="s">
        <v>373</v>
      </c>
      <c r="BU24" s="197" t="s">
        <v>373</v>
      </c>
      <c r="BV24" s="198" t="s">
        <v>373</v>
      </c>
      <c r="BW24" s="196" t="s">
        <v>373</v>
      </c>
      <c r="BX24" s="197" t="s">
        <v>373</v>
      </c>
      <c r="BY24" s="197" t="s">
        <v>373</v>
      </c>
      <c r="BZ24" s="197" t="s">
        <v>373</v>
      </c>
      <c r="CA24" s="197" t="s">
        <v>373</v>
      </c>
      <c r="CB24" s="198" t="s">
        <v>373</v>
      </c>
      <c r="CC24" s="199" t="s">
        <v>373</v>
      </c>
      <c r="CD24" s="200" t="s">
        <v>373</v>
      </c>
      <c r="CE24" s="200" t="s">
        <v>373</v>
      </c>
      <c r="CF24" s="200" t="s">
        <v>373</v>
      </c>
      <c r="CG24" s="200" t="s">
        <v>373</v>
      </c>
      <c r="CH24" s="201" t="s">
        <v>373</v>
      </c>
      <c r="CI24" s="187"/>
      <c r="CJ24" s="1018"/>
      <c r="CK24" s="1019"/>
      <c r="CL24" s="1019"/>
      <c r="CM24" s="1019"/>
      <c r="CN24" s="1019"/>
      <c r="CO24" s="1020"/>
    </row>
    <row r="25" spans="2:93" ht="9" customHeight="1" thickBot="1" x14ac:dyDescent="0.4">
      <c r="B25" s="1121"/>
      <c r="C25" s="1121"/>
      <c r="D25" s="1122"/>
      <c r="E25" s="1045"/>
      <c r="F25" s="1046"/>
      <c r="G25" s="1046"/>
      <c r="H25" s="1046"/>
      <c r="I25" s="1047"/>
      <c r="J25" s="1067"/>
      <c r="K25" s="1059"/>
      <c r="L25" s="1059"/>
      <c r="M25" s="1059"/>
      <c r="N25" s="1059"/>
      <c r="O25" s="1060"/>
      <c r="P25" s="1067"/>
      <c r="Q25" s="1059"/>
      <c r="R25" s="1059"/>
      <c r="S25" s="1059"/>
      <c r="T25" s="1059"/>
      <c r="U25" s="1060"/>
      <c r="V25" s="1067"/>
      <c r="W25" s="1059"/>
      <c r="X25" s="1059"/>
      <c r="Y25" s="1059"/>
      <c r="Z25" s="1059"/>
      <c r="AA25" s="1060"/>
      <c r="AB25" s="986"/>
      <c r="AC25" s="987"/>
      <c r="AD25" s="987"/>
      <c r="AE25" s="987"/>
      <c r="AF25" s="987"/>
      <c r="AG25" s="990"/>
      <c r="AH25" s="1053"/>
      <c r="AI25" s="1054"/>
      <c r="AJ25" s="1054"/>
      <c r="AK25" s="1054"/>
      <c r="AL25" s="1054"/>
      <c r="AM25" s="1057"/>
      <c r="AN25" s="188"/>
      <c r="AO25" s="1095"/>
      <c r="AP25" s="1096"/>
      <c r="AQ25" s="1096"/>
      <c r="AR25" s="1096"/>
      <c r="AS25" s="1096"/>
      <c r="AT25" s="1097"/>
      <c r="AW25" s="1003"/>
      <c r="AX25" s="1003"/>
      <c r="AY25" s="1004"/>
      <c r="AZ25" s="998"/>
      <c r="BA25" s="999"/>
      <c r="BB25" s="999"/>
      <c r="BC25" s="999"/>
      <c r="BD25" s="999"/>
      <c r="BE25" s="214" t="s">
        <v>373</v>
      </c>
      <c r="BF25" s="215" t="s">
        <v>373</v>
      </c>
      <c r="BG25" s="215" t="s">
        <v>373</v>
      </c>
      <c r="BH25" s="215" t="s">
        <v>373</v>
      </c>
      <c r="BI25" s="215" t="s">
        <v>373</v>
      </c>
      <c r="BJ25" s="216" t="s">
        <v>373</v>
      </c>
      <c r="BK25" s="214" t="s">
        <v>373</v>
      </c>
      <c r="BL25" s="215" t="s">
        <v>373</v>
      </c>
      <c r="BM25" s="215" t="s">
        <v>373</v>
      </c>
      <c r="BN25" s="215" t="s">
        <v>373</v>
      </c>
      <c r="BO25" s="215" t="s">
        <v>373</v>
      </c>
      <c r="BP25" s="216" t="s">
        <v>373</v>
      </c>
      <c r="BQ25" s="202" t="s">
        <v>373</v>
      </c>
      <c r="BR25" s="203" t="s">
        <v>373</v>
      </c>
      <c r="BS25" s="203" t="s">
        <v>373</v>
      </c>
      <c r="BT25" s="203" t="s">
        <v>373</v>
      </c>
      <c r="BU25" s="203" t="s">
        <v>373</v>
      </c>
      <c r="BV25" s="204" t="s">
        <v>373</v>
      </c>
      <c r="BW25" s="202" t="s">
        <v>373</v>
      </c>
      <c r="BX25" s="203" t="s">
        <v>373</v>
      </c>
      <c r="BY25" s="203" t="s">
        <v>373</v>
      </c>
      <c r="BZ25" s="203" t="s">
        <v>373</v>
      </c>
      <c r="CA25" s="203" t="s">
        <v>373</v>
      </c>
      <c r="CB25" s="204" t="s">
        <v>373</v>
      </c>
      <c r="CC25" s="205" t="s">
        <v>373</v>
      </c>
      <c r="CD25" s="206" t="s">
        <v>373</v>
      </c>
      <c r="CE25" s="206" t="s">
        <v>373</v>
      </c>
      <c r="CF25" s="206" t="s">
        <v>373</v>
      </c>
      <c r="CG25" s="206" t="s">
        <v>373</v>
      </c>
      <c r="CH25" s="207" t="s">
        <v>373</v>
      </c>
      <c r="CI25" s="187"/>
      <c r="CJ25" s="1021"/>
      <c r="CK25" s="1022"/>
      <c r="CL25" s="1022"/>
      <c r="CM25" s="1022"/>
      <c r="CN25" s="1022"/>
      <c r="CO25" s="1023"/>
    </row>
    <row r="26" spans="2:93" ht="9" customHeight="1" x14ac:dyDescent="0.35">
      <c r="B26" s="1121"/>
      <c r="C26" s="1121"/>
      <c r="D26" s="1122"/>
      <c r="E26" s="1045"/>
      <c r="F26" s="1046"/>
      <c r="G26" s="1046"/>
      <c r="H26" s="1046"/>
      <c r="I26" s="1047"/>
      <c r="J26" s="1067" t="s">
        <v>373</v>
      </c>
      <c r="K26" s="1059"/>
      <c r="L26" s="1059" t="s">
        <v>373</v>
      </c>
      <c r="M26" s="1059"/>
      <c r="N26" s="1059" t="s">
        <v>373</v>
      </c>
      <c r="O26" s="1060"/>
      <c r="P26" s="1067" t="s">
        <v>373</v>
      </c>
      <c r="Q26" s="1059"/>
      <c r="R26" s="1059" t="s">
        <v>373</v>
      </c>
      <c r="S26" s="1059"/>
      <c r="T26" s="1059" t="s">
        <v>373</v>
      </c>
      <c r="U26" s="1060"/>
      <c r="V26" s="1067" t="s">
        <v>373</v>
      </c>
      <c r="W26" s="1059"/>
      <c r="X26" s="1059" t="s">
        <v>373</v>
      </c>
      <c r="Y26" s="1059"/>
      <c r="Z26" s="1059" t="s">
        <v>373</v>
      </c>
      <c r="AA26" s="1060"/>
      <c r="AB26" s="986" t="s">
        <v>373</v>
      </c>
      <c r="AC26" s="987"/>
      <c r="AD26" s="987" t="s">
        <v>373</v>
      </c>
      <c r="AE26" s="987"/>
      <c r="AF26" s="987" t="s">
        <v>373</v>
      </c>
      <c r="AG26" s="990"/>
      <c r="AH26" s="1053" t="s">
        <v>373</v>
      </c>
      <c r="AI26" s="1054"/>
      <c r="AJ26" s="1054" t="s">
        <v>373</v>
      </c>
      <c r="AK26" s="1054"/>
      <c r="AL26" s="1054" t="s">
        <v>373</v>
      </c>
      <c r="AM26" s="1057"/>
      <c r="AN26" s="188"/>
      <c r="AO26" s="1095"/>
      <c r="AP26" s="1096"/>
      <c r="AQ26" s="1096"/>
      <c r="AR26" s="1096"/>
      <c r="AS26" s="1096"/>
      <c r="AT26" s="1097"/>
      <c r="AW26" s="1003"/>
      <c r="AX26" s="1003"/>
      <c r="AY26" s="1004"/>
      <c r="AZ26" s="992" t="s">
        <v>117</v>
      </c>
      <c r="BA26" s="993"/>
      <c r="BB26" s="993"/>
      <c r="BC26" s="993"/>
      <c r="BD26" s="994"/>
      <c r="BE26" s="208" t="s">
        <v>373</v>
      </c>
      <c r="BF26" s="209" t="s">
        <v>373</v>
      </c>
      <c r="BG26" s="209" t="s">
        <v>373</v>
      </c>
      <c r="BH26" s="209" t="s">
        <v>373</v>
      </c>
      <c r="BI26" s="209" t="s">
        <v>373</v>
      </c>
      <c r="BJ26" s="210" t="s">
        <v>373</v>
      </c>
      <c r="BK26" s="208" t="s">
        <v>373</v>
      </c>
      <c r="BL26" s="209" t="s">
        <v>373</v>
      </c>
      <c r="BM26" s="209" t="s">
        <v>373</v>
      </c>
      <c r="BN26" s="209" t="s">
        <v>373</v>
      </c>
      <c r="BO26" s="209" t="s">
        <v>373</v>
      </c>
      <c r="BP26" s="210" t="s">
        <v>373</v>
      </c>
      <c r="BQ26" s="208" t="s">
        <v>373</v>
      </c>
      <c r="BR26" s="209" t="s">
        <v>373</v>
      </c>
      <c r="BS26" s="209" t="s">
        <v>373</v>
      </c>
      <c r="BT26" s="209" t="s">
        <v>373</v>
      </c>
      <c r="BU26" s="209" t="s">
        <v>373</v>
      </c>
      <c r="BV26" s="210" t="s">
        <v>373</v>
      </c>
      <c r="BW26" s="190" t="s">
        <v>373</v>
      </c>
      <c r="BX26" s="191" t="s">
        <v>373</v>
      </c>
      <c r="BY26" s="191" t="s">
        <v>373</v>
      </c>
      <c r="BZ26" s="191" t="s">
        <v>373</v>
      </c>
      <c r="CA26" s="191" t="s">
        <v>373</v>
      </c>
      <c r="CB26" s="192" t="s">
        <v>373</v>
      </c>
      <c r="CC26" s="193" t="s">
        <v>373</v>
      </c>
      <c r="CD26" s="194" t="s">
        <v>373</v>
      </c>
      <c r="CE26" s="194" t="s">
        <v>373</v>
      </c>
      <c r="CF26" s="194" t="s">
        <v>373</v>
      </c>
      <c r="CG26" s="194" t="s">
        <v>373</v>
      </c>
      <c r="CH26" s="195" t="s">
        <v>373</v>
      </c>
      <c r="CI26" s="187"/>
      <c r="CJ26" s="1024" t="s">
        <v>81</v>
      </c>
      <c r="CK26" s="1025"/>
      <c r="CL26" s="1025"/>
      <c r="CM26" s="1025"/>
      <c r="CN26" s="1025"/>
      <c r="CO26" s="1026"/>
    </row>
    <row r="27" spans="2:93" ht="9" customHeight="1" x14ac:dyDescent="0.35">
      <c r="B27" s="1121"/>
      <c r="C27" s="1121"/>
      <c r="D27" s="1122"/>
      <c r="E27" s="1045"/>
      <c r="F27" s="1046"/>
      <c r="G27" s="1046"/>
      <c r="H27" s="1046"/>
      <c r="I27" s="1047"/>
      <c r="J27" s="1067"/>
      <c r="K27" s="1059"/>
      <c r="L27" s="1059"/>
      <c r="M27" s="1059"/>
      <c r="N27" s="1059"/>
      <c r="O27" s="1060"/>
      <c r="P27" s="1067"/>
      <c r="Q27" s="1059"/>
      <c r="R27" s="1059"/>
      <c r="S27" s="1059"/>
      <c r="T27" s="1059"/>
      <c r="U27" s="1060"/>
      <c r="V27" s="1067"/>
      <c r="W27" s="1059"/>
      <c r="X27" s="1059"/>
      <c r="Y27" s="1059"/>
      <c r="Z27" s="1059"/>
      <c r="AA27" s="1060"/>
      <c r="AB27" s="986"/>
      <c r="AC27" s="987"/>
      <c r="AD27" s="987"/>
      <c r="AE27" s="987"/>
      <c r="AF27" s="987"/>
      <c r="AG27" s="990"/>
      <c r="AH27" s="1053"/>
      <c r="AI27" s="1054"/>
      <c r="AJ27" s="1054"/>
      <c r="AK27" s="1054"/>
      <c r="AL27" s="1054"/>
      <c r="AM27" s="1057"/>
      <c r="AN27" s="188"/>
      <c r="AO27" s="1095"/>
      <c r="AP27" s="1096"/>
      <c r="AQ27" s="1096"/>
      <c r="AR27" s="1096"/>
      <c r="AS27" s="1096"/>
      <c r="AT27" s="1097"/>
      <c r="AW27" s="1003"/>
      <c r="AX27" s="1003"/>
      <c r="AY27" s="1004"/>
      <c r="AZ27" s="1014"/>
      <c r="BA27" s="996"/>
      <c r="BB27" s="996"/>
      <c r="BC27" s="996"/>
      <c r="BD27" s="997"/>
      <c r="BE27" s="211" t="s">
        <v>373</v>
      </c>
      <c r="BF27" s="212" t="s">
        <v>373</v>
      </c>
      <c r="BG27" s="212" t="s">
        <v>373</v>
      </c>
      <c r="BH27" s="212" t="s">
        <v>373</v>
      </c>
      <c r="BI27" s="212" t="s">
        <v>373</v>
      </c>
      <c r="BJ27" s="213" t="s">
        <v>373</v>
      </c>
      <c r="BK27" s="211" t="s">
        <v>373</v>
      </c>
      <c r="BL27" s="212" t="s">
        <v>373</v>
      </c>
      <c r="BM27" s="212" t="s">
        <v>373</v>
      </c>
      <c r="BN27" s="212" t="s">
        <v>373</v>
      </c>
      <c r="BO27" s="212" t="s">
        <v>373</v>
      </c>
      <c r="BP27" s="213" t="s">
        <v>373</v>
      </c>
      <c r="BQ27" s="211" t="s">
        <v>373</v>
      </c>
      <c r="BR27" s="212" t="s">
        <v>373</v>
      </c>
      <c r="BS27" s="212" t="s">
        <v>373</v>
      </c>
      <c r="BT27" s="212" t="s">
        <v>373</v>
      </c>
      <c r="BU27" s="212" t="s">
        <v>373</v>
      </c>
      <c r="BV27" s="213" t="s">
        <v>373</v>
      </c>
      <c r="BW27" s="196" t="s">
        <v>373</v>
      </c>
      <c r="BX27" s="197" t="s">
        <v>373</v>
      </c>
      <c r="BY27" s="197" t="s">
        <v>373</v>
      </c>
      <c r="BZ27" s="197" t="s">
        <v>373</v>
      </c>
      <c r="CA27" s="197" t="s">
        <v>373</v>
      </c>
      <c r="CB27" s="198" t="s">
        <v>373</v>
      </c>
      <c r="CC27" s="199" t="s">
        <v>373</v>
      </c>
      <c r="CD27" s="200" t="s">
        <v>373</v>
      </c>
      <c r="CE27" s="200" t="s">
        <v>373</v>
      </c>
      <c r="CF27" s="200" t="s">
        <v>373</v>
      </c>
      <c r="CG27" s="200" t="s">
        <v>373</v>
      </c>
      <c r="CH27" s="201" t="s">
        <v>373</v>
      </c>
      <c r="CI27" s="187"/>
      <c r="CJ27" s="1027"/>
      <c r="CK27" s="1028"/>
      <c r="CL27" s="1028"/>
      <c r="CM27" s="1028"/>
      <c r="CN27" s="1028"/>
      <c r="CO27" s="1029"/>
    </row>
    <row r="28" spans="2:93" ht="9" customHeight="1" x14ac:dyDescent="0.35">
      <c r="B28" s="1121"/>
      <c r="C28" s="1121"/>
      <c r="D28" s="1122"/>
      <c r="E28" s="1045"/>
      <c r="F28" s="1046"/>
      <c r="G28" s="1046"/>
      <c r="H28" s="1046"/>
      <c r="I28" s="1047"/>
      <c r="J28" s="1067" t="s">
        <v>373</v>
      </c>
      <c r="K28" s="1059"/>
      <c r="L28" s="1059" t="s">
        <v>373</v>
      </c>
      <c r="M28" s="1059"/>
      <c r="N28" s="1059" t="s">
        <v>373</v>
      </c>
      <c r="O28" s="1060"/>
      <c r="P28" s="1067" t="s">
        <v>373</v>
      </c>
      <c r="Q28" s="1059"/>
      <c r="R28" s="1059" t="s">
        <v>373</v>
      </c>
      <c r="S28" s="1059"/>
      <c r="T28" s="1059" t="s">
        <v>373</v>
      </c>
      <c r="U28" s="1060"/>
      <c r="V28" s="1067" t="s">
        <v>373</v>
      </c>
      <c r="W28" s="1059"/>
      <c r="X28" s="1059" t="s">
        <v>373</v>
      </c>
      <c r="Y28" s="1059"/>
      <c r="Z28" s="1059" t="s">
        <v>373</v>
      </c>
      <c r="AA28" s="1060"/>
      <c r="AB28" s="986" t="s">
        <v>373</v>
      </c>
      <c r="AC28" s="987"/>
      <c r="AD28" s="987" t="s">
        <v>373</v>
      </c>
      <c r="AE28" s="987"/>
      <c r="AF28" s="987" t="s">
        <v>373</v>
      </c>
      <c r="AG28" s="990"/>
      <c r="AH28" s="1053" t="s">
        <v>373</v>
      </c>
      <c r="AI28" s="1054"/>
      <c r="AJ28" s="1054" t="s">
        <v>373</v>
      </c>
      <c r="AK28" s="1054"/>
      <c r="AL28" s="1054" t="s">
        <v>373</v>
      </c>
      <c r="AM28" s="1057"/>
      <c r="AN28" s="188"/>
      <c r="AO28" s="1095"/>
      <c r="AP28" s="1096"/>
      <c r="AQ28" s="1096"/>
      <c r="AR28" s="1096"/>
      <c r="AS28" s="1096"/>
      <c r="AT28" s="1097"/>
      <c r="AW28" s="1003"/>
      <c r="AX28" s="1003"/>
      <c r="AY28" s="1004"/>
      <c r="AZ28" s="995"/>
      <c r="BA28" s="996"/>
      <c r="BB28" s="996"/>
      <c r="BC28" s="996"/>
      <c r="BD28" s="997"/>
      <c r="BE28" s="211" t="s">
        <v>373</v>
      </c>
      <c r="BF28" s="212" t="s">
        <v>373</v>
      </c>
      <c r="BG28" s="212" t="s">
        <v>373</v>
      </c>
      <c r="BH28" s="212" t="s">
        <v>373</v>
      </c>
      <c r="BI28" s="212" t="s">
        <v>373</v>
      </c>
      <c r="BJ28" s="213" t="s">
        <v>373</v>
      </c>
      <c r="BK28" s="211" t="s">
        <v>373</v>
      </c>
      <c r="BL28" s="212" t="s">
        <v>373</v>
      </c>
      <c r="BM28" s="212" t="s">
        <v>373</v>
      </c>
      <c r="BN28" s="212" t="s">
        <v>373</v>
      </c>
      <c r="BO28" s="212" t="s">
        <v>373</v>
      </c>
      <c r="BP28" s="213" t="s">
        <v>373</v>
      </c>
      <c r="BQ28" s="211" t="s">
        <v>373</v>
      </c>
      <c r="BR28" s="212" t="s">
        <v>373</v>
      </c>
      <c r="BS28" s="212" t="s">
        <v>373</v>
      </c>
      <c r="BT28" s="212" t="s">
        <v>373</v>
      </c>
      <c r="BU28" s="212" t="s">
        <v>373</v>
      </c>
      <c r="BV28" s="213" t="s">
        <v>373</v>
      </c>
      <c r="BW28" s="196" t="s">
        <v>373</v>
      </c>
      <c r="BX28" s="197" t="s">
        <v>373</v>
      </c>
      <c r="BY28" s="197" t="s">
        <v>373</v>
      </c>
      <c r="BZ28" s="197" t="s">
        <v>373</v>
      </c>
      <c r="CA28" s="197" t="s">
        <v>373</v>
      </c>
      <c r="CB28" s="198" t="s">
        <v>373</v>
      </c>
      <c r="CC28" s="199" t="s">
        <v>373</v>
      </c>
      <c r="CD28" s="200" t="s">
        <v>373</v>
      </c>
      <c r="CE28" s="200" t="s">
        <v>373</v>
      </c>
      <c r="CF28" s="200" t="s">
        <v>373</v>
      </c>
      <c r="CG28" s="200" t="s">
        <v>373</v>
      </c>
      <c r="CH28" s="201" t="s">
        <v>373</v>
      </c>
      <c r="CI28" s="187"/>
      <c r="CJ28" s="1027"/>
      <c r="CK28" s="1028"/>
      <c r="CL28" s="1028"/>
      <c r="CM28" s="1028"/>
      <c r="CN28" s="1028"/>
      <c r="CO28" s="1029"/>
    </row>
    <row r="29" spans="2:93" ht="9" customHeight="1" thickBot="1" x14ac:dyDescent="0.4">
      <c r="B29" s="1121"/>
      <c r="C29" s="1121"/>
      <c r="D29" s="1122"/>
      <c r="E29" s="1048"/>
      <c r="F29" s="1049"/>
      <c r="G29" s="1049"/>
      <c r="H29" s="1049"/>
      <c r="I29" s="1050"/>
      <c r="J29" s="1067"/>
      <c r="K29" s="1059"/>
      <c r="L29" s="1059"/>
      <c r="M29" s="1059"/>
      <c r="N29" s="1059"/>
      <c r="O29" s="1060"/>
      <c r="P29" s="1068"/>
      <c r="Q29" s="1069"/>
      <c r="R29" s="1069"/>
      <c r="S29" s="1069"/>
      <c r="T29" s="1069"/>
      <c r="U29" s="1070"/>
      <c r="V29" s="1068"/>
      <c r="W29" s="1069"/>
      <c r="X29" s="1069"/>
      <c r="Y29" s="1069"/>
      <c r="Z29" s="1069"/>
      <c r="AA29" s="1070"/>
      <c r="AB29" s="988"/>
      <c r="AC29" s="989"/>
      <c r="AD29" s="989"/>
      <c r="AE29" s="989"/>
      <c r="AF29" s="989"/>
      <c r="AG29" s="991"/>
      <c r="AH29" s="1055"/>
      <c r="AI29" s="1056"/>
      <c r="AJ29" s="1056"/>
      <c r="AK29" s="1056"/>
      <c r="AL29" s="1056"/>
      <c r="AM29" s="1058"/>
      <c r="AN29" s="188"/>
      <c r="AO29" s="1098"/>
      <c r="AP29" s="1099"/>
      <c r="AQ29" s="1099"/>
      <c r="AR29" s="1099"/>
      <c r="AS29" s="1099"/>
      <c r="AT29" s="1100"/>
      <c r="AW29" s="1003"/>
      <c r="AX29" s="1003"/>
      <c r="AY29" s="1004"/>
      <c r="AZ29" s="995"/>
      <c r="BA29" s="996"/>
      <c r="BB29" s="996"/>
      <c r="BC29" s="996"/>
      <c r="BD29" s="997"/>
      <c r="BE29" s="211" t="s">
        <v>373</v>
      </c>
      <c r="BF29" s="212" t="s">
        <v>373</v>
      </c>
      <c r="BG29" s="212" t="s">
        <v>373</v>
      </c>
      <c r="BH29" s="212" t="s">
        <v>373</v>
      </c>
      <c r="BI29" s="212" t="s">
        <v>373</v>
      </c>
      <c r="BJ29" s="213" t="s">
        <v>373</v>
      </c>
      <c r="BK29" s="211" t="s">
        <v>373</v>
      </c>
      <c r="BL29" s="212" t="s">
        <v>373</v>
      </c>
      <c r="BM29" s="212" t="s">
        <v>373</v>
      </c>
      <c r="BN29" s="212" t="s">
        <v>373</v>
      </c>
      <c r="BO29" s="212" t="s">
        <v>373</v>
      </c>
      <c r="BP29" s="213" t="s">
        <v>373</v>
      </c>
      <c r="BQ29" s="211" t="s">
        <v>373</v>
      </c>
      <c r="BR29" s="212" t="s">
        <v>373</v>
      </c>
      <c r="BS29" s="212" t="s">
        <v>373</v>
      </c>
      <c r="BT29" s="212" t="s">
        <v>373</v>
      </c>
      <c r="BU29" s="212" t="s">
        <v>373</v>
      </c>
      <c r="BV29" s="213" t="s">
        <v>373</v>
      </c>
      <c r="BW29" s="196" t="s">
        <v>373</v>
      </c>
      <c r="BX29" s="197" t="s">
        <v>373</v>
      </c>
      <c r="BY29" s="197" t="s">
        <v>373</v>
      </c>
      <c r="BZ29" s="197" t="s">
        <v>373</v>
      </c>
      <c r="CA29" s="197" t="s">
        <v>373</v>
      </c>
      <c r="CB29" s="198" t="s">
        <v>373</v>
      </c>
      <c r="CC29" s="199" t="s">
        <v>373</v>
      </c>
      <c r="CD29" s="200" t="s">
        <v>373</v>
      </c>
      <c r="CE29" s="200" t="s">
        <v>373</v>
      </c>
      <c r="CF29" s="200" t="s">
        <v>373</v>
      </c>
      <c r="CG29" s="200" t="s">
        <v>373</v>
      </c>
      <c r="CH29" s="201" t="s">
        <v>373</v>
      </c>
      <c r="CI29" s="187"/>
      <c r="CJ29" s="1027"/>
      <c r="CK29" s="1028"/>
      <c r="CL29" s="1028"/>
      <c r="CM29" s="1028"/>
      <c r="CN29" s="1028"/>
      <c r="CO29" s="1029"/>
    </row>
    <row r="30" spans="2:93" ht="9" customHeight="1" x14ac:dyDescent="0.35">
      <c r="B30" s="1121"/>
      <c r="C30" s="1121"/>
      <c r="D30" s="1122"/>
      <c r="E30" s="1042" t="s">
        <v>114</v>
      </c>
      <c r="F30" s="1043"/>
      <c r="G30" s="1043"/>
      <c r="H30" s="1043"/>
      <c r="I30" s="1043"/>
      <c r="J30" s="1080" t="s">
        <v>373</v>
      </c>
      <c r="K30" s="1081"/>
      <c r="L30" s="1081" t="s">
        <v>373</v>
      </c>
      <c r="M30" s="1081"/>
      <c r="N30" s="1081" t="s">
        <v>373</v>
      </c>
      <c r="O30" s="1082"/>
      <c r="P30" s="1075" t="s">
        <v>373</v>
      </c>
      <c r="Q30" s="1075"/>
      <c r="R30" s="1075" t="s">
        <v>373</v>
      </c>
      <c r="S30" s="1075"/>
      <c r="T30" s="1075" t="s">
        <v>373</v>
      </c>
      <c r="U30" s="1076"/>
      <c r="V30" s="1074" t="s">
        <v>373</v>
      </c>
      <c r="W30" s="1075"/>
      <c r="X30" s="1075" t="s">
        <v>373</v>
      </c>
      <c r="Y30" s="1075"/>
      <c r="Z30" s="1075" t="s">
        <v>373</v>
      </c>
      <c r="AA30" s="1076"/>
      <c r="AB30" s="1077" t="s">
        <v>373</v>
      </c>
      <c r="AC30" s="1078"/>
      <c r="AD30" s="1078" t="s">
        <v>373</v>
      </c>
      <c r="AE30" s="1078"/>
      <c r="AF30" s="1078" t="s">
        <v>373</v>
      </c>
      <c r="AG30" s="1079"/>
      <c r="AH30" s="1071" t="s">
        <v>373</v>
      </c>
      <c r="AI30" s="1072"/>
      <c r="AJ30" s="1072" t="s">
        <v>373</v>
      </c>
      <c r="AK30" s="1072"/>
      <c r="AL30" s="1072" t="s">
        <v>373</v>
      </c>
      <c r="AM30" s="1073"/>
      <c r="AN30" s="188"/>
      <c r="AO30" s="1083" t="s">
        <v>82</v>
      </c>
      <c r="AP30" s="1084"/>
      <c r="AQ30" s="1084"/>
      <c r="AR30" s="1084"/>
      <c r="AS30" s="1084"/>
      <c r="AT30" s="1085"/>
      <c r="AW30" s="1003"/>
      <c r="AX30" s="1003"/>
      <c r="AY30" s="1004"/>
      <c r="AZ30" s="995"/>
      <c r="BA30" s="996"/>
      <c r="BB30" s="996"/>
      <c r="BC30" s="996"/>
      <c r="BD30" s="997"/>
      <c r="BE30" s="211" t="s">
        <v>373</v>
      </c>
      <c r="BF30" s="212" t="s">
        <v>373</v>
      </c>
      <c r="BG30" s="212" t="s">
        <v>373</v>
      </c>
      <c r="BH30" s="212" t="s">
        <v>373</v>
      </c>
      <c r="BI30" s="212" t="s">
        <v>373</v>
      </c>
      <c r="BJ30" s="213" t="s">
        <v>373</v>
      </c>
      <c r="BK30" s="211" t="s">
        <v>373</v>
      </c>
      <c r="BL30" s="212" t="s">
        <v>373</v>
      </c>
      <c r="BM30" s="212" t="s">
        <v>373</v>
      </c>
      <c r="BN30" s="212" t="s">
        <v>373</v>
      </c>
      <c r="BO30" s="212" t="s">
        <v>373</v>
      </c>
      <c r="BP30" s="213" t="s">
        <v>373</v>
      </c>
      <c r="BQ30" s="211" t="s">
        <v>373</v>
      </c>
      <c r="BR30" s="212" t="s">
        <v>373</v>
      </c>
      <c r="BS30" s="212" t="s">
        <v>373</v>
      </c>
      <c r="BT30" s="212" t="s">
        <v>373</v>
      </c>
      <c r="BU30" s="212" t="s">
        <v>373</v>
      </c>
      <c r="BV30" s="213" t="s">
        <v>373</v>
      </c>
      <c r="BW30" s="196" t="s">
        <v>373</v>
      </c>
      <c r="BX30" s="197" t="s">
        <v>373</v>
      </c>
      <c r="BY30" s="197" t="s">
        <v>373</v>
      </c>
      <c r="BZ30" s="197" t="s">
        <v>373</v>
      </c>
      <c r="CA30" s="197" t="s">
        <v>373</v>
      </c>
      <c r="CB30" s="198" t="s">
        <v>373</v>
      </c>
      <c r="CC30" s="199" t="s">
        <v>373</v>
      </c>
      <c r="CD30" s="200" t="s">
        <v>373</v>
      </c>
      <c r="CE30" s="200" t="s">
        <v>373</v>
      </c>
      <c r="CF30" s="200" t="s">
        <v>373</v>
      </c>
      <c r="CG30" s="200" t="s">
        <v>373</v>
      </c>
      <c r="CH30" s="201" t="s">
        <v>373</v>
      </c>
      <c r="CI30" s="187"/>
      <c r="CJ30" s="1027"/>
      <c r="CK30" s="1028"/>
      <c r="CL30" s="1028"/>
      <c r="CM30" s="1028"/>
      <c r="CN30" s="1028"/>
      <c r="CO30" s="1029"/>
    </row>
    <row r="31" spans="2:93" ht="9" customHeight="1" x14ac:dyDescent="0.35">
      <c r="B31" s="1121"/>
      <c r="C31" s="1121"/>
      <c r="D31" s="1122"/>
      <c r="E31" s="1045"/>
      <c r="F31" s="1046"/>
      <c r="G31" s="1046"/>
      <c r="H31" s="1046"/>
      <c r="I31" s="1046"/>
      <c r="J31" s="1061"/>
      <c r="K31" s="1062"/>
      <c r="L31" s="1062"/>
      <c r="M31" s="1062"/>
      <c r="N31" s="1062"/>
      <c r="O31" s="1065"/>
      <c r="P31" s="1059"/>
      <c r="Q31" s="1059"/>
      <c r="R31" s="1059"/>
      <c r="S31" s="1059"/>
      <c r="T31" s="1059"/>
      <c r="U31" s="1060"/>
      <c r="V31" s="1067"/>
      <c r="W31" s="1059"/>
      <c r="X31" s="1059"/>
      <c r="Y31" s="1059"/>
      <c r="Z31" s="1059"/>
      <c r="AA31" s="1060"/>
      <c r="AB31" s="986"/>
      <c r="AC31" s="987"/>
      <c r="AD31" s="987"/>
      <c r="AE31" s="987"/>
      <c r="AF31" s="987"/>
      <c r="AG31" s="990"/>
      <c r="AH31" s="1053"/>
      <c r="AI31" s="1054"/>
      <c r="AJ31" s="1054"/>
      <c r="AK31" s="1054"/>
      <c r="AL31" s="1054"/>
      <c r="AM31" s="1057"/>
      <c r="AN31" s="188"/>
      <c r="AO31" s="1086"/>
      <c r="AP31" s="1087"/>
      <c r="AQ31" s="1087"/>
      <c r="AR31" s="1087"/>
      <c r="AS31" s="1087"/>
      <c r="AT31" s="1088"/>
      <c r="AW31" s="1003"/>
      <c r="AX31" s="1003"/>
      <c r="AY31" s="1004"/>
      <c r="AZ31" s="995"/>
      <c r="BA31" s="996"/>
      <c r="BB31" s="996"/>
      <c r="BC31" s="996"/>
      <c r="BD31" s="997"/>
      <c r="BE31" s="211" t="s">
        <v>373</v>
      </c>
      <c r="BF31" s="212" t="s">
        <v>373</v>
      </c>
      <c r="BG31" s="212" t="s">
        <v>373</v>
      </c>
      <c r="BH31" s="212" t="s">
        <v>373</v>
      </c>
      <c r="BI31" s="212" t="s">
        <v>373</v>
      </c>
      <c r="BJ31" s="213" t="s">
        <v>373</v>
      </c>
      <c r="BK31" s="211" t="s">
        <v>373</v>
      </c>
      <c r="BL31" s="212" t="s">
        <v>373</v>
      </c>
      <c r="BM31" s="212" t="s">
        <v>373</v>
      </c>
      <c r="BN31" s="212" t="s">
        <v>373</v>
      </c>
      <c r="BO31" s="212" t="s">
        <v>373</v>
      </c>
      <c r="BP31" s="213" t="s">
        <v>373</v>
      </c>
      <c r="BQ31" s="211" t="s">
        <v>373</v>
      </c>
      <c r="BR31" s="212" t="s">
        <v>373</v>
      </c>
      <c r="BS31" s="212" t="s">
        <v>373</v>
      </c>
      <c r="BT31" s="212" t="s">
        <v>373</v>
      </c>
      <c r="BU31" s="212" t="s">
        <v>373</v>
      </c>
      <c r="BV31" s="213" t="s">
        <v>373</v>
      </c>
      <c r="BW31" s="196" t="s">
        <v>373</v>
      </c>
      <c r="BX31" s="197" t="s">
        <v>373</v>
      </c>
      <c r="BY31" s="197" t="s">
        <v>373</v>
      </c>
      <c r="BZ31" s="197" t="s">
        <v>373</v>
      </c>
      <c r="CA31" s="197" t="s">
        <v>373</v>
      </c>
      <c r="CB31" s="198" t="s">
        <v>373</v>
      </c>
      <c r="CC31" s="199" t="s">
        <v>373</v>
      </c>
      <c r="CD31" s="200" t="s">
        <v>373</v>
      </c>
      <c r="CE31" s="200" t="s">
        <v>373</v>
      </c>
      <c r="CF31" s="200" t="s">
        <v>373</v>
      </c>
      <c r="CG31" s="200" t="s">
        <v>373</v>
      </c>
      <c r="CH31" s="201" t="s">
        <v>373</v>
      </c>
      <c r="CI31" s="187"/>
      <c r="CJ31" s="1027"/>
      <c r="CK31" s="1028"/>
      <c r="CL31" s="1028"/>
      <c r="CM31" s="1028"/>
      <c r="CN31" s="1028"/>
      <c r="CO31" s="1029"/>
    </row>
    <row r="32" spans="2:93" ht="9" customHeight="1" x14ac:dyDescent="0.35">
      <c r="B32" s="1121"/>
      <c r="C32" s="1121"/>
      <c r="D32" s="1122"/>
      <c r="E32" s="1045"/>
      <c r="F32" s="1046"/>
      <c r="G32" s="1046"/>
      <c r="H32" s="1046"/>
      <c r="I32" s="1046"/>
      <c r="J32" s="1061" t="s">
        <v>373</v>
      </c>
      <c r="K32" s="1062"/>
      <c r="L32" s="1062" t="s">
        <v>373</v>
      </c>
      <c r="M32" s="1062"/>
      <c r="N32" s="1062" t="s">
        <v>373</v>
      </c>
      <c r="O32" s="1065"/>
      <c r="P32" s="1059" t="s">
        <v>373</v>
      </c>
      <c r="Q32" s="1059"/>
      <c r="R32" s="1059" t="s">
        <v>373</v>
      </c>
      <c r="S32" s="1059"/>
      <c r="T32" s="1059" t="s">
        <v>373</v>
      </c>
      <c r="U32" s="1060"/>
      <c r="V32" s="1067" t="s">
        <v>373</v>
      </c>
      <c r="W32" s="1059"/>
      <c r="X32" s="1059" t="s">
        <v>373</v>
      </c>
      <c r="Y32" s="1059"/>
      <c r="Z32" s="1059" t="s">
        <v>373</v>
      </c>
      <c r="AA32" s="1060"/>
      <c r="AB32" s="986" t="s">
        <v>373</v>
      </c>
      <c r="AC32" s="987"/>
      <c r="AD32" s="987" t="s">
        <v>373</v>
      </c>
      <c r="AE32" s="987"/>
      <c r="AF32" s="987" t="s">
        <v>373</v>
      </c>
      <c r="AG32" s="990"/>
      <c r="AH32" s="1053" t="s">
        <v>373</v>
      </c>
      <c r="AI32" s="1054"/>
      <c r="AJ32" s="1054" t="s">
        <v>373</v>
      </c>
      <c r="AK32" s="1054"/>
      <c r="AL32" s="1054" t="s">
        <v>373</v>
      </c>
      <c r="AM32" s="1057"/>
      <c r="AN32" s="188"/>
      <c r="AO32" s="1086"/>
      <c r="AP32" s="1087"/>
      <c r="AQ32" s="1087"/>
      <c r="AR32" s="1087"/>
      <c r="AS32" s="1087"/>
      <c r="AT32" s="1088"/>
      <c r="AW32" s="1003"/>
      <c r="AX32" s="1003"/>
      <c r="AY32" s="1004"/>
      <c r="AZ32" s="995"/>
      <c r="BA32" s="996"/>
      <c r="BB32" s="996"/>
      <c r="BC32" s="996"/>
      <c r="BD32" s="997"/>
      <c r="BE32" s="211" t="s">
        <v>373</v>
      </c>
      <c r="BF32" s="212" t="s">
        <v>373</v>
      </c>
      <c r="BG32" s="212" t="s">
        <v>373</v>
      </c>
      <c r="BH32" s="212" t="s">
        <v>373</v>
      </c>
      <c r="BI32" s="212" t="s">
        <v>373</v>
      </c>
      <c r="BJ32" s="213" t="s">
        <v>373</v>
      </c>
      <c r="BK32" s="211" t="s">
        <v>373</v>
      </c>
      <c r="BL32" s="212" t="s">
        <v>373</v>
      </c>
      <c r="BM32" s="212" t="s">
        <v>373</v>
      </c>
      <c r="BN32" s="212" t="s">
        <v>373</v>
      </c>
      <c r="BO32" s="212" t="s">
        <v>373</v>
      </c>
      <c r="BP32" s="213" t="s">
        <v>373</v>
      </c>
      <c r="BQ32" s="211" t="s">
        <v>373</v>
      </c>
      <c r="BR32" s="212" t="s">
        <v>373</v>
      </c>
      <c r="BS32" s="212" t="s">
        <v>373</v>
      </c>
      <c r="BT32" s="212" t="s">
        <v>373</v>
      </c>
      <c r="BU32" s="212" t="s">
        <v>373</v>
      </c>
      <c r="BV32" s="213" t="s">
        <v>373</v>
      </c>
      <c r="BW32" s="196" t="s">
        <v>373</v>
      </c>
      <c r="BX32" s="197" t="s">
        <v>373</v>
      </c>
      <c r="BY32" s="197" t="s">
        <v>373</v>
      </c>
      <c r="BZ32" s="197" t="s">
        <v>373</v>
      </c>
      <c r="CA32" s="197" t="s">
        <v>373</v>
      </c>
      <c r="CB32" s="198" t="s">
        <v>373</v>
      </c>
      <c r="CC32" s="199" t="s">
        <v>373</v>
      </c>
      <c r="CD32" s="200" t="s">
        <v>373</v>
      </c>
      <c r="CE32" s="200" t="s">
        <v>373</v>
      </c>
      <c r="CF32" s="200" t="s">
        <v>373</v>
      </c>
      <c r="CG32" s="200" t="s">
        <v>373</v>
      </c>
      <c r="CH32" s="201" t="s">
        <v>373</v>
      </c>
      <c r="CI32" s="187"/>
      <c r="CJ32" s="1027"/>
      <c r="CK32" s="1028"/>
      <c r="CL32" s="1028"/>
      <c r="CM32" s="1028"/>
      <c r="CN32" s="1028"/>
      <c r="CO32" s="1029"/>
    </row>
    <row r="33" spans="2:93" ht="9" customHeight="1" x14ac:dyDescent="0.35">
      <c r="B33" s="1121"/>
      <c r="C33" s="1121"/>
      <c r="D33" s="1122"/>
      <c r="E33" s="1045"/>
      <c r="F33" s="1046"/>
      <c r="G33" s="1046"/>
      <c r="H33" s="1046"/>
      <c r="I33" s="1046"/>
      <c r="J33" s="1061"/>
      <c r="K33" s="1062"/>
      <c r="L33" s="1062"/>
      <c r="M33" s="1062"/>
      <c r="N33" s="1062"/>
      <c r="O33" s="1065"/>
      <c r="P33" s="1059"/>
      <c r="Q33" s="1059"/>
      <c r="R33" s="1059"/>
      <c r="S33" s="1059"/>
      <c r="T33" s="1059"/>
      <c r="U33" s="1060"/>
      <c r="V33" s="1067"/>
      <c r="W33" s="1059"/>
      <c r="X33" s="1059"/>
      <c r="Y33" s="1059"/>
      <c r="Z33" s="1059"/>
      <c r="AA33" s="1060"/>
      <c r="AB33" s="986"/>
      <c r="AC33" s="987"/>
      <c r="AD33" s="987"/>
      <c r="AE33" s="987"/>
      <c r="AF33" s="987"/>
      <c r="AG33" s="990"/>
      <c r="AH33" s="1053"/>
      <c r="AI33" s="1054"/>
      <c r="AJ33" s="1054"/>
      <c r="AK33" s="1054"/>
      <c r="AL33" s="1054"/>
      <c r="AM33" s="1057"/>
      <c r="AN33" s="188"/>
      <c r="AO33" s="1086"/>
      <c r="AP33" s="1087"/>
      <c r="AQ33" s="1087"/>
      <c r="AR33" s="1087"/>
      <c r="AS33" s="1087"/>
      <c r="AT33" s="1088"/>
      <c r="AW33" s="1003"/>
      <c r="AX33" s="1003"/>
      <c r="AY33" s="1004"/>
      <c r="AZ33" s="995"/>
      <c r="BA33" s="996"/>
      <c r="BB33" s="996"/>
      <c r="BC33" s="996"/>
      <c r="BD33" s="997"/>
      <c r="BE33" s="211" t="s">
        <v>373</v>
      </c>
      <c r="BF33" s="212" t="s">
        <v>373</v>
      </c>
      <c r="BG33" s="212" t="s">
        <v>373</v>
      </c>
      <c r="BH33" s="212" t="s">
        <v>373</v>
      </c>
      <c r="BI33" s="212" t="s">
        <v>373</v>
      </c>
      <c r="BJ33" s="213" t="s">
        <v>373</v>
      </c>
      <c r="BK33" s="211" t="s">
        <v>373</v>
      </c>
      <c r="BL33" s="212" t="s">
        <v>373</v>
      </c>
      <c r="BM33" s="212" t="s">
        <v>373</v>
      </c>
      <c r="BN33" s="212" t="s">
        <v>373</v>
      </c>
      <c r="BO33" s="212" t="s">
        <v>373</v>
      </c>
      <c r="BP33" s="213" t="s">
        <v>373</v>
      </c>
      <c r="BQ33" s="211" t="s">
        <v>373</v>
      </c>
      <c r="BR33" s="212" t="s">
        <v>373</v>
      </c>
      <c r="BS33" s="212" t="s">
        <v>373</v>
      </c>
      <c r="BT33" s="212" t="s">
        <v>373</v>
      </c>
      <c r="BU33" s="212" t="s">
        <v>373</v>
      </c>
      <c r="BV33" s="213" t="s">
        <v>373</v>
      </c>
      <c r="BW33" s="196" t="s">
        <v>373</v>
      </c>
      <c r="BX33" s="197" t="s">
        <v>373</v>
      </c>
      <c r="BY33" s="197" t="s">
        <v>373</v>
      </c>
      <c r="BZ33" s="197" t="s">
        <v>373</v>
      </c>
      <c r="CA33" s="197" t="s">
        <v>373</v>
      </c>
      <c r="CB33" s="198" t="s">
        <v>373</v>
      </c>
      <c r="CC33" s="199" t="s">
        <v>373</v>
      </c>
      <c r="CD33" s="200" t="s">
        <v>373</v>
      </c>
      <c r="CE33" s="200" t="s">
        <v>373</v>
      </c>
      <c r="CF33" s="200" t="s">
        <v>373</v>
      </c>
      <c r="CG33" s="200" t="s">
        <v>373</v>
      </c>
      <c r="CH33" s="201" t="s">
        <v>373</v>
      </c>
      <c r="CI33" s="187"/>
      <c r="CJ33" s="1027"/>
      <c r="CK33" s="1028"/>
      <c r="CL33" s="1028"/>
      <c r="CM33" s="1028"/>
      <c r="CN33" s="1028"/>
      <c r="CO33" s="1029"/>
    </row>
    <row r="34" spans="2:93" ht="9" customHeight="1" x14ac:dyDescent="0.35">
      <c r="B34" s="1121"/>
      <c r="C34" s="1121"/>
      <c r="D34" s="1122"/>
      <c r="E34" s="1045"/>
      <c r="F34" s="1046"/>
      <c r="G34" s="1046"/>
      <c r="H34" s="1046"/>
      <c r="I34" s="1046"/>
      <c r="J34" s="1061" t="s">
        <v>373</v>
      </c>
      <c r="K34" s="1062"/>
      <c r="L34" s="1062" t="s">
        <v>373</v>
      </c>
      <c r="M34" s="1062"/>
      <c r="N34" s="1062" t="s">
        <v>373</v>
      </c>
      <c r="O34" s="1065"/>
      <c r="P34" s="1059" t="s">
        <v>373</v>
      </c>
      <c r="Q34" s="1059"/>
      <c r="R34" s="1059" t="s">
        <v>373</v>
      </c>
      <c r="S34" s="1059"/>
      <c r="T34" s="1059" t="s">
        <v>373</v>
      </c>
      <c r="U34" s="1060"/>
      <c r="V34" s="1067" t="s">
        <v>373</v>
      </c>
      <c r="W34" s="1059"/>
      <c r="X34" s="1059" t="s">
        <v>373</v>
      </c>
      <c r="Y34" s="1059"/>
      <c r="Z34" s="1059" t="s">
        <v>373</v>
      </c>
      <c r="AA34" s="1060"/>
      <c r="AB34" s="986" t="s">
        <v>373</v>
      </c>
      <c r="AC34" s="987"/>
      <c r="AD34" s="987" t="s">
        <v>373</v>
      </c>
      <c r="AE34" s="987"/>
      <c r="AF34" s="987" t="s">
        <v>373</v>
      </c>
      <c r="AG34" s="990"/>
      <c r="AH34" s="1053" t="s">
        <v>373</v>
      </c>
      <c r="AI34" s="1054"/>
      <c r="AJ34" s="1054" t="s">
        <v>373</v>
      </c>
      <c r="AK34" s="1054"/>
      <c r="AL34" s="1054" t="s">
        <v>373</v>
      </c>
      <c r="AM34" s="1057"/>
      <c r="AN34" s="188"/>
      <c r="AO34" s="1086"/>
      <c r="AP34" s="1087"/>
      <c r="AQ34" s="1087"/>
      <c r="AR34" s="1087"/>
      <c r="AS34" s="1087"/>
      <c r="AT34" s="1088"/>
      <c r="AW34" s="1003"/>
      <c r="AX34" s="1003"/>
      <c r="AY34" s="1004"/>
      <c r="AZ34" s="995"/>
      <c r="BA34" s="996"/>
      <c r="BB34" s="996"/>
      <c r="BC34" s="996"/>
      <c r="BD34" s="997"/>
      <c r="BE34" s="211" t="s">
        <v>373</v>
      </c>
      <c r="BF34" s="212" t="s">
        <v>373</v>
      </c>
      <c r="BG34" s="212" t="s">
        <v>373</v>
      </c>
      <c r="BH34" s="212" t="s">
        <v>373</v>
      </c>
      <c r="BI34" s="212" t="s">
        <v>373</v>
      </c>
      <c r="BJ34" s="213" t="s">
        <v>373</v>
      </c>
      <c r="BK34" s="211" t="s">
        <v>373</v>
      </c>
      <c r="BL34" s="212" t="s">
        <v>373</v>
      </c>
      <c r="BM34" s="212" t="s">
        <v>373</v>
      </c>
      <c r="BN34" s="212" t="s">
        <v>373</v>
      </c>
      <c r="BO34" s="212" t="s">
        <v>373</v>
      </c>
      <c r="BP34" s="213" t="s">
        <v>373</v>
      </c>
      <c r="BQ34" s="211" t="s">
        <v>373</v>
      </c>
      <c r="BR34" s="212" t="s">
        <v>373</v>
      </c>
      <c r="BS34" s="212" t="s">
        <v>373</v>
      </c>
      <c r="BT34" s="212" t="s">
        <v>373</v>
      </c>
      <c r="BU34" s="212" t="s">
        <v>373</v>
      </c>
      <c r="BV34" s="213" t="s">
        <v>373</v>
      </c>
      <c r="BW34" s="196" t="s">
        <v>373</v>
      </c>
      <c r="BX34" s="197" t="s">
        <v>373</v>
      </c>
      <c r="BY34" s="197" t="s">
        <v>373</v>
      </c>
      <c r="BZ34" s="197" t="s">
        <v>373</v>
      </c>
      <c r="CA34" s="197" t="s">
        <v>373</v>
      </c>
      <c r="CB34" s="198" t="s">
        <v>373</v>
      </c>
      <c r="CC34" s="199" t="s">
        <v>373</v>
      </c>
      <c r="CD34" s="200" t="s">
        <v>373</v>
      </c>
      <c r="CE34" s="200" t="s">
        <v>373</v>
      </c>
      <c r="CF34" s="200" t="s">
        <v>373</v>
      </c>
      <c r="CG34" s="200" t="s">
        <v>373</v>
      </c>
      <c r="CH34" s="201" t="s">
        <v>373</v>
      </c>
      <c r="CI34" s="187"/>
      <c r="CJ34" s="1027"/>
      <c r="CK34" s="1028"/>
      <c r="CL34" s="1028"/>
      <c r="CM34" s="1028"/>
      <c r="CN34" s="1028"/>
      <c r="CO34" s="1029"/>
    </row>
    <row r="35" spans="2:93" ht="9" customHeight="1" thickBot="1" x14ac:dyDescent="0.4">
      <c r="B35" s="1121"/>
      <c r="C35" s="1121"/>
      <c r="D35" s="1122"/>
      <c r="E35" s="1045"/>
      <c r="F35" s="1046"/>
      <c r="G35" s="1046"/>
      <c r="H35" s="1046"/>
      <c r="I35" s="1046"/>
      <c r="J35" s="1061"/>
      <c r="K35" s="1062"/>
      <c r="L35" s="1062"/>
      <c r="M35" s="1062"/>
      <c r="N35" s="1062"/>
      <c r="O35" s="1065"/>
      <c r="P35" s="1059"/>
      <c r="Q35" s="1059"/>
      <c r="R35" s="1059"/>
      <c r="S35" s="1059"/>
      <c r="T35" s="1059"/>
      <c r="U35" s="1060"/>
      <c r="V35" s="1067"/>
      <c r="W35" s="1059"/>
      <c r="X35" s="1059"/>
      <c r="Y35" s="1059"/>
      <c r="Z35" s="1059"/>
      <c r="AA35" s="1060"/>
      <c r="AB35" s="986"/>
      <c r="AC35" s="987"/>
      <c r="AD35" s="987"/>
      <c r="AE35" s="987"/>
      <c r="AF35" s="987"/>
      <c r="AG35" s="990"/>
      <c r="AH35" s="1053"/>
      <c r="AI35" s="1054"/>
      <c r="AJ35" s="1054"/>
      <c r="AK35" s="1054"/>
      <c r="AL35" s="1054"/>
      <c r="AM35" s="1057"/>
      <c r="AN35" s="188"/>
      <c r="AO35" s="1086"/>
      <c r="AP35" s="1087"/>
      <c r="AQ35" s="1087"/>
      <c r="AR35" s="1087"/>
      <c r="AS35" s="1087"/>
      <c r="AT35" s="1088"/>
      <c r="AW35" s="1003"/>
      <c r="AX35" s="1003"/>
      <c r="AY35" s="1004"/>
      <c r="AZ35" s="998"/>
      <c r="BA35" s="999"/>
      <c r="BB35" s="999"/>
      <c r="BC35" s="999"/>
      <c r="BD35" s="1000"/>
      <c r="BE35" s="211" t="s">
        <v>373</v>
      </c>
      <c r="BF35" s="212" t="s">
        <v>373</v>
      </c>
      <c r="BG35" s="212" t="s">
        <v>373</v>
      </c>
      <c r="BH35" s="212" t="s">
        <v>373</v>
      </c>
      <c r="BI35" s="212" t="s">
        <v>373</v>
      </c>
      <c r="BJ35" s="213" t="s">
        <v>373</v>
      </c>
      <c r="BK35" s="211" t="s">
        <v>373</v>
      </c>
      <c r="BL35" s="212" t="s">
        <v>373</v>
      </c>
      <c r="BM35" s="212" t="s">
        <v>373</v>
      </c>
      <c r="BN35" s="212" t="s">
        <v>373</v>
      </c>
      <c r="BO35" s="212" t="s">
        <v>373</v>
      </c>
      <c r="BP35" s="213" t="s">
        <v>373</v>
      </c>
      <c r="BQ35" s="211" t="s">
        <v>373</v>
      </c>
      <c r="BR35" s="212" t="s">
        <v>373</v>
      </c>
      <c r="BS35" s="212" t="s">
        <v>373</v>
      </c>
      <c r="BT35" s="212" t="s">
        <v>373</v>
      </c>
      <c r="BU35" s="212" t="s">
        <v>373</v>
      </c>
      <c r="BV35" s="213" t="s">
        <v>373</v>
      </c>
      <c r="BW35" s="202" t="s">
        <v>373</v>
      </c>
      <c r="BX35" s="203" t="s">
        <v>373</v>
      </c>
      <c r="BY35" s="203" t="s">
        <v>373</v>
      </c>
      <c r="BZ35" s="203" t="s">
        <v>373</v>
      </c>
      <c r="CA35" s="203" t="s">
        <v>373</v>
      </c>
      <c r="CB35" s="204" t="s">
        <v>373</v>
      </c>
      <c r="CC35" s="205" t="s">
        <v>373</v>
      </c>
      <c r="CD35" s="206" t="s">
        <v>373</v>
      </c>
      <c r="CE35" s="206" t="s">
        <v>373</v>
      </c>
      <c r="CF35" s="206" t="s">
        <v>373</v>
      </c>
      <c r="CG35" s="206" t="s">
        <v>373</v>
      </c>
      <c r="CH35" s="207" t="s">
        <v>373</v>
      </c>
      <c r="CI35" s="187"/>
      <c r="CJ35" s="1030"/>
      <c r="CK35" s="1031"/>
      <c r="CL35" s="1031"/>
      <c r="CM35" s="1031"/>
      <c r="CN35" s="1031"/>
      <c r="CO35" s="1032"/>
    </row>
    <row r="36" spans="2:93" ht="9" customHeight="1" x14ac:dyDescent="0.35">
      <c r="B36" s="1121"/>
      <c r="C36" s="1121"/>
      <c r="D36" s="1122"/>
      <c r="E36" s="1045"/>
      <c r="F36" s="1046"/>
      <c r="G36" s="1046"/>
      <c r="H36" s="1046"/>
      <c r="I36" s="1046"/>
      <c r="J36" s="1061" t="s">
        <v>373</v>
      </c>
      <c r="K36" s="1062"/>
      <c r="L36" s="1062" t="s">
        <v>373</v>
      </c>
      <c r="M36" s="1062"/>
      <c r="N36" s="1062" t="s">
        <v>373</v>
      </c>
      <c r="O36" s="1065"/>
      <c r="P36" s="1059" t="s">
        <v>373</v>
      </c>
      <c r="Q36" s="1059"/>
      <c r="R36" s="1059" t="s">
        <v>373</v>
      </c>
      <c r="S36" s="1059"/>
      <c r="T36" s="1059" t="s">
        <v>373</v>
      </c>
      <c r="U36" s="1060"/>
      <c r="V36" s="1067" t="s">
        <v>373</v>
      </c>
      <c r="W36" s="1059"/>
      <c r="X36" s="1059" t="s">
        <v>373</v>
      </c>
      <c r="Y36" s="1059"/>
      <c r="Z36" s="1059" t="s">
        <v>373</v>
      </c>
      <c r="AA36" s="1060"/>
      <c r="AB36" s="986" t="s">
        <v>373</v>
      </c>
      <c r="AC36" s="987"/>
      <c r="AD36" s="987" t="s">
        <v>373</v>
      </c>
      <c r="AE36" s="987"/>
      <c r="AF36" s="987" t="s">
        <v>373</v>
      </c>
      <c r="AG36" s="990"/>
      <c r="AH36" s="1053" t="s">
        <v>373</v>
      </c>
      <c r="AI36" s="1054"/>
      <c r="AJ36" s="1054" t="s">
        <v>373</v>
      </c>
      <c r="AK36" s="1054"/>
      <c r="AL36" s="1054" t="s">
        <v>373</v>
      </c>
      <c r="AM36" s="1057"/>
      <c r="AN36" s="188"/>
      <c r="AO36" s="1086"/>
      <c r="AP36" s="1087"/>
      <c r="AQ36" s="1087"/>
      <c r="AR36" s="1087"/>
      <c r="AS36" s="1087"/>
      <c r="AT36" s="1088"/>
      <c r="AW36" s="1003"/>
      <c r="AX36" s="1003"/>
      <c r="AY36" s="1004"/>
      <c r="AZ36" s="992" t="s">
        <v>114</v>
      </c>
      <c r="BA36" s="993"/>
      <c r="BB36" s="993"/>
      <c r="BC36" s="993"/>
      <c r="BD36" s="993"/>
      <c r="BE36" s="217" t="s">
        <v>373</v>
      </c>
      <c r="BF36" s="218" t="s">
        <v>373</v>
      </c>
      <c r="BG36" s="218" t="s">
        <v>373</v>
      </c>
      <c r="BH36" s="218" t="s">
        <v>373</v>
      </c>
      <c r="BI36" s="218" t="s">
        <v>373</v>
      </c>
      <c r="BJ36" s="219" t="s">
        <v>373</v>
      </c>
      <c r="BK36" s="208" t="s">
        <v>373</v>
      </c>
      <c r="BL36" s="209" t="s">
        <v>373</v>
      </c>
      <c r="BM36" s="209" t="s">
        <v>373</v>
      </c>
      <c r="BN36" s="209" t="s">
        <v>373</v>
      </c>
      <c r="BO36" s="209" t="s">
        <v>373</v>
      </c>
      <c r="BP36" s="210" t="s">
        <v>373</v>
      </c>
      <c r="BQ36" s="208" t="s">
        <v>373</v>
      </c>
      <c r="BR36" s="209" t="s">
        <v>373</v>
      </c>
      <c r="BS36" s="209" t="s">
        <v>373</v>
      </c>
      <c r="BT36" s="209" t="s">
        <v>373</v>
      </c>
      <c r="BU36" s="209" t="s">
        <v>373</v>
      </c>
      <c r="BV36" s="210" t="s">
        <v>373</v>
      </c>
      <c r="BW36" s="190" t="s">
        <v>373</v>
      </c>
      <c r="BX36" s="191" t="s">
        <v>373</v>
      </c>
      <c r="BY36" s="191" t="s">
        <v>373</v>
      </c>
      <c r="BZ36" s="191" t="s">
        <v>373</v>
      </c>
      <c r="CA36" s="191" t="s">
        <v>373</v>
      </c>
      <c r="CB36" s="192" t="s">
        <v>373</v>
      </c>
      <c r="CC36" s="193" t="s">
        <v>373</v>
      </c>
      <c r="CD36" s="194" t="s">
        <v>373</v>
      </c>
      <c r="CE36" s="194" t="s">
        <v>373</v>
      </c>
      <c r="CF36" s="194" t="s">
        <v>373</v>
      </c>
      <c r="CG36" s="194" t="s">
        <v>373</v>
      </c>
      <c r="CH36" s="195" t="s">
        <v>373</v>
      </c>
      <c r="CI36" s="187"/>
      <c r="CJ36" s="1033" t="s">
        <v>82</v>
      </c>
      <c r="CK36" s="1034"/>
      <c r="CL36" s="1034"/>
      <c r="CM36" s="1034"/>
      <c r="CN36" s="1034"/>
      <c r="CO36" s="1035"/>
    </row>
    <row r="37" spans="2:93" ht="9" customHeight="1" thickBot="1" x14ac:dyDescent="0.4">
      <c r="B37" s="1121"/>
      <c r="C37" s="1121"/>
      <c r="D37" s="1122"/>
      <c r="E37" s="1048"/>
      <c r="F37" s="1049"/>
      <c r="G37" s="1049"/>
      <c r="H37" s="1049"/>
      <c r="I37" s="1049"/>
      <c r="J37" s="1063"/>
      <c r="K37" s="1064"/>
      <c r="L37" s="1064"/>
      <c r="M37" s="1064"/>
      <c r="N37" s="1064"/>
      <c r="O37" s="1066"/>
      <c r="P37" s="1069"/>
      <c r="Q37" s="1069"/>
      <c r="R37" s="1069"/>
      <c r="S37" s="1069"/>
      <c r="T37" s="1069"/>
      <c r="U37" s="1070"/>
      <c r="V37" s="1068"/>
      <c r="W37" s="1069"/>
      <c r="X37" s="1069"/>
      <c r="Y37" s="1069"/>
      <c r="Z37" s="1069"/>
      <c r="AA37" s="1070"/>
      <c r="AB37" s="988"/>
      <c r="AC37" s="989"/>
      <c r="AD37" s="989"/>
      <c r="AE37" s="989"/>
      <c r="AF37" s="989"/>
      <c r="AG37" s="991"/>
      <c r="AH37" s="1055"/>
      <c r="AI37" s="1056"/>
      <c r="AJ37" s="1056"/>
      <c r="AK37" s="1056"/>
      <c r="AL37" s="1056"/>
      <c r="AM37" s="1058"/>
      <c r="AN37" s="188"/>
      <c r="AO37" s="1089"/>
      <c r="AP37" s="1090"/>
      <c r="AQ37" s="1090"/>
      <c r="AR37" s="1090"/>
      <c r="AS37" s="1090"/>
      <c r="AT37" s="1091"/>
      <c r="AW37" s="1003"/>
      <c r="AX37" s="1003"/>
      <c r="AY37" s="1004"/>
      <c r="AZ37" s="1014"/>
      <c r="BA37" s="996"/>
      <c r="BB37" s="996"/>
      <c r="BC37" s="996"/>
      <c r="BD37" s="996"/>
      <c r="BE37" s="220" t="s">
        <v>373</v>
      </c>
      <c r="BF37" s="221" t="s">
        <v>373</v>
      </c>
      <c r="BG37" s="221" t="s">
        <v>373</v>
      </c>
      <c r="BH37" s="221" t="s">
        <v>373</v>
      </c>
      <c r="BI37" s="221" t="s">
        <v>373</v>
      </c>
      <c r="BJ37" s="222" t="s">
        <v>373</v>
      </c>
      <c r="BK37" s="211" t="s">
        <v>373</v>
      </c>
      <c r="BL37" s="212" t="s">
        <v>373</v>
      </c>
      <c r="BM37" s="212" t="s">
        <v>373</v>
      </c>
      <c r="BN37" s="212" t="s">
        <v>373</v>
      </c>
      <c r="BO37" s="212" t="s">
        <v>373</v>
      </c>
      <c r="BP37" s="213" t="s">
        <v>373</v>
      </c>
      <c r="BQ37" s="211" t="s">
        <v>373</v>
      </c>
      <c r="BR37" s="212" t="s">
        <v>373</v>
      </c>
      <c r="BS37" s="212" t="s">
        <v>373</v>
      </c>
      <c r="BT37" s="212" t="s">
        <v>373</v>
      </c>
      <c r="BU37" s="212" t="s">
        <v>373</v>
      </c>
      <c r="BV37" s="213" t="s">
        <v>373</v>
      </c>
      <c r="BW37" s="196" t="s">
        <v>373</v>
      </c>
      <c r="BX37" s="197" t="s">
        <v>373</v>
      </c>
      <c r="BY37" s="197" t="s">
        <v>373</v>
      </c>
      <c r="BZ37" s="197" t="s">
        <v>373</v>
      </c>
      <c r="CA37" s="197" t="s">
        <v>373</v>
      </c>
      <c r="CB37" s="198" t="s">
        <v>373</v>
      </c>
      <c r="CC37" s="199" t="s">
        <v>373</v>
      </c>
      <c r="CD37" s="200" t="s">
        <v>373</v>
      </c>
      <c r="CE37" s="200" t="s">
        <v>373</v>
      </c>
      <c r="CF37" s="200" t="s">
        <v>373</v>
      </c>
      <c r="CG37" s="200" t="s">
        <v>373</v>
      </c>
      <c r="CH37" s="201" t="s">
        <v>373</v>
      </c>
      <c r="CI37" s="187"/>
      <c r="CJ37" s="1036"/>
      <c r="CK37" s="1037"/>
      <c r="CL37" s="1037"/>
      <c r="CM37" s="1037"/>
      <c r="CN37" s="1037"/>
      <c r="CO37" s="1038"/>
    </row>
    <row r="38" spans="2:93" ht="9" customHeight="1" x14ac:dyDescent="0.35">
      <c r="B38" s="1121"/>
      <c r="C38" s="1121"/>
      <c r="D38" s="1122"/>
      <c r="E38" s="1042" t="s">
        <v>113</v>
      </c>
      <c r="F38" s="1043"/>
      <c r="G38" s="1043"/>
      <c r="H38" s="1043"/>
      <c r="I38" s="1044"/>
      <c r="J38" s="1080" t="s">
        <v>373</v>
      </c>
      <c r="K38" s="1081"/>
      <c r="L38" s="1081" t="s">
        <v>373</v>
      </c>
      <c r="M38" s="1081"/>
      <c r="N38" s="1081" t="s">
        <v>373</v>
      </c>
      <c r="O38" s="1082"/>
      <c r="P38" s="1080" t="s">
        <v>373</v>
      </c>
      <c r="Q38" s="1081"/>
      <c r="R38" s="1081" t="s">
        <v>373</v>
      </c>
      <c r="S38" s="1081"/>
      <c r="T38" s="1081" t="s">
        <v>373</v>
      </c>
      <c r="U38" s="1082"/>
      <c r="V38" s="1074" t="s">
        <v>373</v>
      </c>
      <c r="W38" s="1075"/>
      <c r="X38" s="1075" t="s">
        <v>373</v>
      </c>
      <c r="Y38" s="1075"/>
      <c r="Z38" s="1075" t="s">
        <v>373</v>
      </c>
      <c r="AA38" s="1076"/>
      <c r="AB38" s="1077" t="s">
        <v>373</v>
      </c>
      <c r="AC38" s="1078"/>
      <c r="AD38" s="1078" t="s">
        <v>373</v>
      </c>
      <c r="AE38" s="1078"/>
      <c r="AF38" s="1078" t="s">
        <v>373</v>
      </c>
      <c r="AG38" s="1079"/>
      <c r="AH38" s="1071" t="s">
        <v>374</v>
      </c>
      <c r="AI38" s="1072"/>
      <c r="AJ38" s="1072" t="s">
        <v>373</v>
      </c>
      <c r="AK38" s="1072"/>
      <c r="AL38" s="1072" t="s">
        <v>373</v>
      </c>
      <c r="AM38" s="1073"/>
      <c r="AN38" s="188"/>
      <c r="AO38" s="188"/>
      <c r="AP38" s="188"/>
      <c r="AQ38" s="188"/>
      <c r="AR38" s="188"/>
      <c r="AS38" s="188"/>
      <c r="AT38" s="188"/>
      <c r="AW38" s="1003"/>
      <c r="AX38" s="1003"/>
      <c r="AY38" s="1004"/>
      <c r="AZ38" s="995"/>
      <c r="BA38" s="996"/>
      <c r="BB38" s="996"/>
      <c r="BC38" s="996"/>
      <c r="BD38" s="996"/>
      <c r="BE38" s="220" t="s">
        <v>373</v>
      </c>
      <c r="BF38" s="221" t="s">
        <v>373</v>
      </c>
      <c r="BG38" s="221" t="s">
        <v>373</v>
      </c>
      <c r="BH38" s="221" t="s">
        <v>373</v>
      </c>
      <c r="BI38" s="221" t="s">
        <v>373</v>
      </c>
      <c r="BJ38" s="222" t="s">
        <v>373</v>
      </c>
      <c r="BK38" s="211" t="s">
        <v>373</v>
      </c>
      <c r="BL38" s="212" t="s">
        <v>373</v>
      </c>
      <c r="BM38" s="212" t="s">
        <v>373</v>
      </c>
      <c r="BN38" s="212" t="s">
        <v>373</v>
      </c>
      <c r="BO38" s="212" t="s">
        <v>373</v>
      </c>
      <c r="BP38" s="213" t="s">
        <v>373</v>
      </c>
      <c r="BQ38" s="211" t="s">
        <v>373</v>
      </c>
      <c r="BR38" s="212" t="s">
        <v>373</v>
      </c>
      <c r="BS38" s="212" t="s">
        <v>373</v>
      </c>
      <c r="BT38" s="212" t="s">
        <v>373</v>
      </c>
      <c r="BU38" s="212" t="s">
        <v>373</v>
      </c>
      <c r="BV38" s="213" t="s">
        <v>373</v>
      </c>
      <c r="BW38" s="196" t="s">
        <v>373</v>
      </c>
      <c r="BX38" s="197" t="s">
        <v>373</v>
      </c>
      <c r="BY38" s="197" t="s">
        <v>373</v>
      </c>
      <c r="BZ38" s="197" t="s">
        <v>373</v>
      </c>
      <c r="CA38" s="197" t="s">
        <v>373</v>
      </c>
      <c r="CB38" s="198" t="s">
        <v>373</v>
      </c>
      <c r="CC38" s="199" t="s">
        <v>373</v>
      </c>
      <c r="CD38" s="200" t="s">
        <v>373</v>
      </c>
      <c r="CE38" s="200" t="s">
        <v>373</v>
      </c>
      <c r="CF38" s="200" t="s">
        <v>373</v>
      </c>
      <c r="CG38" s="200" t="s">
        <v>373</v>
      </c>
      <c r="CH38" s="201" t="s">
        <v>373</v>
      </c>
      <c r="CI38" s="187"/>
      <c r="CJ38" s="1036"/>
      <c r="CK38" s="1037"/>
      <c r="CL38" s="1037"/>
      <c r="CM38" s="1037"/>
      <c r="CN38" s="1037"/>
      <c r="CO38" s="1038"/>
    </row>
    <row r="39" spans="2:93" ht="9" customHeight="1" x14ac:dyDescent="0.35">
      <c r="B39" s="1121"/>
      <c r="C39" s="1121"/>
      <c r="D39" s="1122"/>
      <c r="E39" s="1045"/>
      <c r="F39" s="1046"/>
      <c r="G39" s="1046"/>
      <c r="H39" s="1046"/>
      <c r="I39" s="1047"/>
      <c r="J39" s="1061"/>
      <c r="K39" s="1062"/>
      <c r="L39" s="1062"/>
      <c r="M39" s="1062"/>
      <c r="N39" s="1062"/>
      <c r="O39" s="1065"/>
      <c r="P39" s="1061"/>
      <c r="Q39" s="1062"/>
      <c r="R39" s="1062"/>
      <c r="S39" s="1062"/>
      <c r="T39" s="1062"/>
      <c r="U39" s="1065"/>
      <c r="V39" s="1067"/>
      <c r="W39" s="1059"/>
      <c r="X39" s="1059"/>
      <c r="Y39" s="1059"/>
      <c r="Z39" s="1059"/>
      <c r="AA39" s="1060"/>
      <c r="AB39" s="986"/>
      <c r="AC39" s="987"/>
      <c r="AD39" s="987"/>
      <c r="AE39" s="987"/>
      <c r="AF39" s="987"/>
      <c r="AG39" s="990"/>
      <c r="AH39" s="1053"/>
      <c r="AI39" s="1054"/>
      <c r="AJ39" s="1054"/>
      <c r="AK39" s="1054"/>
      <c r="AL39" s="1054"/>
      <c r="AM39" s="1057"/>
      <c r="AN39" s="188"/>
      <c r="AO39" s="188"/>
      <c r="AP39" s="188"/>
      <c r="AQ39" s="188"/>
      <c r="AR39" s="188"/>
      <c r="AS39" s="188"/>
      <c r="AT39" s="188"/>
      <c r="AW39" s="1003"/>
      <c r="AX39" s="1003"/>
      <c r="AY39" s="1004"/>
      <c r="AZ39" s="995"/>
      <c r="BA39" s="996"/>
      <c r="BB39" s="996"/>
      <c r="BC39" s="996"/>
      <c r="BD39" s="996"/>
      <c r="BE39" s="220" t="s">
        <v>373</v>
      </c>
      <c r="BF39" s="221" t="s">
        <v>373</v>
      </c>
      <c r="BG39" s="221" t="s">
        <v>373</v>
      </c>
      <c r="BH39" s="221" t="s">
        <v>373</v>
      </c>
      <c r="BI39" s="221" t="s">
        <v>373</v>
      </c>
      <c r="BJ39" s="222" t="s">
        <v>373</v>
      </c>
      <c r="BK39" s="211" t="s">
        <v>373</v>
      </c>
      <c r="BL39" s="212" t="s">
        <v>373</v>
      </c>
      <c r="BM39" s="212" t="s">
        <v>373</v>
      </c>
      <c r="BN39" s="212" t="s">
        <v>373</v>
      </c>
      <c r="BO39" s="212" t="s">
        <v>373</v>
      </c>
      <c r="BP39" s="213" t="s">
        <v>373</v>
      </c>
      <c r="BQ39" s="211" t="s">
        <v>373</v>
      </c>
      <c r="BR39" s="212" t="s">
        <v>373</v>
      </c>
      <c r="BS39" s="212" t="s">
        <v>373</v>
      </c>
      <c r="BT39" s="212" t="s">
        <v>373</v>
      </c>
      <c r="BU39" s="212" t="s">
        <v>373</v>
      </c>
      <c r="BV39" s="213" t="s">
        <v>373</v>
      </c>
      <c r="BW39" s="196" t="s">
        <v>373</v>
      </c>
      <c r="BX39" s="197" t="s">
        <v>373</v>
      </c>
      <c r="BY39" s="197" t="s">
        <v>373</v>
      </c>
      <c r="BZ39" s="197" t="s">
        <v>373</v>
      </c>
      <c r="CA39" s="197" t="s">
        <v>373</v>
      </c>
      <c r="CB39" s="198" t="s">
        <v>373</v>
      </c>
      <c r="CC39" s="199" t="s">
        <v>373</v>
      </c>
      <c r="CD39" s="200" t="s">
        <v>373</v>
      </c>
      <c r="CE39" s="200" t="s">
        <v>373</v>
      </c>
      <c r="CF39" s="200" t="s">
        <v>373</v>
      </c>
      <c r="CG39" s="200" t="s">
        <v>373</v>
      </c>
      <c r="CH39" s="201" t="s">
        <v>373</v>
      </c>
      <c r="CI39" s="187"/>
      <c r="CJ39" s="1036"/>
      <c r="CK39" s="1037"/>
      <c r="CL39" s="1037"/>
      <c r="CM39" s="1037"/>
      <c r="CN39" s="1037"/>
      <c r="CO39" s="1038"/>
    </row>
    <row r="40" spans="2:93" ht="9" customHeight="1" x14ac:dyDescent="0.35">
      <c r="B40" s="1121"/>
      <c r="C40" s="1121"/>
      <c r="D40" s="1122"/>
      <c r="E40" s="1045"/>
      <c r="F40" s="1046"/>
      <c r="G40" s="1046"/>
      <c r="H40" s="1046"/>
      <c r="I40" s="1047"/>
      <c r="J40" s="1061" t="s">
        <v>373</v>
      </c>
      <c r="K40" s="1062"/>
      <c r="L40" s="1062" t="s">
        <v>373</v>
      </c>
      <c r="M40" s="1062"/>
      <c r="N40" s="1062" t="s">
        <v>373</v>
      </c>
      <c r="O40" s="1065"/>
      <c r="P40" s="1061" t="s">
        <v>373</v>
      </c>
      <c r="Q40" s="1062"/>
      <c r="R40" s="1062" t="s">
        <v>373</v>
      </c>
      <c r="S40" s="1062"/>
      <c r="T40" s="1062" t="s">
        <v>373</v>
      </c>
      <c r="U40" s="1065"/>
      <c r="V40" s="1067" t="s">
        <v>373</v>
      </c>
      <c r="W40" s="1059"/>
      <c r="X40" s="1059" t="s">
        <v>373</v>
      </c>
      <c r="Y40" s="1059"/>
      <c r="Z40" s="1059" t="s">
        <v>373</v>
      </c>
      <c r="AA40" s="1060"/>
      <c r="AB40" s="986" t="s">
        <v>373</v>
      </c>
      <c r="AC40" s="987"/>
      <c r="AD40" s="987" t="s">
        <v>373</v>
      </c>
      <c r="AE40" s="987"/>
      <c r="AF40" s="987" t="s">
        <v>373</v>
      </c>
      <c r="AG40" s="990"/>
      <c r="AH40" s="1053" t="s">
        <v>373</v>
      </c>
      <c r="AI40" s="1054"/>
      <c r="AJ40" s="1054" t="s">
        <v>373</v>
      </c>
      <c r="AK40" s="1054"/>
      <c r="AL40" s="1054" t="s">
        <v>373</v>
      </c>
      <c r="AM40" s="1057"/>
      <c r="AN40" s="188"/>
      <c r="AO40" s="188"/>
      <c r="AP40" s="188"/>
      <c r="AQ40" s="188"/>
      <c r="AR40" s="188"/>
      <c r="AS40" s="188"/>
      <c r="AT40" s="188"/>
      <c r="AW40" s="1003"/>
      <c r="AX40" s="1003"/>
      <c r="AY40" s="1004"/>
      <c r="AZ40" s="995"/>
      <c r="BA40" s="996"/>
      <c r="BB40" s="996"/>
      <c r="BC40" s="996"/>
      <c r="BD40" s="996"/>
      <c r="BE40" s="220" t="s">
        <v>373</v>
      </c>
      <c r="BF40" s="221" t="s">
        <v>373</v>
      </c>
      <c r="BG40" s="221" t="s">
        <v>373</v>
      </c>
      <c r="BH40" s="221" t="s">
        <v>373</v>
      </c>
      <c r="BI40" s="221" t="s">
        <v>373</v>
      </c>
      <c r="BJ40" s="222" t="s">
        <v>373</v>
      </c>
      <c r="BK40" s="211" t="s">
        <v>373</v>
      </c>
      <c r="BL40" s="212" t="s">
        <v>373</v>
      </c>
      <c r="BM40" s="212" t="s">
        <v>373</v>
      </c>
      <c r="BN40" s="212" t="s">
        <v>373</v>
      </c>
      <c r="BO40" s="212" t="s">
        <v>373</v>
      </c>
      <c r="BP40" s="213" t="s">
        <v>373</v>
      </c>
      <c r="BQ40" s="211" t="s">
        <v>373</v>
      </c>
      <c r="BR40" s="212" t="s">
        <v>373</v>
      </c>
      <c r="BS40" s="212" t="s">
        <v>373</v>
      </c>
      <c r="BT40" s="212" t="s">
        <v>373</v>
      </c>
      <c r="BU40" s="212" t="s">
        <v>373</v>
      </c>
      <c r="BV40" s="213" t="s">
        <v>373</v>
      </c>
      <c r="BW40" s="196" t="s">
        <v>373</v>
      </c>
      <c r="BX40" s="197" t="s">
        <v>373</v>
      </c>
      <c r="BY40" s="197" t="s">
        <v>373</v>
      </c>
      <c r="BZ40" s="197" t="s">
        <v>373</v>
      </c>
      <c r="CA40" s="197" t="s">
        <v>373</v>
      </c>
      <c r="CB40" s="198" t="s">
        <v>373</v>
      </c>
      <c r="CC40" s="199" t="s">
        <v>373</v>
      </c>
      <c r="CD40" s="200" t="s">
        <v>373</v>
      </c>
      <c r="CE40" s="200" t="s">
        <v>373</v>
      </c>
      <c r="CF40" s="200" t="s">
        <v>373</v>
      </c>
      <c r="CG40" s="200" t="s">
        <v>373</v>
      </c>
      <c r="CH40" s="201" t="s">
        <v>373</v>
      </c>
      <c r="CI40" s="187"/>
      <c r="CJ40" s="1036"/>
      <c r="CK40" s="1037"/>
      <c r="CL40" s="1037"/>
      <c r="CM40" s="1037"/>
      <c r="CN40" s="1037"/>
      <c r="CO40" s="1038"/>
    </row>
    <row r="41" spans="2:93" ht="9" customHeight="1" x14ac:dyDescent="0.35">
      <c r="B41" s="1121"/>
      <c r="C41" s="1121"/>
      <c r="D41" s="1122"/>
      <c r="E41" s="1045"/>
      <c r="F41" s="1046"/>
      <c r="G41" s="1046"/>
      <c r="H41" s="1046"/>
      <c r="I41" s="1047"/>
      <c r="J41" s="1061"/>
      <c r="K41" s="1062"/>
      <c r="L41" s="1062"/>
      <c r="M41" s="1062"/>
      <c r="N41" s="1062"/>
      <c r="O41" s="1065"/>
      <c r="P41" s="1061"/>
      <c r="Q41" s="1062"/>
      <c r="R41" s="1062"/>
      <c r="S41" s="1062"/>
      <c r="T41" s="1062"/>
      <c r="U41" s="1065"/>
      <c r="V41" s="1067"/>
      <c r="W41" s="1059"/>
      <c r="X41" s="1059"/>
      <c r="Y41" s="1059"/>
      <c r="Z41" s="1059"/>
      <c r="AA41" s="1060"/>
      <c r="AB41" s="986"/>
      <c r="AC41" s="987"/>
      <c r="AD41" s="987"/>
      <c r="AE41" s="987"/>
      <c r="AF41" s="987"/>
      <c r="AG41" s="990"/>
      <c r="AH41" s="1053"/>
      <c r="AI41" s="1054"/>
      <c r="AJ41" s="1054"/>
      <c r="AK41" s="1054"/>
      <c r="AL41" s="1054"/>
      <c r="AM41" s="1057"/>
      <c r="AN41" s="188"/>
      <c r="AO41" s="188"/>
      <c r="AP41" s="188"/>
      <c r="AQ41" s="188"/>
      <c r="AR41" s="188"/>
      <c r="AS41" s="188"/>
      <c r="AT41" s="188"/>
      <c r="AW41" s="1003"/>
      <c r="AX41" s="1003"/>
      <c r="AY41" s="1004"/>
      <c r="AZ41" s="995"/>
      <c r="BA41" s="996"/>
      <c r="BB41" s="996"/>
      <c r="BC41" s="996"/>
      <c r="BD41" s="996"/>
      <c r="BE41" s="220" t="s">
        <v>373</v>
      </c>
      <c r="BF41" s="221" t="s">
        <v>373</v>
      </c>
      <c r="BG41" s="221" t="s">
        <v>373</v>
      </c>
      <c r="BH41" s="221" t="s">
        <v>373</v>
      </c>
      <c r="BI41" s="221" t="s">
        <v>373</v>
      </c>
      <c r="BJ41" s="222" t="s">
        <v>373</v>
      </c>
      <c r="BK41" s="211" t="s">
        <v>373</v>
      </c>
      <c r="BL41" s="212" t="s">
        <v>373</v>
      </c>
      <c r="BM41" s="212" t="s">
        <v>373</v>
      </c>
      <c r="BN41" s="212" t="s">
        <v>373</v>
      </c>
      <c r="BO41" s="212" t="s">
        <v>373</v>
      </c>
      <c r="BP41" s="213" t="s">
        <v>373</v>
      </c>
      <c r="BQ41" s="211" t="s">
        <v>373</v>
      </c>
      <c r="BR41" s="212" t="s">
        <v>373</v>
      </c>
      <c r="BS41" s="212" t="s">
        <v>373</v>
      </c>
      <c r="BT41" s="212" t="s">
        <v>373</v>
      </c>
      <c r="BU41" s="212" t="s">
        <v>373</v>
      </c>
      <c r="BV41" s="213" t="s">
        <v>373</v>
      </c>
      <c r="BW41" s="196" t="s">
        <v>373</v>
      </c>
      <c r="BX41" s="197" t="s">
        <v>373</v>
      </c>
      <c r="BY41" s="197" t="s">
        <v>373</v>
      </c>
      <c r="BZ41" s="197" t="s">
        <v>373</v>
      </c>
      <c r="CA41" s="197" t="s">
        <v>373</v>
      </c>
      <c r="CB41" s="198" t="s">
        <v>373</v>
      </c>
      <c r="CC41" s="199" t="s">
        <v>373</v>
      </c>
      <c r="CD41" s="200" t="s">
        <v>373</v>
      </c>
      <c r="CE41" s="200" t="s">
        <v>373</v>
      </c>
      <c r="CF41" s="200" t="s">
        <v>373</v>
      </c>
      <c r="CG41" s="200" t="s">
        <v>373</v>
      </c>
      <c r="CH41" s="201" t="s">
        <v>373</v>
      </c>
      <c r="CI41" s="187"/>
      <c r="CJ41" s="1036"/>
      <c r="CK41" s="1037"/>
      <c r="CL41" s="1037"/>
      <c r="CM41" s="1037"/>
      <c r="CN41" s="1037"/>
      <c r="CO41" s="1038"/>
    </row>
    <row r="42" spans="2:93" ht="9" customHeight="1" x14ac:dyDescent="0.35">
      <c r="B42" s="1121"/>
      <c r="C42" s="1121"/>
      <c r="D42" s="1122"/>
      <c r="E42" s="1045"/>
      <c r="F42" s="1046"/>
      <c r="G42" s="1046"/>
      <c r="H42" s="1046"/>
      <c r="I42" s="1047"/>
      <c r="J42" s="1061" t="s">
        <v>373</v>
      </c>
      <c r="K42" s="1062"/>
      <c r="L42" s="1062" t="s">
        <v>373</v>
      </c>
      <c r="M42" s="1062"/>
      <c r="N42" s="1062" t="s">
        <v>373</v>
      </c>
      <c r="O42" s="1065"/>
      <c r="P42" s="1061" t="s">
        <v>373</v>
      </c>
      <c r="Q42" s="1062"/>
      <c r="R42" s="1062" t="s">
        <v>373</v>
      </c>
      <c r="S42" s="1062"/>
      <c r="T42" s="1062" t="s">
        <v>373</v>
      </c>
      <c r="U42" s="1065"/>
      <c r="V42" s="1067" t="s">
        <v>373</v>
      </c>
      <c r="W42" s="1059"/>
      <c r="X42" s="1059" t="s">
        <v>373</v>
      </c>
      <c r="Y42" s="1059"/>
      <c r="Z42" s="1059" t="s">
        <v>373</v>
      </c>
      <c r="AA42" s="1060"/>
      <c r="AB42" s="986" t="s">
        <v>373</v>
      </c>
      <c r="AC42" s="987"/>
      <c r="AD42" s="987" t="s">
        <v>373</v>
      </c>
      <c r="AE42" s="987"/>
      <c r="AF42" s="987" t="s">
        <v>373</v>
      </c>
      <c r="AG42" s="990"/>
      <c r="AH42" s="1053" t="s">
        <v>373</v>
      </c>
      <c r="AI42" s="1054"/>
      <c r="AJ42" s="1054" t="s">
        <v>373</v>
      </c>
      <c r="AK42" s="1054"/>
      <c r="AL42" s="1054" t="s">
        <v>373</v>
      </c>
      <c r="AM42" s="1057"/>
      <c r="AN42" s="188"/>
      <c r="AO42" s="188"/>
      <c r="AP42" s="188"/>
      <c r="AQ42" s="188"/>
      <c r="AR42" s="188"/>
      <c r="AS42" s="188"/>
      <c r="AT42" s="188"/>
      <c r="AW42" s="1003"/>
      <c r="AX42" s="1003"/>
      <c r="AY42" s="1004"/>
      <c r="AZ42" s="995"/>
      <c r="BA42" s="996"/>
      <c r="BB42" s="996"/>
      <c r="BC42" s="996"/>
      <c r="BD42" s="996"/>
      <c r="BE42" s="220" t="s">
        <v>373</v>
      </c>
      <c r="BF42" s="221" t="s">
        <v>373</v>
      </c>
      <c r="BG42" s="221" t="s">
        <v>373</v>
      </c>
      <c r="BH42" s="221" t="s">
        <v>373</v>
      </c>
      <c r="BI42" s="221" t="s">
        <v>373</v>
      </c>
      <c r="BJ42" s="222" t="s">
        <v>373</v>
      </c>
      <c r="BK42" s="211" t="s">
        <v>373</v>
      </c>
      <c r="BL42" s="212" t="s">
        <v>373</v>
      </c>
      <c r="BM42" s="212" t="s">
        <v>373</v>
      </c>
      <c r="BN42" s="212" t="s">
        <v>373</v>
      </c>
      <c r="BO42" s="212" t="s">
        <v>373</v>
      </c>
      <c r="BP42" s="213" t="s">
        <v>373</v>
      </c>
      <c r="BQ42" s="211" t="s">
        <v>373</v>
      </c>
      <c r="BR42" s="212" t="s">
        <v>373</v>
      </c>
      <c r="BS42" s="212" t="s">
        <v>373</v>
      </c>
      <c r="BT42" s="212" t="s">
        <v>373</v>
      </c>
      <c r="BU42" s="212" t="s">
        <v>373</v>
      </c>
      <c r="BV42" s="213" t="s">
        <v>373</v>
      </c>
      <c r="BW42" s="196" t="s">
        <v>373</v>
      </c>
      <c r="BX42" s="197" t="s">
        <v>373</v>
      </c>
      <c r="BY42" s="197" t="s">
        <v>373</v>
      </c>
      <c r="BZ42" s="197" t="s">
        <v>373</v>
      </c>
      <c r="CA42" s="197" t="s">
        <v>373</v>
      </c>
      <c r="CB42" s="198" t="s">
        <v>373</v>
      </c>
      <c r="CC42" s="199" t="s">
        <v>373</v>
      </c>
      <c r="CD42" s="200" t="s">
        <v>373</v>
      </c>
      <c r="CE42" s="200" t="s">
        <v>373</v>
      </c>
      <c r="CF42" s="200" t="s">
        <v>373</v>
      </c>
      <c r="CG42" s="200" t="s">
        <v>373</v>
      </c>
      <c r="CH42" s="201" t="s">
        <v>373</v>
      </c>
      <c r="CI42" s="187"/>
      <c r="CJ42" s="1036"/>
      <c r="CK42" s="1037"/>
      <c r="CL42" s="1037"/>
      <c r="CM42" s="1037"/>
      <c r="CN42" s="1037"/>
      <c r="CO42" s="1038"/>
    </row>
    <row r="43" spans="2:93" ht="9" customHeight="1" x14ac:dyDescent="0.35">
      <c r="B43" s="1121"/>
      <c r="C43" s="1121"/>
      <c r="D43" s="1122"/>
      <c r="E43" s="1045"/>
      <c r="F43" s="1046"/>
      <c r="G43" s="1046"/>
      <c r="H43" s="1046"/>
      <c r="I43" s="1047"/>
      <c r="J43" s="1061"/>
      <c r="K43" s="1062"/>
      <c r="L43" s="1062"/>
      <c r="M43" s="1062"/>
      <c r="N43" s="1062"/>
      <c r="O43" s="1065"/>
      <c r="P43" s="1061"/>
      <c r="Q43" s="1062"/>
      <c r="R43" s="1062"/>
      <c r="S43" s="1062"/>
      <c r="T43" s="1062"/>
      <c r="U43" s="1065"/>
      <c r="V43" s="1067"/>
      <c r="W43" s="1059"/>
      <c r="X43" s="1059"/>
      <c r="Y43" s="1059"/>
      <c r="Z43" s="1059"/>
      <c r="AA43" s="1060"/>
      <c r="AB43" s="986"/>
      <c r="AC43" s="987"/>
      <c r="AD43" s="987"/>
      <c r="AE43" s="987"/>
      <c r="AF43" s="987"/>
      <c r="AG43" s="990"/>
      <c r="AH43" s="1053"/>
      <c r="AI43" s="1054"/>
      <c r="AJ43" s="1054"/>
      <c r="AK43" s="1054"/>
      <c r="AL43" s="1054"/>
      <c r="AM43" s="1057"/>
      <c r="AN43" s="188"/>
      <c r="AO43" s="188"/>
      <c r="AP43" s="188"/>
      <c r="AQ43" s="188"/>
      <c r="AR43" s="188"/>
      <c r="AS43" s="188"/>
      <c r="AT43" s="188"/>
      <c r="AW43" s="1003"/>
      <c r="AX43" s="1003"/>
      <c r="AY43" s="1004"/>
      <c r="AZ43" s="995"/>
      <c r="BA43" s="996"/>
      <c r="BB43" s="996"/>
      <c r="BC43" s="996"/>
      <c r="BD43" s="996"/>
      <c r="BE43" s="220" t="s">
        <v>373</v>
      </c>
      <c r="BF43" s="221" t="s">
        <v>373</v>
      </c>
      <c r="BG43" s="221" t="s">
        <v>373</v>
      </c>
      <c r="BH43" s="221" t="s">
        <v>373</v>
      </c>
      <c r="BI43" s="221" t="s">
        <v>373</v>
      </c>
      <c r="BJ43" s="222" t="s">
        <v>373</v>
      </c>
      <c r="BK43" s="211" t="s">
        <v>373</v>
      </c>
      <c r="BL43" s="212" t="s">
        <v>373</v>
      </c>
      <c r="BM43" s="212" t="s">
        <v>373</v>
      </c>
      <c r="BN43" s="212" t="s">
        <v>373</v>
      </c>
      <c r="BO43" s="212" t="s">
        <v>373</v>
      </c>
      <c r="BP43" s="213" t="s">
        <v>373</v>
      </c>
      <c r="BQ43" s="211" t="s">
        <v>373</v>
      </c>
      <c r="BR43" s="212" t="s">
        <v>373</v>
      </c>
      <c r="BS43" s="212" t="s">
        <v>373</v>
      </c>
      <c r="BT43" s="212" t="s">
        <v>373</v>
      </c>
      <c r="BU43" s="212" t="s">
        <v>373</v>
      </c>
      <c r="BV43" s="213" t="s">
        <v>373</v>
      </c>
      <c r="BW43" s="196" t="s">
        <v>373</v>
      </c>
      <c r="BX43" s="197" t="s">
        <v>373</v>
      </c>
      <c r="BY43" s="197" t="s">
        <v>373</v>
      </c>
      <c r="BZ43" s="197" t="s">
        <v>373</v>
      </c>
      <c r="CA43" s="197" t="s">
        <v>373</v>
      </c>
      <c r="CB43" s="198" t="s">
        <v>373</v>
      </c>
      <c r="CC43" s="199" t="s">
        <v>373</v>
      </c>
      <c r="CD43" s="200" t="s">
        <v>373</v>
      </c>
      <c r="CE43" s="200" t="s">
        <v>373</v>
      </c>
      <c r="CF43" s="200" t="s">
        <v>373</v>
      </c>
      <c r="CG43" s="200" t="s">
        <v>373</v>
      </c>
      <c r="CH43" s="201" t="s">
        <v>373</v>
      </c>
      <c r="CI43" s="187"/>
      <c r="CJ43" s="1036"/>
      <c r="CK43" s="1037"/>
      <c r="CL43" s="1037"/>
      <c r="CM43" s="1037"/>
      <c r="CN43" s="1037"/>
      <c r="CO43" s="1038"/>
    </row>
    <row r="44" spans="2:93" ht="9" customHeight="1" x14ac:dyDescent="0.35">
      <c r="B44" s="1121"/>
      <c r="C44" s="1121"/>
      <c r="D44" s="1122"/>
      <c r="E44" s="1045"/>
      <c r="F44" s="1046"/>
      <c r="G44" s="1046"/>
      <c r="H44" s="1046"/>
      <c r="I44" s="1047"/>
      <c r="J44" s="1061" t="s">
        <v>373</v>
      </c>
      <c r="K44" s="1062"/>
      <c r="L44" s="1062" t="s">
        <v>373</v>
      </c>
      <c r="M44" s="1062"/>
      <c r="N44" s="1062" t="s">
        <v>373</v>
      </c>
      <c r="O44" s="1065"/>
      <c r="P44" s="1061" t="s">
        <v>373</v>
      </c>
      <c r="Q44" s="1062"/>
      <c r="R44" s="1062" t="s">
        <v>373</v>
      </c>
      <c r="S44" s="1062"/>
      <c r="T44" s="1062" t="s">
        <v>373</v>
      </c>
      <c r="U44" s="1065"/>
      <c r="V44" s="1067" t="s">
        <v>373</v>
      </c>
      <c r="W44" s="1059"/>
      <c r="X44" s="1059" t="s">
        <v>373</v>
      </c>
      <c r="Y44" s="1059"/>
      <c r="Z44" s="1059" t="s">
        <v>373</v>
      </c>
      <c r="AA44" s="1060"/>
      <c r="AB44" s="986" t="s">
        <v>373</v>
      </c>
      <c r="AC44" s="987"/>
      <c r="AD44" s="987" t="s">
        <v>373</v>
      </c>
      <c r="AE44" s="987"/>
      <c r="AF44" s="987" t="s">
        <v>373</v>
      </c>
      <c r="AG44" s="990"/>
      <c r="AH44" s="1053" t="s">
        <v>373</v>
      </c>
      <c r="AI44" s="1054"/>
      <c r="AJ44" s="1054" t="s">
        <v>373</v>
      </c>
      <c r="AK44" s="1054"/>
      <c r="AL44" s="1054" t="s">
        <v>373</v>
      </c>
      <c r="AM44" s="1057"/>
      <c r="AN44" s="188"/>
      <c r="AO44" s="188"/>
      <c r="AP44" s="188"/>
      <c r="AQ44" s="188"/>
      <c r="AR44" s="188"/>
      <c r="AS44" s="188"/>
      <c r="AT44" s="188"/>
      <c r="AW44" s="1003"/>
      <c r="AX44" s="1003"/>
      <c r="AY44" s="1004"/>
      <c r="AZ44" s="995"/>
      <c r="BA44" s="996"/>
      <c r="BB44" s="996"/>
      <c r="BC44" s="996"/>
      <c r="BD44" s="996"/>
      <c r="BE44" s="220" t="s">
        <v>373</v>
      </c>
      <c r="BF44" s="221" t="s">
        <v>373</v>
      </c>
      <c r="BG44" s="221" t="s">
        <v>373</v>
      </c>
      <c r="BH44" s="221" t="s">
        <v>373</v>
      </c>
      <c r="BI44" s="221" t="s">
        <v>373</v>
      </c>
      <c r="BJ44" s="222" t="s">
        <v>373</v>
      </c>
      <c r="BK44" s="211" t="s">
        <v>373</v>
      </c>
      <c r="BL44" s="212" t="s">
        <v>373</v>
      </c>
      <c r="BM44" s="212" t="s">
        <v>373</v>
      </c>
      <c r="BN44" s="212" t="s">
        <v>373</v>
      </c>
      <c r="BO44" s="212" t="s">
        <v>373</v>
      </c>
      <c r="BP44" s="213" t="s">
        <v>373</v>
      </c>
      <c r="BQ44" s="211" t="s">
        <v>373</v>
      </c>
      <c r="BR44" s="212" t="s">
        <v>373</v>
      </c>
      <c r="BS44" s="212" t="s">
        <v>373</v>
      </c>
      <c r="BT44" s="212" t="s">
        <v>373</v>
      </c>
      <c r="BU44" s="212" t="s">
        <v>373</v>
      </c>
      <c r="BV44" s="213" t="s">
        <v>373</v>
      </c>
      <c r="BW44" s="196" t="s">
        <v>373</v>
      </c>
      <c r="BX44" s="197" t="s">
        <v>373</v>
      </c>
      <c r="BY44" s="197" t="s">
        <v>373</v>
      </c>
      <c r="BZ44" s="197" t="s">
        <v>373</v>
      </c>
      <c r="CA44" s="197" t="s">
        <v>373</v>
      </c>
      <c r="CB44" s="198" t="s">
        <v>373</v>
      </c>
      <c r="CC44" s="199" t="s">
        <v>373</v>
      </c>
      <c r="CD44" s="200" t="s">
        <v>373</v>
      </c>
      <c r="CE44" s="200" t="s">
        <v>373</v>
      </c>
      <c r="CF44" s="200" t="s">
        <v>373</v>
      </c>
      <c r="CG44" s="200" t="s">
        <v>373</v>
      </c>
      <c r="CH44" s="201" t="s">
        <v>373</v>
      </c>
      <c r="CI44" s="187"/>
      <c r="CJ44" s="1036"/>
      <c r="CK44" s="1037"/>
      <c r="CL44" s="1037"/>
      <c r="CM44" s="1037"/>
      <c r="CN44" s="1037"/>
      <c r="CO44" s="1038"/>
    </row>
    <row r="45" spans="2:93" ht="9" customHeight="1" thickBot="1" x14ac:dyDescent="0.4">
      <c r="B45" s="1121"/>
      <c r="C45" s="1121"/>
      <c r="D45" s="1122"/>
      <c r="E45" s="1048"/>
      <c r="F45" s="1049"/>
      <c r="G45" s="1049"/>
      <c r="H45" s="1049"/>
      <c r="I45" s="1050"/>
      <c r="J45" s="1063"/>
      <c r="K45" s="1064"/>
      <c r="L45" s="1064"/>
      <c r="M45" s="1064"/>
      <c r="N45" s="1064"/>
      <c r="O45" s="1066"/>
      <c r="P45" s="1063"/>
      <c r="Q45" s="1064"/>
      <c r="R45" s="1064"/>
      <c r="S45" s="1064"/>
      <c r="T45" s="1064"/>
      <c r="U45" s="1066"/>
      <c r="V45" s="1068"/>
      <c r="W45" s="1069"/>
      <c r="X45" s="1069"/>
      <c r="Y45" s="1069"/>
      <c r="Z45" s="1069"/>
      <c r="AA45" s="1070"/>
      <c r="AB45" s="988"/>
      <c r="AC45" s="989"/>
      <c r="AD45" s="989"/>
      <c r="AE45" s="989"/>
      <c r="AF45" s="989"/>
      <c r="AG45" s="991"/>
      <c r="AH45" s="1055"/>
      <c r="AI45" s="1056"/>
      <c r="AJ45" s="1056"/>
      <c r="AK45" s="1056"/>
      <c r="AL45" s="1056"/>
      <c r="AM45" s="1058"/>
      <c r="AN45" s="188"/>
      <c r="AO45" s="188"/>
      <c r="AP45" s="188"/>
      <c r="AQ45" s="188"/>
      <c r="AR45" s="188"/>
      <c r="AS45" s="188"/>
      <c r="AT45" s="188"/>
      <c r="AW45" s="1003"/>
      <c r="AX45" s="1003"/>
      <c r="AY45" s="1004"/>
      <c r="AZ45" s="998"/>
      <c r="BA45" s="999"/>
      <c r="BB45" s="999"/>
      <c r="BC45" s="999"/>
      <c r="BD45" s="999"/>
      <c r="BE45" s="223" t="s">
        <v>373</v>
      </c>
      <c r="BF45" s="224" t="s">
        <v>373</v>
      </c>
      <c r="BG45" s="224" t="s">
        <v>373</v>
      </c>
      <c r="BH45" s="224" t="s">
        <v>373</v>
      </c>
      <c r="BI45" s="224" t="s">
        <v>373</v>
      </c>
      <c r="BJ45" s="225" t="s">
        <v>373</v>
      </c>
      <c r="BK45" s="211" t="s">
        <v>373</v>
      </c>
      <c r="BL45" s="212" t="s">
        <v>373</v>
      </c>
      <c r="BM45" s="212" t="s">
        <v>373</v>
      </c>
      <c r="BN45" s="212" t="s">
        <v>373</v>
      </c>
      <c r="BO45" s="212" t="s">
        <v>373</v>
      </c>
      <c r="BP45" s="213" t="s">
        <v>373</v>
      </c>
      <c r="BQ45" s="214" t="s">
        <v>373</v>
      </c>
      <c r="BR45" s="215" t="s">
        <v>373</v>
      </c>
      <c r="BS45" s="215" t="s">
        <v>373</v>
      </c>
      <c r="BT45" s="215" t="s">
        <v>373</v>
      </c>
      <c r="BU45" s="215" t="s">
        <v>373</v>
      </c>
      <c r="BV45" s="216" t="s">
        <v>373</v>
      </c>
      <c r="BW45" s="202" t="s">
        <v>373</v>
      </c>
      <c r="BX45" s="203" t="s">
        <v>373</v>
      </c>
      <c r="BY45" s="203" t="s">
        <v>373</v>
      </c>
      <c r="BZ45" s="203" t="s">
        <v>373</v>
      </c>
      <c r="CA45" s="203" t="s">
        <v>373</v>
      </c>
      <c r="CB45" s="204" t="s">
        <v>373</v>
      </c>
      <c r="CC45" s="205" t="s">
        <v>373</v>
      </c>
      <c r="CD45" s="206" t="s">
        <v>373</v>
      </c>
      <c r="CE45" s="206" t="s">
        <v>373</v>
      </c>
      <c r="CF45" s="206" t="s">
        <v>373</v>
      </c>
      <c r="CG45" s="206" t="s">
        <v>373</v>
      </c>
      <c r="CH45" s="207" t="s">
        <v>373</v>
      </c>
      <c r="CI45" s="187"/>
      <c r="CJ45" s="1039"/>
      <c r="CK45" s="1040"/>
      <c r="CL45" s="1040"/>
      <c r="CM45" s="1040"/>
      <c r="CN45" s="1040"/>
      <c r="CO45" s="1041"/>
    </row>
    <row r="46" spans="2:93" ht="9" customHeight="1" x14ac:dyDescent="0.35">
      <c r="B46" s="188"/>
      <c r="C46" s="188"/>
      <c r="D46" s="188"/>
      <c r="E46" s="188"/>
      <c r="F46" s="188"/>
      <c r="G46" s="188"/>
      <c r="H46" s="188"/>
      <c r="I46" s="188"/>
      <c r="J46" s="1042" t="s">
        <v>112</v>
      </c>
      <c r="K46" s="1043"/>
      <c r="L46" s="1043"/>
      <c r="M46" s="1043"/>
      <c r="N46" s="1043"/>
      <c r="O46" s="1044"/>
      <c r="P46" s="1042" t="s">
        <v>111</v>
      </c>
      <c r="Q46" s="1043"/>
      <c r="R46" s="1043"/>
      <c r="S46" s="1043"/>
      <c r="T46" s="1043"/>
      <c r="U46" s="1044"/>
      <c r="V46" s="1042" t="s">
        <v>110</v>
      </c>
      <c r="W46" s="1043"/>
      <c r="X46" s="1043"/>
      <c r="Y46" s="1043"/>
      <c r="Z46" s="1043"/>
      <c r="AA46" s="1044"/>
      <c r="AB46" s="1042" t="s">
        <v>109</v>
      </c>
      <c r="AC46" s="1051"/>
      <c r="AD46" s="1043"/>
      <c r="AE46" s="1043"/>
      <c r="AF46" s="1043"/>
      <c r="AG46" s="1044"/>
      <c r="AH46" s="1042" t="s">
        <v>108</v>
      </c>
      <c r="AI46" s="1043"/>
      <c r="AJ46" s="1043"/>
      <c r="AK46" s="1043"/>
      <c r="AL46" s="1043"/>
      <c r="AM46" s="1044"/>
      <c r="AN46" s="188"/>
      <c r="AO46" s="188"/>
      <c r="AP46" s="188"/>
      <c r="AQ46" s="188"/>
      <c r="AR46" s="188"/>
      <c r="AS46" s="188"/>
      <c r="AT46" s="188"/>
      <c r="AW46" s="1003"/>
      <c r="AX46" s="1003"/>
      <c r="AY46" s="1004"/>
      <c r="AZ46" s="992" t="s">
        <v>113</v>
      </c>
      <c r="BA46" s="993"/>
      <c r="BB46" s="993"/>
      <c r="BC46" s="993"/>
      <c r="BD46" s="994"/>
      <c r="BE46" s="217" t="s">
        <v>373</v>
      </c>
      <c r="BF46" s="218" t="s">
        <v>373</v>
      </c>
      <c r="BG46" s="218" t="s">
        <v>373</v>
      </c>
      <c r="BH46" s="218" t="s">
        <v>373</v>
      </c>
      <c r="BI46" s="218" t="s">
        <v>373</v>
      </c>
      <c r="BJ46" s="219" t="s">
        <v>373</v>
      </c>
      <c r="BK46" s="217" t="s">
        <v>373</v>
      </c>
      <c r="BL46" s="218" t="s">
        <v>373</v>
      </c>
      <c r="BM46" s="218" t="s">
        <v>373</v>
      </c>
      <c r="BN46" s="218" t="s">
        <v>373</v>
      </c>
      <c r="BO46" s="218" t="s">
        <v>373</v>
      </c>
      <c r="BP46" s="219" t="s">
        <v>373</v>
      </c>
      <c r="BQ46" s="208" t="s">
        <v>373</v>
      </c>
      <c r="BR46" s="209" t="s">
        <v>373</v>
      </c>
      <c r="BS46" s="209" t="s">
        <v>373</v>
      </c>
      <c r="BT46" s="209" t="s">
        <v>373</v>
      </c>
      <c r="BU46" s="209" t="s">
        <v>373</v>
      </c>
      <c r="BV46" s="210" t="s">
        <v>373</v>
      </c>
      <c r="BW46" s="190" t="s">
        <v>373</v>
      </c>
      <c r="BX46" s="191" t="s">
        <v>373</v>
      </c>
      <c r="BY46" s="191" t="s">
        <v>373</v>
      </c>
      <c r="BZ46" s="191" t="s">
        <v>373</v>
      </c>
      <c r="CA46" s="191" t="s">
        <v>373</v>
      </c>
      <c r="CB46" s="192" t="s">
        <v>373</v>
      </c>
      <c r="CC46" s="193" t="s">
        <v>375</v>
      </c>
      <c r="CD46" s="194" t="s">
        <v>373</v>
      </c>
      <c r="CE46" s="194" t="s">
        <v>373</v>
      </c>
      <c r="CF46" s="194" t="s">
        <v>373</v>
      </c>
      <c r="CG46" s="194" t="s">
        <v>373</v>
      </c>
      <c r="CH46" s="195" t="s">
        <v>373</v>
      </c>
      <c r="CI46" s="187"/>
      <c r="CJ46" s="187"/>
      <c r="CK46" s="187"/>
      <c r="CL46" s="187"/>
      <c r="CM46" s="187"/>
      <c r="CN46" s="187"/>
      <c r="CO46" s="187"/>
    </row>
    <row r="47" spans="2:93" ht="9" customHeight="1" x14ac:dyDescent="0.35">
      <c r="B47" s="188"/>
      <c r="C47" s="188"/>
      <c r="D47" s="188"/>
      <c r="E47" s="188"/>
      <c r="F47" s="188"/>
      <c r="G47" s="188"/>
      <c r="H47" s="188"/>
      <c r="I47" s="188"/>
      <c r="J47" s="1045"/>
      <c r="K47" s="1046"/>
      <c r="L47" s="1046"/>
      <c r="M47" s="1046"/>
      <c r="N47" s="1046"/>
      <c r="O47" s="1047"/>
      <c r="P47" s="1045"/>
      <c r="Q47" s="1046"/>
      <c r="R47" s="1046"/>
      <c r="S47" s="1046"/>
      <c r="T47" s="1046"/>
      <c r="U47" s="1047"/>
      <c r="V47" s="1045"/>
      <c r="W47" s="1046"/>
      <c r="X47" s="1046"/>
      <c r="Y47" s="1046"/>
      <c r="Z47" s="1046"/>
      <c r="AA47" s="1047"/>
      <c r="AB47" s="1045"/>
      <c r="AC47" s="1046"/>
      <c r="AD47" s="1046"/>
      <c r="AE47" s="1046"/>
      <c r="AF47" s="1046"/>
      <c r="AG47" s="1047"/>
      <c r="AH47" s="1045"/>
      <c r="AI47" s="1046"/>
      <c r="AJ47" s="1046"/>
      <c r="AK47" s="1046"/>
      <c r="AL47" s="1046"/>
      <c r="AM47" s="1047"/>
      <c r="AN47" s="188"/>
      <c r="AO47" s="188"/>
      <c r="AP47" s="188"/>
      <c r="AQ47" s="188"/>
      <c r="AR47" s="188"/>
      <c r="AS47" s="188"/>
      <c r="AT47" s="188"/>
      <c r="AW47" s="1003"/>
      <c r="AX47" s="1003"/>
      <c r="AY47" s="1004"/>
      <c r="AZ47" s="1014"/>
      <c r="BA47" s="996"/>
      <c r="BB47" s="996"/>
      <c r="BC47" s="996"/>
      <c r="BD47" s="997"/>
      <c r="BE47" s="220" t="s">
        <v>373</v>
      </c>
      <c r="BF47" s="221" t="s">
        <v>373</v>
      </c>
      <c r="BG47" s="221" t="s">
        <v>373</v>
      </c>
      <c r="BH47" s="221" t="s">
        <v>373</v>
      </c>
      <c r="BI47" s="221" t="s">
        <v>373</v>
      </c>
      <c r="BJ47" s="222" t="s">
        <v>373</v>
      </c>
      <c r="BK47" s="220" t="s">
        <v>373</v>
      </c>
      <c r="BL47" s="221" t="s">
        <v>373</v>
      </c>
      <c r="BM47" s="221" t="s">
        <v>373</v>
      </c>
      <c r="BN47" s="221" t="s">
        <v>373</v>
      </c>
      <c r="BO47" s="221" t="s">
        <v>373</v>
      </c>
      <c r="BP47" s="222" t="s">
        <v>373</v>
      </c>
      <c r="BQ47" s="211" t="s">
        <v>373</v>
      </c>
      <c r="BR47" s="212" t="s">
        <v>373</v>
      </c>
      <c r="BS47" s="212" t="s">
        <v>373</v>
      </c>
      <c r="BT47" s="212" t="s">
        <v>373</v>
      </c>
      <c r="BU47" s="212" t="s">
        <v>373</v>
      </c>
      <c r="BV47" s="213" t="s">
        <v>373</v>
      </c>
      <c r="BW47" s="196" t="s">
        <v>373</v>
      </c>
      <c r="BX47" s="197" t="s">
        <v>373</v>
      </c>
      <c r="BY47" s="197" t="s">
        <v>373</v>
      </c>
      <c r="BZ47" s="197" t="s">
        <v>373</v>
      </c>
      <c r="CA47" s="197" t="s">
        <v>373</v>
      </c>
      <c r="CB47" s="198" t="s">
        <v>373</v>
      </c>
      <c r="CC47" s="199" t="s">
        <v>373</v>
      </c>
      <c r="CD47" s="200" t="s">
        <v>373</v>
      </c>
      <c r="CE47" s="200" t="s">
        <v>373</v>
      </c>
      <c r="CF47" s="200" t="s">
        <v>373</v>
      </c>
      <c r="CG47" s="200" t="s">
        <v>373</v>
      </c>
      <c r="CH47" s="201" t="s">
        <v>373</v>
      </c>
      <c r="CI47" s="187"/>
      <c r="CJ47" s="187"/>
      <c r="CK47" s="187"/>
      <c r="CL47" s="187"/>
      <c r="CM47" s="187"/>
      <c r="CN47" s="187"/>
      <c r="CO47" s="187"/>
    </row>
    <row r="48" spans="2:93" ht="9" customHeight="1" x14ac:dyDescent="0.35">
      <c r="B48" s="188"/>
      <c r="C48" s="188"/>
      <c r="D48" s="188"/>
      <c r="E48" s="188"/>
      <c r="F48" s="188"/>
      <c r="G48" s="188"/>
      <c r="H48" s="188"/>
      <c r="I48" s="188"/>
      <c r="J48" s="1045"/>
      <c r="K48" s="1046"/>
      <c r="L48" s="1046"/>
      <c r="M48" s="1046"/>
      <c r="N48" s="1046"/>
      <c r="O48" s="1047"/>
      <c r="P48" s="1045"/>
      <c r="Q48" s="1046"/>
      <c r="R48" s="1046"/>
      <c r="S48" s="1046"/>
      <c r="T48" s="1046"/>
      <c r="U48" s="1047"/>
      <c r="V48" s="1045"/>
      <c r="W48" s="1046"/>
      <c r="X48" s="1046"/>
      <c r="Y48" s="1046"/>
      <c r="Z48" s="1046"/>
      <c r="AA48" s="1047"/>
      <c r="AB48" s="1045"/>
      <c r="AC48" s="1046"/>
      <c r="AD48" s="1046"/>
      <c r="AE48" s="1046"/>
      <c r="AF48" s="1046"/>
      <c r="AG48" s="1047"/>
      <c r="AH48" s="1045"/>
      <c r="AI48" s="1046"/>
      <c r="AJ48" s="1046"/>
      <c r="AK48" s="1046"/>
      <c r="AL48" s="1046"/>
      <c r="AM48" s="1047"/>
      <c r="AN48" s="188"/>
      <c r="AO48" s="188"/>
      <c r="AP48" s="188"/>
      <c r="AQ48" s="188"/>
      <c r="AR48" s="188"/>
      <c r="AS48" s="188"/>
      <c r="AT48" s="188"/>
      <c r="AW48" s="1003"/>
      <c r="AX48" s="1003"/>
      <c r="AY48" s="1004"/>
      <c r="AZ48" s="1014"/>
      <c r="BA48" s="996"/>
      <c r="BB48" s="996"/>
      <c r="BC48" s="996"/>
      <c r="BD48" s="997"/>
      <c r="BE48" s="220" t="s">
        <v>373</v>
      </c>
      <c r="BF48" s="221" t="s">
        <v>373</v>
      </c>
      <c r="BG48" s="221" t="s">
        <v>373</v>
      </c>
      <c r="BH48" s="221" t="s">
        <v>373</v>
      </c>
      <c r="BI48" s="221" t="s">
        <v>373</v>
      </c>
      <c r="BJ48" s="222" t="s">
        <v>373</v>
      </c>
      <c r="BK48" s="220" t="s">
        <v>373</v>
      </c>
      <c r="BL48" s="221" t="s">
        <v>373</v>
      </c>
      <c r="BM48" s="221" t="s">
        <v>373</v>
      </c>
      <c r="BN48" s="221" t="s">
        <v>373</v>
      </c>
      <c r="BO48" s="221" t="s">
        <v>373</v>
      </c>
      <c r="BP48" s="222" t="s">
        <v>373</v>
      </c>
      <c r="BQ48" s="211" t="s">
        <v>373</v>
      </c>
      <c r="BR48" s="212" t="s">
        <v>373</v>
      </c>
      <c r="BS48" s="212" t="s">
        <v>373</v>
      </c>
      <c r="BT48" s="212" t="s">
        <v>373</v>
      </c>
      <c r="BU48" s="212" t="s">
        <v>373</v>
      </c>
      <c r="BV48" s="213" t="s">
        <v>373</v>
      </c>
      <c r="BW48" s="196" t="s">
        <v>373</v>
      </c>
      <c r="BX48" s="197" t="s">
        <v>373</v>
      </c>
      <c r="BY48" s="197" t="s">
        <v>373</v>
      </c>
      <c r="BZ48" s="197" t="s">
        <v>373</v>
      </c>
      <c r="CA48" s="197" t="s">
        <v>373</v>
      </c>
      <c r="CB48" s="198" t="s">
        <v>373</v>
      </c>
      <c r="CC48" s="199" t="s">
        <v>373</v>
      </c>
      <c r="CD48" s="200" t="s">
        <v>373</v>
      </c>
      <c r="CE48" s="200" t="s">
        <v>373</v>
      </c>
      <c r="CF48" s="200" t="s">
        <v>373</v>
      </c>
      <c r="CG48" s="200" t="s">
        <v>373</v>
      </c>
      <c r="CH48" s="201" t="s">
        <v>373</v>
      </c>
      <c r="CI48" s="187"/>
      <c r="CJ48" s="187"/>
      <c r="CK48" s="187"/>
      <c r="CL48" s="187"/>
      <c r="CM48" s="187"/>
      <c r="CN48" s="187"/>
      <c r="CO48" s="187"/>
    </row>
    <row r="49" spans="2:93" ht="9" customHeight="1" x14ac:dyDescent="0.35">
      <c r="B49" s="188"/>
      <c r="C49" s="188"/>
      <c r="D49" s="188"/>
      <c r="E49" s="188"/>
      <c r="F49" s="188"/>
      <c r="G49" s="188"/>
      <c r="H49" s="188"/>
      <c r="I49" s="188"/>
      <c r="J49" s="1045"/>
      <c r="K49" s="1046"/>
      <c r="L49" s="1046"/>
      <c r="M49" s="1046"/>
      <c r="N49" s="1046"/>
      <c r="O49" s="1047"/>
      <c r="P49" s="1045"/>
      <c r="Q49" s="1046"/>
      <c r="R49" s="1046"/>
      <c r="S49" s="1046"/>
      <c r="T49" s="1046"/>
      <c r="U49" s="1047"/>
      <c r="V49" s="1045"/>
      <c r="W49" s="1046"/>
      <c r="X49" s="1046"/>
      <c r="Y49" s="1046"/>
      <c r="Z49" s="1046"/>
      <c r="AA49" s="1047"/>
      <c r="AB49" s="1045"/>
      <c r="AC49" s="1046"/>
      <c r="AD49" s="1046"/>
      <c r="AE49" s="1046"/>
      <c r="AF49" s="1046"/>
      <c r="AG49" s="1047"/>
      <c r="AH49" s="1045"/>
      <c r="AI49" s="1046"/>
      <c r="AJ49" s="1046"/>
      <c r="AK49" s="1046"/>
      <c r="AL49" s="1046"/>
      <c r="AM49" s="1047"/>
      <c r="AN49" s="188"/>
      <c r="AO49" s="188"/>
      <c r="AP49" s="188"/>
      <c r="AQ49" s="188"/>
      <c r="AR49" s="188"/>
      <c r="AS49" s="188"/>
      <c r="AT49" s="188"/>
      <c r="AW49" s="1003"/>
      <c r="AX49" s="1003"/>
      <c r="AY49" s="1004"/>
      <c r="AZ49" s="995"/>
      <c r="BA49" s="996"/>
      <c r="BB49" s="996"/>
      <c r="BC49" s="996"/>
      <c r="BD49" s="997"/>
      <c r="BE49" s="220" t="s">
        <v>373</v>
      </c>
      <c r="BF49" s="221" t="s">
        <v>373</v>
      </c>
      <c r="BG49" s="221" t="s">
        <v>373</v>
      </c>
      <c r="BH49" s="221" t="s">
        <v>373</v>
      </c>
      <c r="BI49" s="221" t="s">
        <v>373</v>
      </c>
      <c r="BJ49" s="222" t="s">
        <v>373</v>
      </c>
      <c r="BK49" s="220" t="s">
        <v>373</v>
      </c>
      <c r="BL49" s="221" t="s">
        <v>373</v>
      </c>
      <c r="BM49" s="221" t="s">
        <v>373</v>
      </c>
      <c r="BN49" s="221" t="s">
        <v>373</v>
      </c>
      <c r="BO49" s="221" t="s">
        <v>373</v>
      </c>
      <c r="BP49" s="222" t="s">
        <v>373</v>
      </c>
      <c r="BQ49" s="211" t="s">
        <v>373</v>
      </c>
      <c r="BR49" s="212" t="s">
        <v>373</v>
      </c>
      <c r="BS49" s="212" t="s">
        <v>373</v>
      </c>
      <c r="BT49" s="212" t="s">
        <v>373</v>
      </c>
      <c r="BU49" s="212" t="s">
        <v>373</v>
      </c>
      <c r="BV49" s="213" t="s">
        <v>373</v>
      </c>
      <c r="BW49" s="196" t="s">
        <v>373</v>
      </c>
      <c r="BX49" s="197" t="s">
        <v>373</v>
      </c>
      <c r="BY49" s="197" t="s">
        <v>373</v>
      </c>
      <c r="BZ49" s="197" t="s">
        <v>373</v>
      </c>
      <c r="CA49" s="197" t="s">
        <v>373</v>
      </c>
      <c r="CB49" s="198" t="s">
        <v>373</v>
      </c>
      <c r="CC49" s="199" t="s">
        <v>373</v>
      </c>
      <c r="CD49" s="200" t="s">
        <v>373</v>
      </c>
      <c r="CE49" s="200" t="s">
        <v>373</v>
      </c>
      <c r="CF49" s="200" t="s">
        <v>373</v>
      </c>
      <c r="CG49" s="200" t="s">
        <v>373</v>
      </c>
      <c r="CH49" s="201" t="s">
        <v>373</v>
      </c>
      <c r="CI49" s="187"/>
      <c r="CJ49" s="187"/>
      <c r="CK49" s="187"/>
      <c r="CL49" s="187"/>
      <c r="CM49" s="187"/>
      <c r="CN49" s="187"/>
      <c r="CO49" s="187"/>
    </row>
    <row r="50" spans="2:93" ht="9" customHeight="1" x14ac:dyDescent="0.35">
      <c r="B50" s="188"/>
      <c r="C50" s="188"/>
      <c r="D50" s="188"/>
      <c r="E50" s="188"/>
      <c r="F50" s="188"/>
      <c r="G50" s="188"/>
      <c r="H50" s="188"/>
      <c r="I50" s="188"/>
      <c r="J50" s="1045"/>
      <c r="K50" s="1046"/>
      <c r="L50" s="1046"/>
      <c r="M50" s="1046"/>
      <c r="N50" s="1046"/>
      <c r="O50" s="1047"/>
      <c r="P50" s="1045"/>
      <c r="Q50" s="1046"/>
      <c r="R50" s="1046"/>
      <c r="S50" s="1046"/>
      <c r="T50" s="1046"/>
      <c r="U50" s="1047"/>
      <c r="V50" s="1045"/>
      <c r="W50" s="1046"/>
      <c r="X50" s="1046"/>
      <c r="Y50" s="1046"/>
      <c r="Z50" s="1046"/>
      <c r="AA50" s="1047"/>
      <c r="AB50" s="1045"/>
      <c r="AC50" s="1046"/>
      <c r="AD50" s="1046"/>
      <c r="AE50" s="1046"/>
      <c r="AF50" s="1046"/>
      <c r="AG50" s="1047"/>
      <c r="AH50" s="1045"/>
      <c r="AI50" s="1046"/>
      <c r="AJ50" s="1046"/>
      <c r="AK50" s="1046"/>
      <c r="AL50" s="1046"/>
      <c r="AM50" s="1047"/>
      <c r="AN50" s="188"/>
      <c r="AO50" s="188"/>
      <c r="AP50" s="188"/>
      <c r="AQ50" s="188"/>
      <c r="AR50" s="188"/>
      <c r="AS50" s="188"/>
      <c r="AT50" s="188"/>
      <c r="AW50" s="1003"/>
      <c r="AX50" s="1003"/>
      <c r="AY50" s="1004"/>
      <c r="AZ50" s="995"/>
      <c r="BA50" s="996"/>
      <c r="BB50" s="996"/>
      <c r="BC50" s="996"/>
      <c r="BD50" s="997"/>
      <c r="BE50" s="220" t="s">
        <v>373</v>
      </c>
      <c r="BF50" s="221" t="s">
        <v>373</v>
      </c>
      <c r="BG50" s="221" t="s">
        <v>373</v>
      </c>
      <c r="BH50" s="221" t="s">
        <v>373</v>
      </c>
      <c r="BI50" s="221" t="s">
        <v>373</v>
      </c>
      <c r="BJ50" s="222" t="s">
        <v>373</v>
      </c>
      <c r="BK50" s="220" t="s">
        <v>373</v>
      </c>
      <c r="BL50" s="221" t="s">
        <v>373</v>
      </c>
      <c r="BM50" s="221" t="s">
        <v>373</v>
      </c>
      <c r="BN50" s="221" t="s">
        <v>373</v>
      </c>
      <c r="BO50" s="221" t="s">
        <v>373</v>
      </c>
      <c r="BP50" s="222" t="s">
        <v>373</v>
      </c>
      <c r="BQ50" s="211" t="s">
        <v>373</v>
      </c>
      <c r="BR50" s="212" t="s">
        <v>373</v>
      </c>
      <c r="BS50" s="212" t="s">
        <v>373</v>
      </c>
      <c r="BT50" s="212" t="s">
        <v>373</v>
      </c>
      <c r="BU50" s="212" t="s">
        <v>373</v>
      </c>
      <c r="BV50" s="213" t="s">
        <v>373</v>
      </c>
      <c r="BW50" s="196" t="s">
        <v>373</v>
      </c>
      <c r="BX50" s="197" t="s">
        <v>373</v>
      </c>
      <c r="BY50" s="197" t="s">
        <v>373</v>
      </c>
      <c r="BZ50" s="197" t="s">
        <v>373</v>
      </c>
      <c r="CA50" s="197" t="s">
        <v>373</v>
      </c>
      <c r="CB50" s="198" t="s">
        <v>373</v>
      </c>
      <c r="CC50" s="199" t="s">
        <v>373</v>
      </c>
      <c r="CD50" s="200" t="s">
        <v>373</v>
      </c>
      <c r="CE50" s="200" t="s">
        <v>373</v>
      </c>
      <c r="CF50" s="200" t="s">
        <v>373</v>
      </c>
      <c r="CG50" s="200" t="s">
        <v>373</v>
      </c>
      <c r="CH50" s="201" t="s">
        <v>373</v>
      </c>
      <c r="CI50" s="187"/>
      <c r="CJ50" s="187"/>
      <c r="CK50" s="187"/>
      <c r="CL50" s="187"/>
      <c r="CM50" s="187"/>
      <c r="CN50" s="187"/>
      <c r="CO50" s="187"/>
    </row>
    <row r="51" spans="2:93" ht="9" customHeight="1" thickBot="1" x14ac:dyDescent="0.4">
      <c r="B51" s="188"/>
      <c r="C51" s="188"/>
      <c r="D51" s="188"/>
      <c r="E51" s="188"/>
      <c r="F51" s="188"/>
      <c r="G51" s="188"/>
      <c r="H51" s="188"/>
      <c r="I51" s="188"/>
      <c r="J51" s="1048"/>
      <c r="K51" s="1049"/>
      <c r="L51" s="1049"/>
      <c r="M51" s="1049"/>
      <c r="N51" s="1049"/>
      <c r="O51" s="1050"/>
      <c r="P51" s="1048"/>
      <c r="Q51" s="1049"/>
      <c r="R51" s="1049"/>
      <c r="S51" s="1049"/>
      <c r="T51" s="1049"/>
      <c r="U51" s="1050"/>
      <c r="V51" s="1048"/>
      <c r="W51" s="1049"/>
      <c r="X51" s="1049"/>
      <c r="Y51" s="1049"/>
      <c r="Z51" s="1049"/>
      <c r="AA51" s="1050"/>
      <c r="AB51" s="1048"/>
      <c r="AC51" s="1049"/>
      <c r="AD51" s="1049"/>
      <c r="AE51" s="1049"/>
      <c r="AF51" s="1049"/>
      <c r="AG51" s="1050"/>
      <c r="AH51" s="1048"/>
      <c r="AI51" s="1049"/>
      <c r="AJ51" s="1049"/>
      <c r="AK51" s="1049"/>
      <c r="AL51" s="1049"/>
      <c r="AM51" s="1050"/>
      <c r="AN51" s="188"/>
      <c r="AO51" s="188"/>
      <c r="AP51" s="188"/>
      <c r="AQ51" s="188"/>
      <c r="AR51" s="188"/>
      <c r="AS51" s="188"/>
      <c r="AT51" s="188"/>
      <c r="AW51" s="1003"/>
      <c r="AX51" s="1003"/>
      <c r="AY51" s="1004"/>
      <c r="AZ51" s="995"/>
      <c r="BA51" s="996"/>
      <c r="BB51" s="996"/>
      <c r="BC51" s="996"/>
      <c r="BD51" s="997"/>
      <c r="BE51" s="220" t="s">
        <v>373</v>
      </c>
      <c r="BF51" s="221" t="s">
        <v>373</v>
      </c>
      <c r="BG51" s="221" t="s">
        <v>373</v>
      </c>
      <c r="BH51" s="221" t="s">
        <v>373</v>
      </c>
      <c r="BI51" s="221" t="s">
        <v>373</v>
      </c>
      <c r="BJ51" s="222" t="s">
        <v>373</v>
      </c>
      <c r="BK51" s="220" t="s">
        <v>373</v>
      </c>
      <c r="BL51" s="221" t="s">
        <v>373</v>
      </c>
      <c r="BM51" s="221" t="s">
        <v>373</v>
      </c>
      <c r="BN51" s="221" t="s">
        <v>373</v>
      </c>
      <c r="BO51" s="221" t="s">
        <v>373</v>
      </c>
      <c r="BP51" s="222" t="s">
        <v>373</v>
      </c>
      <c r="BQ51" s="211" t="s">
        <v>373</v>
      </c>
      <c r="BR51" s="212" t="s">
        <v>373</v>
      </c>
      <c r="BS51" s="212" t="s">
        <v>373</v>
      </c>
      <c r="BT51" s="212" t="s">
        <v>373</v>
      </c>
      <c r="BU51" s="212" t="s">
        <v>373</v>
      </c>
      <c r="BV51" s="213" t="s">
        <v>373</v>
      </c>
      <c r="BW51" s="196" t="s">
        <v>373</v>
      </c>
      <c r="BX51" s="197" t="s">
        <v>373</v>
      </c>
      <c r="BY51" s="197" t="s">
        <v>373</v>
      </c>
      <c r="BZ51" s="197" t="s">
        <v>373</v>
      </c>
      <c r="CA51" s="197" t="s">
        <v>373</v>
      </c>
      <c r="CB51" s="198" t="s">
        <v>373</v>
      </c>
      <c r="CC51" s="199" t="s">
        <v>373</v>
      </c>
      <c r="CD51" s="200" t="s">
        <v>373</v>
      </c>
      <c r="CE51" s="200" t="s">
        <v>373</v>
      </c>
      <c r="CF51" s="200" t="s">
        <v>373</v>
      </c>
      <c r="CG51" s="200" t="s">
        <v>373</v>
      </c>
      <c r="CH51" s="201" t="s">
        <v>373</v>
      </c>
      <c r="CI51" s="187"/>
      <c r="CJ51" s="187"/>
      <c r="CK51" s="187"/>
      <c r="CL51" s="187"/>
      <c r="CM51" s="187"/>
      <c r="CN51" s="187"/>
      <c r="CO51" s="187"/>
    </row>
    <row r="52" spans="2:93" ht="9" customHeight="1" x14ac:dyDescent="0.35">
      <c r="AW52" s="1003"/>
      <c r="AX52" s="1003"/>
      <c r="AY52" s="1004"/>
      <c r="AZ52" s="995"/>
      <c r="BA52" s="996"/>
      <c r="BB52" s="996"/>
      <c r="BC52" s="996"/>
      <c r="BD52" s="997"/>
      <c r="BE52" s="220" t="s">
        <v>373</v>
      </c>
      <c r="BF52" s="221" t="s">
        <v>373</v>
      </c>
      <c r="BG52" s="221" t="s">
        <v>373</v>
      </c>
      <c r="BH52" s="221" t="s">
        <v>373</v>
      </c>
      <c r="BI52" s="221" t="s">
        <v>373</v>
      </c>
      <c r="BJ52" s="222" t="s">
        <v>373</v>
      </c>
      <c r="BK52" s="220" t="s">
        <v>373</v>
      </c>
      <c r="BL52" s="221" t="s">
        <v>373</v>
      </c>
      <c r="BM52" s="221" t="s">
        <v>373</v>
      </c>
      <c r="BN52" s="221" t="s">
        <v>373</v>
      </c>
      <c r="BO52" s="221" t="s">
        <v>373</v>
      </c>
      <c r="BP52" s="222" t="s">
        <v>373</v>
      </c>
      <c r="BQ52" s="211" t="s">
        <v>373</v>
      </c>
      <c r="BR52" s="212" t="s">
        <v>373</v>
      </c>
      <c r="BS52" s="212" t="s">
        <v>373</v>
      </c>
      <c r="BT52" s="212" t="s">
        <v>373</v>
      </c>
      <c r="BU52" s="212" t="s">
        <v>373</v>
      </c>
      <c r="BV52" s="213" t="s">
        <v>373</v>
      </c>
      <c r="BW52" s="196" t="s">
        <v>373</v>
      </c>
      <c r="BX52" s="197" t="s">
        <v>373</v>
      </c>
      <c r="BY52" s="197" t="s">
        <v>373</v>
      </c>
      <c r="BZ52" s="197" t="s">
        <v>373</v>
      </c>
      <c r="CA52" s="197" t="s">
        <v>373</v>
      </c>
      <c r="CB52" s="198" t="s">
        <v>373</v>
      </c>
      <c r="CC52" s="199" t="s">
        <v>373</v>
      </c>
      <c r="CD52" s="200" t="s">
        <v>373</v>
      </c>
      <c r="CE52" s="200" t="s">
        <v>373</v>
      </c>
      <c r="CF52" s="200" t="s">
        <v>373</v>
      </c>
      <c r="CG52" s="200" t="s">
        <v>373</v>
      </c>
      <c r="CH52" s="201" t="s">
        <v>373</v>
      </c>
      <c r="CI52" s="187"/>
      <c r="CJ52" s="187"/>
      <c r="CK52" s="187"/>
      <c r="CL52" s="187"/>
      <c r="CM52" s="187"/>
      <c r="CN52" s="187"/>
      <c r="CO52" s="187"/>
    </row>
    <row r="53" spans="2:93" ht="9" customHeight="1" x14ac:dyDescent="0.35">
      <c r="AW53" s="1003"/>
      <c r="AX53" s="1003"/>
      <c r="AY53" s="1004"/>
      <c r="AZ53" s="995"/>
      <c r="BA53" s="996"/>
      <c r="BB53" s="996"/>
      <c r="BC53" s="996"/>
      <c r="BD53" s="997"/>
      <c r="BE53" s="220" t="s">
        <v>373</v>
      </c>
      <c r="BF53" s="221" t="s">
        <v>373</v>
      </c>
      <c r="BG53" s="221" t="s">
        <v>373</v>
      </c>
      <c r="BH53" s="221" t="s">
        <v>373</v>
      </c>
      <c r="BI53" s="221" t="s">
        <v>373</v>
      </c>
      <c r="BJ53" s="222" t="s">
        <v>373</v>
      </c>
      <c r="BK53" s="220" t="s">
        <v>373</v>
      </c>
      <c r="BL53" s="221" t="s">
        <v>373</v>
      </c>
      <c r="BM53" s="221" t="s">
        <v>373</v>
      </c>
      <c r="BN53" s="221" t="s">
        <v>373</v>
      </c>
      <c r="BO53" s="221" t="s">
        <v>373</v>
      </c>
      <c r="BP53" s="222" t="s">
        <v>373</v>
      </c>
      <c r="BQ53" s="211" t="s">
        <v>373</v>
      </c>
      <c r="BR53" s="212" t="s">
        <v>373</v>
      </c>
      <c r="BS53" s="212" t="s">
        <v>373</v>
      </c>
      <c r="BT53" s="212" t="s">
        <v>373</v>
      </c>
      <c r="BU53" s="212" t="s">
        <v>373</v>
      </c>
      <c r="BV53" s="213" t="s">
        <v>373</v>
      </c>
      <c r="BW53" s="196" t="s">
        <v>373</v>
      </c>
      <c r="BX53" s="197" t="s">
        <v>373</v>
      </c>
      <c r="BY53" s="197" t="s">
        <v>373</v>
      </c>
      <c r="BZ53" s="197" t="s">
        <v>373</v>
      </c>
      <c r="CA53" s="197" t="s">
        <v>373</v>
      </c>
      <c r="CB53" s="198" t="s">
        <v>373</v>
      </c>
      <c r="CC53" s="199" t="s">
        <v>373</v>
      </c>
      <c r="CD53" s="200" t="s">
        <v>373</v>
      </c>
      <c r="CE53" s="200" t="s">
        <v>373</v>
      </c>
      <c r="CF53" s="200" t="s">
        <v>373</v>
      </c>
      <c r="CG53" s="200" t="s">
        <v>373</v>
      </c>
      <c r="CH53" s="201" t="s">
        <v>373</v>
      </c>
      <c r="CI53" s="187"/>
      <c r="CJ53" s="187"/>
      <c r="CK53" s="187"/>
      <c r="CL53" s="187"/>
      <c r="CM53" s="187"/>
      <c r="CN53" s="187"/>
      <c r="CO53" s="187"/>
    </row>
    <row r="54" spans="2:93" ht="9" customHeight="1" x14ac:dyDescent="0.35">
      <c r="AW54" s="1003"/>
      <c r="AX54" s="1003"/>
      <c r="AY54" s="1004"/>
      <c r="AZ54" s="995"/>
      <c r="BA54" s="996"/>
      <c r="BB54" s="996"/>
      <c r="BC54" s="996"/>
      <c r="BD54" s="997"/>
      <c r="BE54" s="220" t="s">
        <v>373</v>
      </c>
      <c r="BF54" s="221" t="s">
        <v>373</v>
      </c>
      <c r="BG54" s="221" t="s">
        <v>373</v>
      </c>
      <c r="BH54" s="221" t="s">
        <v>373</v>
      </c>
      <c r="BI54" s="221" t="s">
        <v>373</v>
      </c>
      <c r="BJ54" s="222" t="s">
        <v>373</v>
      </c>
      <c r="BK54" s="220" t="s">
        <v>373</v>
      </c>
      <c r="BL54" s="221" t="s">
        <v>373</v>
      </c>
      <c r="BM54" s="221" t="s">
        <v>373</v>
      </c>
      <c r="BN54" s="221" t="s">
        <v>373</v>
      </c>
      <c r="BO54" s="221" t="s">
        <v>373</v>
      </c>
      <c r="BP54" s="222" t="s">
        <v>373</v>
      </c>
      <c r="BQ54" s="211" t="s">
        <v>373</v>
      </c>
      <c r="BR54" s="212" t="s">
        <v>373</v>
      </c>
      <c r="BS54" s="212" t="s">
        <v>373</v>
      </c>
      <c r="BT54" s="212" t="s">
        <v>373</v>
      </c>
      <c r="BU54" s="212" t="s">
        <v>373</v>
      </c>
      <c r="BV54" s="213" t="s">
        <v>373</v>
      </c>
      <c r="BW54" s="196" t="s">
        <v>373</v>
      </c>
      <c r="BX54" s="197" t="s">
        <v>373</v>
      </c>
      <c r="BY54" s="197" t="s">
        <v>373</v>
      </c>
      <c r="BZ54" s="197" t="s">
        <v>373</v>
      </c>
      <c r="CA54" s="197" t="s">
        <v>373</v>
      </c>
      <c r="CB54" s="198" t="s">
        <v>373</v>
      </c>
      <c r="CC54" s="199" t="s">
        <v>373</v>
      </c>
      <c r="CD54" s="200" t="s">
        <v>373</v>
      </c>
      <c r="CE54" s="200" t="s">
        <v>373</v>
      </c>
      <c r="CF54" s="200" t="s">
        <v>373</v>
      </c>
      <c r="CG54" s="200" t="s">
        <v>373</v>
      </c>
      <c r="CH54" s="201" t="s">
        <v>373</v>
      </c>
      <c r="CI54" s="187"/>
      <c r="CJ54" s="187"/>
      <c r="CK54" s="187"/>
      <c r="CL54" s="187"/>
      <c r="CM54" s="187"/>
      <c r="CN54" s="187"/>
      <c r="CO54" s="187"/>
    </row>
    <row r="55" spans="2:93" ht="9" customHeight="1" thickBot="1" x14ac:dyDescent="0.4">
      <c r="AW55" s="1003"/>
      <c r="AX55" s="1003"/>
      <c r="AY55" s="1004"/>
      <c r="AZ55" s="998"/>
      <c r="BA55" s="999"/>
      <c r="BB55" s="999"/>
      <c r="BC55" s="999"/>
      <c r="BD55" s="1000"/>
      <c r="BE55" s="223" t="s">
        <v>373</v>
      </c>
      <c r="BF55" s="224" t="s">
        <v>373</v>
      </c>
      <c r="BG55" s="224" t="s">
        <v>373</v>
      </c>
      <c r="BH55" s="224" t="s">
        <v>373</v>
      </c>
      <c r="BI55" s="224" t="s">
        <v>373</v>
      </c>
      <c r="BJ55" s="225" t="s">
        <v>373</v>
      </c>
      <c r="BK55" s="223" t="s">
        <v>373</v>
      </c>
      <c r="BL55" s="224" t="s">
        <v>373</v>
      </c>
      <c r="BM55" s="224" t="s">
        <v>373</v>
      </c>
      <c r="BN55" s="224" t="s">
        <v>373</v>
      </c>
      <c r="BO55" s="224" t="s">
        <v>373</v>
      </c>
      <c r="BP55" s="225" t="s">
        <v>373</v>
      </c>
      <c r="BQ55" s="214" t="s">
        <v>373</v>
      </c>
      <c r="BR55" s="215" t="s">
        <v>373</v>
      </c>
      <c r="BS55" s="215" t="s">
        <v>373</v>
      </c>
      <c r="BT55" s="215" t="s">
        <v>373</v>
      </c>
      <c r="BU55" s="215" t="s">
        <v>373</v>
      </c>
      <c r="BV55" s="216" t="s">
        <v>373</v>
      </c>
      <c r="BW55" s="202" t="s">
        <v>373</v>
      </c>
      <c r="BX55" s="203" t="s">
        <v>373</v>
      </c>
      <c r="BY55" s="203" t="s">
        <v>373</v>
      </c>
      <c r="BZ55" s="203" t="s">
        <v>373</v>
      </c>
      <c r="CA55" s="203" t="s">
        <v>373</v>
      </c>
      <c r="CB55" s="204" t="s">
        <v>373</v>
      </c>
      <c r="CC55" s="205" t="s">
        <v>373</v>
      </c>
      <c r="CD55" s="206" t="s">
        <v>373</v>
      </c>
      <c r="CE55" s="206" t="s">
        <v>373</v>
      </c>
      <c r="CF55" s="206" t="s">
        <v>373</v>
      </c>
      <c r="CG55" s="206" t="s">
        <v>373</v>
      </c>
      <c r="CH55" s="207" t="s">
        <v>373</v>
      </c>
      <c r="CI55" s="187"/>
      <c r="CJ55" s="187"/>
      <c r="CK55" s="187"/>
      <c r="CL55" s="187"/>
      <c r="CM55" s="187"/>
      <c r="CN55" s="187"/>
      <c r="CO55" s="187"/>
    </row>
    <row r="56" spans="2:93" ht="8.25" customHeight="1" x14ac:dyDescent="0.35">
      <c r="AW56" s="187"/>
      <c r="AX56" s="187"/>
      <c r="AY56" s="187"/>
      <c r="AZ56" s="187"/>
      <c r="BA56" s="187"/>
      <c r="BB56" s="187"/>
      <c r="BC56" s="187"/>
      <c r="BD56" s="187"/>
      <c r="BE56" s="992" t="s">
        <v>112</v>
      </c>
      <c r="BF56" s="993"/>
      <c r="BG56" s="993"/>
      <c r="BH56" s="993"/>
      <c r="BI56" s="993"/>
      <c r="BJ56" s="994"/>
      <c r="BK56" s="992" t="s">
        <v>111</v>
      </c>
      <c r="BL56" s="993"/>
      <c r="BM56" s="993"/>
      <c r="BN56" s="993"/>
      <c r="BO56" s="993"/>
      <c r="BP56" s="994"/>
      <c r="BQ56" s="992" t="s">
        <v>110</v>
      </c>
      <c r="BR56" s="993"/>
      <c r="BS56" s="993"/>
      <c r="BT56" s="993"/>
      <c r="BU56" s="993"/>
      <c r="BV56" s="994"/>
      <c r="BW56" s="992" t="s">
        <v>109</v>
      </c>
      <c r="BX56" s="1001"/>
      <c r="BY56" s="993"/>
      <c r="BZ56" s="993"/>
      <c r="CA56" s="993"/>
      <c r="CB56" s="994"/>
      <c r="CC56" s="992" t="s">
        <v>108</v>
      </c>
      <c r="CD56" s="993"/>
      <c r="CE56" s="993"/>
      <c r="CF56" s="993"/>
      <c r="CG56" s="993"/>
      <c r="CH56" s="994"/>
      <c r="CI56" s="187"/>
      <c r="CJ56" s="187"/>
      <c r="CK56" s="187"/>
      <c r="CL56" s="187"/>
      <c r="CM56" s="187"/>
      <c r="CN56" s="187"/>
      <c r="CO56" s="187"/>
    </row>
    <row r="57" spans="2:93" ht="8.25" customHeight="1" x14ac:dyDescent="0.35">
      <c r="AW57" s="187"/>
      <c r="AX57" s="187"/>
      <c r="AY57" s="187"/>
      <c r="AZ57" s="187"/>
      <c r="BA57" s="187"/>
      <c r="BB57" s="187"/>
      <c r="BC57" s="187"/>
      <c r="BD57" s="187"/>
      <c r="BE57" s="995"/>
      <c r="BF57" s="996"/>
      <c r="BG57" s="996"/>
      <c r="BH57" s="996"/>
      <c r="BI57" s="996"/>
      <c r="BJ57" s="997"/>
      <c r="BK57" s="995"/>
      <c r="BL57" s="996"/>
      <c r="BM57" s="996"/>
      <c r="BN57" s="996"/>
      <c r="BO57" s="996"/>
      <c r="BP57" s="997"/>
      <c r="BQ57" s="995"/>
      <c r="BR57" s="996"/>
      <c r="BS57" s="996"/>
      <c r="BT57" s="996"/>
      <c r="BU57" s="996"/>
      <c r="BV57" s="997"/>
      <c r="BW57" s="995"/>
      <c r="BX57" s="996"/>
      <c r="BY57" s="996"/>
      <c r="BZ57" s="996"/>
      <c r="CA57" s="996"/>
      <c r="CB57" s="997"/>
      <c r="CC57" s="995"/>
      <c r="CD57" s="996"/>
      <c r="CE57" s="996"/>
      <c r="CF57" s="996"/>
      <c r="CG57" s="996"/>
      <c r="CH57" s="997"/>
      <c r="CI57" s="187"/>
      <c r="CJ57" s="187"/>
      <c r="CK57" s="187"/>
      <c r="CL57" s="187"/>
      <c r="CM57" s="187"/>
      <c r="CN57" s="187"/>
      <c r="CO57" s="187"/>
    </row>
    <row r="58" spans="2:93" ht="8.25" customHeight="1" thickBot="1" x14ac:dyDescent="0.4">
      <c r="AW58" s="187"/>
      <c r="AX58" s="187"/>
      <c r="AY58" s="187"/>
      <c r="AZ58" s="187"/>
      <c r="BA58" s="187"/>
      <c r="BB58" s="187"/>
      <c r="BC58" s="187"/>
      <c r="BD58" s="187"/>
      <c r="BE58" s="995"/>
      <c r="BF58" s="996"/>
      <c r="BG58" s="996"/>
      <c r="BH58" s="996"/>
      <c r="BI58" s="996"/>
      <c r="BJ58" s="997"/>
      <c r="BK58" s="995"/>
      <c r="BL58" s="996"/>
      <c r="BM58" s="996"/>
      <c r="BN58" s="996"/>
      <c r="BO58" s="996"/>
      <c r="BP58" s="997"/>
      <c r="BQ58" s="995"/>
      <c r="BR58" s="996"/>
      <c r="BS58" s="996"/>
      <c r="BT58" s="996"/>
      <c r="BU58" s="996"/>
      <c r="BV58" s="997"/>
      <c r="BW58" s="995"/>
      <c r="BX58" s="996"/>
      <c r="BY58" s="996"/>
      <c r="BZ58" s="996"/>
      <c r="CA58" s="996"/>
      <c r="CB58" s="997"/>
      <c r="CC58" s="995"/>
      <c r="CD58" s="996"/>
      <c r="CE58" s="996"/>
      <c r="CF58" s="996"/>
      <c r="CG58" s="996"/>
      <c r="CH58" s="997"/>
      <c r="CI58" s="187"/>
      <c r="CJ58" s="187"/>
      <c r="CK58" s="187"/>
      <c r="CL58" s="187"/>
      <c r="CM58" s="187"/>
      <c r="CN58" s="187"/>
      <c r="CO58" s="187"/>
    </row>
    <row r="59" spans="2:93" ht="13.5" customHeight="1" x14ac:dyDescent="0.35">
      <c r="AW59" s="187"/>
      <c r="AX59" s="187"/>
      <c r="AY59" s="187"/>
      <c r="AZ59" s="187"/>
      <c r="BA59" s="187"/>
      <c r="BB59" s="187"/>
      <c r="BC59" s="187"/>
      <c r="BD59" s="187"/>
      <c r="BE59" s="995"/>
      <c r="BF59" s="996"/>
      <c r="BG59" s="996"/>
      <c r="BH59" s="996"/>
      <c r="BI59" s="996"/>
      <c r="BJ59" s="997"/>
      <c r="BK59" s="995"/>
      <c r="BL59" s="996"/>
      <c r="BM59" s="996"/>
      <c r="BN59" s="996"/>
      <c r="BO59" s="996"/>
      <c r="BP59" s="997"/>
      <c r="BQ59" s="995"/>
      <c r="BR59" s="996"/>
      <c r="BS59" s="996"/>
      <c r="BT59" s="996"/>
      <c r="BU59" s="996"/>
      <c r="BV59" s="997"/>
      <c r="BW59" s="995"/>
      <c r="BX59" s="996"/>
      <c r="BY59" s="996"/>
      <c r="BZ59" s="996"/>
      <c r="CA59" s="996"/>
      <c r="CB59" s="997"/>
      <c r="CC59" s="995"/>
      <c r="CD59" s="996"/>
      <c r="CE59" s="996"/>
      <c r="CF59" s="996"/>
      <c r="CG59" s="996"/>
      <c r="CH59" s="997"/>
      <c r="CI59" s="187"/>
      <c r="CJ59" s="187"/>
      <c r="CK59" s="187"/>
      <c r="CL59" s="187"/>
      <c r="CM59" s="187"/>
      <c r="CN59" s="187"/>
      <c r="CO59" s="187"/>
    </row>
    <row r="60" spans="2:93" ht="8.25" customHeight="1" x14ac:dyDescent="0.35">
      <c r="AW60" s="187"/>
      <c r="AX60" s="187"/>
      <c r="AY60" s="187"/>
      <c r="AZ60" s="187"/>
      <c r="BA60" s="187"/>
      <c r="BB60" s="187"/>
      <c r="BC60" s="187"/>
      <c r="BD60" s="187"/>
      <c r="BE60" s="995"/>
      <c r="BF60" s="996"/>
      <c r="BG60" s="996"/>
      <c r="BH60" s="996"/>
      <c r="BI60" s="996"/>
      <c r="BJ60" s="997"/>
      <c r="BK60" s="995"/>
      <c r="BL60" s="996"/>
      <c r="BM60" s="996"/>
      <c r="BN60" s="996"/>
      <c r="BO60" s="996"/>
      <c r="BP60" s="997"/>
      <c r="BQ60" s="995"/>
      <c r="BR60" s="996"/>
      <c r="BS60" s="996"/>
      <c r="BT60" s="996"/>
      <c r="BU60" s="996"/>
      <c r="BV60" s="997"/>
      <c r="BW60" s="995"/>
      <c r="BX60" s="996"/>
      <c r="BY60" s="996"/>
      <c r="BZ60" s="996"/>
      <c r="CA60" s="996"/>
      <c r="CB60" s="997"/>
      <c r="CC60" s="995"/>
      <c r="CD60" s="996"/>
      <c r="CE60" s="996"/>
      <c r="CF60" s="996"/>
      <c r="CG60" s="996"/>
      <c r="CH60" s="997"/>
      <c r="CI60" s="187"/>
      <c r="CJ60" s="187"/>
      <c r="CK60" s="187"/>
      <c r="CL60" s="187"/>
      <c r="CM60" s="187"/>
      <c r="CN60" s="187"/>
      <c r="CO60" s="187"/>
    </row>
    <row r="61" spans="2:93" ht="8.25" customHeight="1" thickBot="1" x14ac:dyDescent="0.4">
      <c r="AW61" s="187"/>
      <c r="AX61" s="187"/>
      <c r="AY61" s="187"/>
      <c r="AZ61" s="187"/>
      <c r="BA61" s="187"/>
      <c r="BB61" s="187"/>
      <c r="BC61" s="187"/>
      <c r="BD61" s="187"/>
      <c r="BE61" s="998"/>
      <c r="BF61" s="999"/>
      <c r="BG61" s="999"/>
      <c r="BH61" s="999"/>
      <c r="BI61" s="999"/>
      <c r="BJ61" s="1000"/>
      <c r="BK61" s="998"/>
      <c r="BL61" s="999"/>
      <c r="BM61" s="999"/>
      <c r="BN61" s="999"/>
      <c r="BO61" s="999"/>
      <c r="BP61" s="1000"/>
      <c r="BQ61" s="998"/>
      <c r="BR61" s="999"/>
      <c r="BS61" s="999"/>
      <c r="BT61" s="999"/>
      <c r="BU61" s="999"/>
      <c r="BV61" s="1000"/>
      <c r="BW61" s="998"/>
      <c r="BX61" s="999"/>
      <c r="BY61" s="999"/>
      <c r="BZ61" s="999"/>
      <c r="CA61" s="999"/>
      <c r="CB61" s="1000"/>
      <c r="CC61" s="998"/>
      <c r="CD61" s="999"/>
      <c r="CE61" s="999"/>
      <c r="CF61" s="999"/>
      <c r="CG61" s="999"/>
      <c r="CH61" s="1000"/>
      <c r="CI61" s="187"/>
      <c r="CJ61" s="187"/>
      <c r="CK61" s="187"/>
      <c r="CL61" s="187"/>
      <c r="CM61" s="187"/>
      <c r="CN61" s="187"/>
      <c r="CO61" s="187"/>
    </row>
  </sheetData>
  <mergeCells count="335">
    <mergeCell ref="B2:I4"/>
    <mergeCell ref="J2:AM4"/>
    <mergeCell ref="B6:D45"/>
    <mergeCell ref="E6:I13"/>
    <mergeCell ref="J6:K7"/>
    <mergeCell ref="L6:M7"/>
    <mergeCell ref="N6:O7"/>
    <mergeCell ref="P6:Q7"/>
    <mergeCell ref="R6:S7"/>
    <mergeCell ref="T6:U7"/>
    <mergeCell ref="AH6:AI7"/>
    <mergeCell ref="AJ6:AK7"/>
    <mergeCell ref="AL6:AM7"/>
    <mergeCell ref="X10:Y11"/>
    <mergeCell ref="Z10:AA11"/>
    <mergeCell ref="AB10:AC11"/>
    <mergeCell ref="AD10:AE11"/>
    <mergeCell ref="AF10:AG11"/>
    <mergeCell ref="AH10:AI11"/>
    <mergeCell ref="AH8:AI9"/>
    <mergeCell ref="AJ8:AK9"/>
    <mergeCell ref="AL8:AM9"/>
    <mergeCell ref="Z8:AA9"/>
    <mergeCell ref="AB8:AC9"/>
    <mergeCell ref="AO6:AT13"/>
    <mergeCell ref="J8:K9"/>
    <mergeCell ref="L8:M9"/>
    <mergeCell ref="N8:O9"/>
    <mergeCell ref="P8:Q9"/>
    <mergeCell ref="R8:S9"/>
    <mergeCell ref="T8:U9"/>
    <mergeCell ref="V6:W7"/>
    <mergeCell ref="X6:Y7"/>
    <mergeCell ref="Z6:AA7"/>
    <mergeCell ref="AB6:AC7"/>
    <mergeCell ref="AD6:AE7"/>
    <mergeCell ref="AF6:AG7"/>
    <mergeCell ref="J10:K11"/>
    <mergeCell ref="L10:M11"/>
    <mergeCell ref="N10:O11"/>
    <mergeCell ref="P10:Q11"/>
    <mergeCell ref="R10:S11"/>
    <mergeCell ref="T10:U11"/>
    <mergeCell ref="V10:W11"/>
    <mergeCell ref="V8:W9"/>
    <mergeCell ref="X8:Y9"/>
    <mergeCell ref="AJ10:AK11"/>
    <mergeCell ref="AL10:AM11"/>
    <mergeCell ref="AD8:AE9"/>
    <mergeCell ref="AF8:AG9"/>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X18:Y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D40:AE41"/>
    <mergeCell ref="AF40:AG41"/>
    <mergeCell ref="AH40:AI41"/>
    <mergeCell ref="AH38:AI39"/>
    <mergeCell ref="AJ38:AK39"/>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J42:K43"/>
    <mergeCell ref="L42:M43"/>
    <mergeCell ref="N42:O43"/>
    <mergeCell ref="P42:Q43"/>
    <mergeCell ref="R42:S43"/>
    <mergeCell ref="T42:U43"/>
    <mergeCell ref="V42:W43"/>
    <mergeCell ref="X42:Y43"/>
    <mergeCell ref="X40:Y41"/>
    <mergeCell ref="J44:K45"/>
    <mergeCell ref="L44:M45"/>
    <mergeCell ref="N44:O45"/>
    <mergeCell ref="P44:Q45"/>
    <mergeCell ref="R44:S45"/>
    <mergeCell ref="T44:U45"/>
    <mergeCell ref="V44:W45"/>
    <mergeCell ref="X44:Y45"/>
    <mergeCell ref="Z44:AA45"/>
    <mergeCell ref="AB46:AG51"/>
    <mergeCell ref="AH46:AM51"/>
    <mergeCell ref="AW2:BD4"/>
    <mergeCell ref="AZ46:BD55"/>
    <mergeCell ref="V12:W13"/>
    <mergeCell ref="T12:U13"/>
    <mergeCell ref="R12:S13"/>
    <mergeCell ref="AB44:AC45"/>
    <mergeCell ref="AD44:AE45"/>
    <mergeCell ref="AF44:AG45"/>
    <mergeCell ref="AH44:AI45"/>
    <mergeCell ref="AJ44:AK45"/>
    <mergeCell ref="AL44:AM45"/>
    <mergeCell ref="AL42:AM43"/>
    <mergeCell ref="Z42:AA43"/>
    <mergeCell ref="AB42:AC43"/>
    <mergeCell ref="AD42:AE43"/>
    <mergeCell ref="AF42:AG43"/>
    <mergeCell ref="AH42:AI43"/>
    <mergeCell ref="AJ42:AK43"/>
    <mergeCell ref="AJ40:AK41"/>
    <mergeCell ref="AL40:AM41"/>
    <mergeCell ref="Z40:AA41"/>
    <mergeCell ref="AB40:AC41"/>
    <mergeCell ref="CR2:CT2"/>
    <mergeCell ref="P12:Q13"/>
    <mergeCell ref="N12:O13"/>
    <mergeCell ref="L12:M13"/>
    <mergeCell ref="J12:K13"/>
    <mergeCell ref="BE56:BJ61"/>
    <mergeCell ref="BK56:BP61"/>
    <mergeCell ref="BQ56:BV61"/>
    <mergeCell ref="BW56:CB61"/>
    <mergeCell ref="CC56:CH61"/>
    <mergeCell ref="X12:Y13"/>
    <mergeCell ref="BE2:CH4"/>
    <mergeCell ref="AW6:AY55"/>
    <mergeCell ref="AZ6:BD15"/>
    <mergeCell ref="CJ6:CO15"/>
    <mergeCell ref="AZ16:BD25"/>
    <mergeCell ref="CJ16:CO25"/>
    <mergeCell ref="AZ26:BD35"/>
    <mergeCell ref="CJ26:CO35"/>
    <mergeCell ref="AZ36:BD45"/>
    <mergeCell ref="CJ36:CO45"/>
    <mergeCell ref="J46:O51"/>
    <mergeCell ref="P46:U51"/>
    <mergeCell ref="V46:AA5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U140"/>
  <sheetViews>
    <sheetView zoomScale="50" zoomScaleNormal="50" workbookViewId="0">
      <selection activeCell="B2" sqref="B2:AT51"/>
    </sheetView>
  </sheetViews>
  <sheetFormatPr baseColWidth="10" defaultRowHeight="15" x14ac:dyDescent="0.25"/>
  <cols>
    <col min="2" max="39" width="5.7109375" customWidth="1"/>
    <col min="41" max="46" width="5.7109375" customWidth="1"/>
  </cols>
  <sheetData>
    <row r="1" spans="1:99"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row>
    <row r="2" spans="1:99" ht="18" customHeight="1" x14ac:dyDescent="0.25">
      <c r="A2" s="83"/>
      <c r="B2" s="1208" t="s">
        <v>161</v>
      </c>
      <c r="C2" s="1208"/>
      <c r="D2" s="1208"/>
      <c r="E2" s="1208"/>
      <c r="F2" s="1208"/>
      <c r="G2" s="1208"/>
      <c r="H2" s="1208"/>
      <c r="I2" s="1208"/>
      <c r="J2" s="1176" t="s">
        <v>2</v>
      </c>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c r="CN2" s="83"/>
      <c r="CO2" s="83"/>
      <c r="CP2" s="83"/>
      <c r="CQ2" s="83"/>
      <c r="CR2" s="83"/>
      <c r="CS2" s="83"/>
      <c r="CT2" s="83"/>
      <c r="CU2" s="83"/>
    </row>
    <row r="3" spans="1:99" ht="18.75" customHeight="1" x14ac:dyDescent="0.25">
      <c r="A3" s="83"/>
      <c r="B3" s="1208"/>
      <c r="C3" s="1208"/>
      <c r="D3" s="1208"/>
      <c r="E3" s="1208"/>
      <c r="F3" s="1208"/>
      <c r="G3" s="1208"/>
      <c r="H3" s="1208"/>
      <c r="I3" s="1208"/>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row>
    <row r="4" spans="1:99" ht="15" customHeight="1" x14ac:dyDescent="0.25">
      <c r="A4" s="83"/>
      <c r="B4" s="1208"/>
      <c r="C4" s="1208"/>
      <c r="D4" s="1208"/>
      <c r="E4" s="1208"/>
      <c r="F4" s="1208"/>
      <c r="G4" s="1208"/>
      <c r="H4" s="1208"/>
      <c r="I4" s="1208"/>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row>
    <row r="5" spans="1:99"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row>
    <row r="6" spans="1:99" ht="15" customHeight="1" x14ac:dyDescent="0.25">
      <c r="A6" s="83"/>
      <c r="B6" s="1123" t="s">
        <v>4</v>
      </c>
      <c r="C6" s="1123"/>
      <c r="D6" s="1124"/>
      <c r="E6" s="1161" t="s">
        <v>116</v>
      </c>
      <c r="F6" s="1162"/>
      <c r="G6" s="1162"/>
      <c r="H6" s="1162"/>
      <c r="I6" s="1163"/>
      <c r="J6" s="1172" t="str">
        <f ca="1">IF(AND('Riesgos de gestión'!$H$10="Muy Alta",'Riesgos de gestión'!$L$10="Leve"),CONCATENATE("R",'Riesgos de gestión'!$A$10),"")</f>
        <v/>
      </c>
      <c r="K6" s="1173"/>
      <c r="L6" s="1173" t="str">
        <f ca="1">IF(AND('Riesgos de gestión'!$H$16="Muy Alta",'Riesgos de gestión'!$L$16="Leve"),CONCATENATE("R",'Riesgos de gestión'!$A$16),"")</f>
        <v/>
      </c>
      <c r="M6" s="1173"/>
      <c r="N6" s="1173" t="str">
        <f ca="1">IF(AND('Riesgos de gestión'!$H$22="Muy Alta",'Riesgos de gestión'!$L$22="Leve"),CONCATENATE("R",'Riesgos de gestión'!$A$22),"")</f>
        <v/>
      </c>
      <c r="O6" s="1175"/>
      <c r="P6" s="1172" t="str">
        <f ca="1">IF(AND('Riesgos de gestión'!$H$10="Muy Alta",'Riesgos de gestión'!$L$10="Menor"),CONCATENATE("R",'Riesgos de gestión'!$A$10),"")</f>
        <v/>
      </c>
      <c r="Q6" s="1173"/>
      <c r="R6" s="1173" t="str">
        <f ca="1">IF(AND('Riesgos de gestión'!$H$16="Muy Alta",'Riesgos de gestión'!$L$16="Menor"),CONCATENATE("R",'Riesgos de gestión'!$A$16),"")</f>
        <v/>
      </c>
      <c r="S6" s="1173"/>
      <c r="T6" s="1173" t="str">
        <f ca="1">IF(AND('Riesgos de gestión'!$H$22="Muy Alta",'Riesgos de gestión'!$L$22="Menor"),CONCATENATE("R",'Riesgos de gestión'!$A$22),"")</f>
        <v/>
      </c>
      <c r="U6" s="1175"/>
      <c r="V6" s="1172" t="str">
        <f ca="1">IF(AND('Riesgos de gestión'!$H$10="Muy Alta",'Riesgos de gestión'!$L$10="Moderado"),CONCATENATE("R",'Riesgos de gestión'!$A$10),"")</f>
        <v/>
      </c>
      <c r="W6" s="1173"/>
      <c r="X6" s="1173" t="str">
        <f ca="1">IF(AND('Riesgos de gestión'!$H$16="Muy Alta",'Riesgos de gestión'!$L$16="Moderado"),CONCATENATE("R",'Riesgos de gestión'!$A$16),"")</f>
        <v/>
      </c>
      <c r="Y6" s="1173"/>
      <c r="Z6" s="1173" t="str">
        <f ca="1">IF(AND('Riesgos de gestión'!$H$22="Muy Alta",'Riesgos de gestión'!$L$22="Moderado"),CONCATENATE("R",'Riesgos de gestión'!$A$22),"")</f>
        <v/>
      </c>
      <c r="AA6" s="1175"/>
      <c r="AB6" s="1172" t="str">
        <f ca="1">IF(AND('Riesgos de gestión'!$H$10="Muy Alta",'Riesgos de gestión'!$L$10="Mayor"),CONCATENATE("R",'Riesgos de gestión'!$A$10),"")</f>
        <v/>
      </c>
      <c r="AC6" s="1173"/>
      <c r="AD6" s="1173" t="str">
        <f ca="1">IF(AND('Riesgos de gestión'!$H$16="Muy Alta",'Riesgos de gestión'!$L$16="Mayor"),CONCATENATE("R",'Riesgos de gestión'!$A$16),"")</f>
        <v/>
      </c>
      <c r="AE6" s="1173"/>
      <c r="AF6" s="1173" t="str">
        <f ca="1">IF(AND('Riesgos de gestión'!$H$22="Muy Alta",'Riesgos de gestión'!$L$22="Mayor"),CONCATENATE("R",'Riesgos de gestión'!$A$22),"")</f>
        <v/>
      </c>
      <c r="AG6" s="1175"/>
      <c r="AH6" s="1187" t="str">
        <f ca="1">IF(AND('Riesgos de gestión'!$H$10="Muy Alta",'Riesgos de gestión'!$L$10="Catastrófico"),CONCATENATE("R",'Riesgos de gestión'!$A$10),"")</f>
        <v/>
      </c>
      <c r="AI6" s="1188"/>
      <c r="AJ6" s="1188" t="str">
        <f ca="1">IF(AND('Riesgos de gestión'!$H$16="Muy Alta",'Riesgos de gestión'!$L$16="Catastrófico"),CONCATENATE("R",'Riesgos de gestión'!$A$16),"")</f>
        <v/>
      </c>
      <c r="AK6" s="1188"/>
      <c r="AL6" s="1188" t="str">
        <f ca="1">IF(AND('Riesgos de gestión'!$H$22="Muy Alta",'Riesgos de gestión'!$L$22="Catastrófico"),CONCATENATE("R",'Riesgos de gestión'!$A$22),"")</f>
        <v/>
      </c>
      <c r="AM6" s="1189"/>
      <c r="AO6" s="1125" t="s">
        <v>79</v>
      </c>
      <c r="AP6" s="1126"/>
      <c r="AQ6" s="1126"/>
      <c r="AR6" s="1126"/>
      <c r="AS6" s="1126"/>
      <c r="AT6" s="1127"/>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row>
    <row r="7" spans="1:99" ht="15" customHeight="1" x14ac:dyDescent="0.25">
      <c r="A7" s="83"/>
      <c r="B7" s="1123"/>
      <c r="C7" s="1123"/>
      <c r="D7" s="1124"/>
      <c r="E7" s="1164"/>
      <c r="F7" s="1165"/>
      <c r="G7" s="1165"/>
      <c r="H7" s="1165"/>
      <c r="I7" s="1166"/>
      <c r="J7" s="1174"/>
      <c r="K7" s="1170"/>
      <c r="L7" s="1170"/>
      <c r="M7" s="1170"/>
      <c r="N7" s="1170"/>
      <c r="O7" s="1171"/>
      <c r="P7" s="1174"/>
      <c r="Q7" s="1170"/>
      <c r="R7" s="1170"/>
      <c r="S7" s="1170"/>
      <c r="T7" s="1170"/>
      <c r="U7" s="1171"/>
      <c r="V7" s="1174"/>
      <c r="W7" s="1170"/>
      <c r="X7" s="1170"/>
      <c r="Y7" s="1170"/>
      <c r="Z7" s="1170"/>
      <c r="AA7" s="1171"/>
      <c r="AB7" s="1174"/>
      <c r="AC7" s="1170"/>
      <c r="AD7" s="1170"/>
      <c r="AE7" s="1170"/>
      <c r="AF7" s="1170"/>
      <c r="AG7" s="1171"/>
      <c r="AH7" s="1181"/>
      <c r="AI7" s="1182"/>
      <c r="AJ7" s="1182"/>
      <c r="AK7" s="1182"/>
      <c r="AL7" s="1182"/>
      <c r="AM7" s="1183"/>
      <c r="AN7" s="83"/>
      <c r="AO7" s="1128"/>
      <c r="AP7" s="1129"/>
      <c r="AQ7" s="1129"/>
      <c r="AR7" s="1129"/>
      <c r="AS7" s="1129"/>
      <c r="AT7" s="1130"/>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row>
    <row r="8" spans="1:99" ht="15" customHeight="1" x14ac:dyDescent="0.25">
      <c r="A8" s="83"/>
      <c r="B8" s="1123"/>
      <c r="C8" s="1123"/>
      <c r="D8" s="1124"/>
      <c r="E8" s="1164"/>
      <c r="F8" s="1165"/>
      <c r="G8" s="1165"/>
      <c r="H8" s="1165"/>
      <c r="I8" s="1166"/>
      <c r="J8" s="1174" t="str">
        <f ca="1">IF(AND('Riesgos de gestión'!$H$28="Muy Alta",'Riesgos de gestión'!$L$28="Leve"),CONCATENATE("R",'Riesgos de gestión'!$A$28),"")</f>
        <v/>
      </c>
      <c r="K8" s="1170"/>
      <c r="L8" s="1170" t="str">
        <f ca="1">IF(AND('Riesgos de gestión'!$H$34="Muy Alta",'Riesgos de gestión'!$L$34="Leve"),CONCATENATE("R",'Riesgos de gestión'!$A$34),"")</f>
        <v/>
      </c>
      <c r="M8" s="1170"/>
      <c r="N8" s="1170" t="str">
        <f ca="1">IF(AND('Riesgos de gestión'!$H$40="Muy Alta",'Riesgos de gestión'!$L$40="Leve"),CONCATENATE("R",'Riesgos de gestión'!$A$40),"")</f>
        <v/>
      </c>
      <c r="O8" s="1171"/>
      <c r="P8" s="1174" t="str">
        <f ca="1">IF(AND('Riesgos de gestión'!$H$28="Muy Alta",'Riesgos de gestión'!$L$28="Menor"),CONCATENATE("R",'Riesgos de gestión'!$A$28),"")</f>
        <v/>
      </c>
      <c r="Q8" s="1170"/>
      <c r="R8" s="1170" t="str">
        <f ca="1">IF(AND('Riesgos de gestión'!$H$34="Muy Alta",'Riesgos de gestión'!$L$34="Menor"),CONCATENATE("R",'Riesgos de gestión'!$A$34),"")</f>
        <v/>
      </c>
      <c r="S8" s="1170"/>
      <c r="T8" s="1170" t="str">
        <f ca="1">IF(AND('Riesgos de gestión'!$H$40="Muy Alta",'Riesgos de gestión'!$L$40="Menor"),CONCATENATE("R",'Riesgos de gestión'!$A$40),"")</f>
        <v/>
      </c>
      <c r="U8" s="1171"/>
      <c r="V8" s="1174" t="str">
        <f ca="1">IF(AND('Riesgos de gestión'!$H$28="Muy Alta",'Riesgos de gestión'!$L$28="Moderado"),CONCATENATE("R",'Riesgos de gestión'!$A$28),"")</f>
        <v/>
      </c>
      <c r="W8" s="1170"/>
      <c r="X8" s="1170" t="str">
        <f ca="1">IF(AND('Riesgos de gestión'!$H$34="Muy Alta",'Riesgos de gestión'!$L$34="Moderado"),CONCATENATE("R",'Riesgos de gestión'!$A$34),"")</f>
        <v/>
      </c>
      <c r="Y8" s="1170"/>
      <c r="Z8" s="1170" t="str">
        <f ca="1">IF(AND('Riesgos de gestión'!$H$40="Muy Alta",'Riesgos de gestión'!$L$40="Moderado"),CONCATENATE("R",'Riesgos de gestión'!$A$40),"")</f>
        <v/>
      </c>
      <c r="AA8" s="1171"/>
      <c r="AB8" s="1174" t="str">
        <f ca="1">IF(AND('Riesgos de gestión'!$H$28="Muy Alta",'Riesgos de gestión'!$L$28="Mayor"),CONCATENATE("R",'Riesgos de gestión'!$A$28),"")</f>
        <v/>
      </c>
      <c r="AC8" s="1170"/>
      <c r="AD8" s="1170" t="str">
        <f ca="1">IF(AND('Riesgos de gestión'!$H$34="Muy Alta",'Riesgos de gestión'!$L$34="Mayor"),CONCATENATE("R",'Riesgos de gestión'!$A$34),"")</f>
        <v/>
      </c>
      <c r="AE8" s="1170"/>
      <c r="AF8" s="1170" t="str">
        <f ca="1">IF(AND('Riesgos de gestión'!$H$40="Muy Alta",'Riesgos de gestión'!$L$40="Mayor"),CONCATENATE("R",'Riesgos de gestión'!$A$40),"")</f>
        <v/>
      </c>
      <c r="AG8" s="1171"/>
      <c r="AH8" s="1181" t="str">
        <f ca="1">IF(AND('Riesgos de gestión'!$H$28="Muy Alta",'Riesgos de gestión'!$L$28="Catastrófico"),CONCATENATE("R",'Riesgos de gestión'!$A$28),"")</f>
        <v/>
      </c>
      <c r="AI8" s="1182"/>
      <c r="AJ8" s="1182" t="str">
        <f ca="1">IF(AND('Riesgos de gestión'!$H$34="Muy Alta",'Riesgos de gestión'!$L$34="Catastrófico"),CONCATENATE("R",'Riesgos de gestión'!$A$34),"")</f>
        <v/>
      </c>
      <c r="AK8" s="1182"/>
      <c r="AL8" s="1182" t="str">
        <f ca="1">IF(AND('Riesgos de gestión'!$H$40="Muy Alta",'Riesgos de gestión'!$L$40="Catastrófico"),CONCATENATE("R",'Riesgos de gestión'!$A$40),"")</f>
        <v/>
      </c>
      <c r="AM8" s="1183"/>
      <c r="AN8" s="83"/>
      <c r="AO8" s="1128"/>
      <c r="AP8" s="1129"/>
      <c r="AQ8" s="1129"/>
      <c r="AR8" s="1129"/>
      <c r="AS8" s="1129"/>
      <c r="AT8" s="1130"/>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row>
    <row r="9" spans="1:99" ht="15" customHeight="1" x14ac:dyDescent="0.25">
      <c r="A9" s="83"/>
      <c r="B9" s="1123"/>
      <c r="C9" s="1123"/>
      <c r="D9" s="1124"/>
      <c r="E9" s="1164"/>
      <c r="F9" s="1165"/>
      <c r="G9" s="1165"/>
      <c r="H9" s="1165"/>
      <c r="I9" s="1166"/>
      <c r="J9" s="1174"/>
      <c r="K9" s="1170"/>
      <c r="L9" s="1170"/>
      <c r="M9" s="1170"/>
      <c r="N9" s="1170"/>
      <c r="O9" s="1171"/>
      <c r="P9" s="1174"/>
      <c r="Q9" s="1170"/>
      <c r="R9" s="1170"/>
      <c r="S9" s="1170"/>
      <c r="T9" s="1170"/>
      <c r="U9" s="1171"/>
      <c r="V9" s="1174"/>
      <c r="W9" s="1170"/>
      <c r="X9" s="1170"/>
      <c r="Y9" s="1170"/>
      <c r="Z9" s="1170"/>
      <c r="AA9" s="1171"/>
      <c r="AB9" s="1174"/>
      <c r="AC9" s="1170"/>
      <c r="AD9" s="1170"/>
      <c r="AE9" s="1170"/>
      <c r="AF9" s="1170"/>
      <c r="AG9" s="1171"/>
      <c r="AH9" s="1181"/>
      <c r="AI9" s="1182"/>
      <c r="AJ9" s="1182"/>
      <c r="AK9" s="1182"/>
      <c r="AL9" s="1182"/>
      <c r="AM9" s="1183"/>
      <c r="AN9" s="83"/>
      <c r="AO9" s="1128"/>
      <c r="AP9" s="1129"/>
      <c r="AQ9" s="1129"/>
      <c r="AR9" s="1129"/>
      <c r="AS9" s="1129"/>
      <c r="AT9" s="1130"/>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row>
    <row r="10" spans="1:99" ht="15" customHeight="1" x14ac:dyDescent="0.25">
      <c r="A10" s="83"/>
      <c r="B10" s="1123"/>
      <c r="C10" s="1123"/>
      <c r="D10" s="1124"/>
      <c r="E10" s="1164"/>
      <c r="F10" s="1165"/>
      <c r="G10" s="1165"/>
      <c r="H10" s="1165"/>
      <c r="I10" s="1166"/>
      <c r="J10" s="1174" t="str">
        <f ca="1">IF(AND('Riesgos de gestión'!$H$46="Muy Alta",'Riesgos de gestión'!$L$46="Leve"),CONCATENATE("R",'Riesgos de gestión'!$A$46),"")</f>
        <v/>
      </c>
      <c r="K10" s="1170"/>
      <c r="L10" s="1170" t="str">
        <f ca="1">IF(AND('Riesgos de gestión'!$H$52="Muy Alta",'Riesgos de gestión'!$L$52="Leve"),CONCATENATE("R",'Riesgos de gestión'!$A$52),"")</f>
        <v/>
      </c>
      <c r="M10" s="1170"/>
      <c r="N10" s="1170" t="str">
        <f ca="1">IF(AND('Riesgos de gestión'!$H$58="Muy Alta",'Riesgos de gestión'!$L$58="Leve"),CONCATENATE("R",'Riesgos de gestión'!$A$58),"")</f>
        <v/>
      </c>
      <c r="O10" s="1171"/>
      <c r="P10" s="1174" t="str">
        <f ca="1">IF(AND('Riesgos de gestión'!$H$46="Muy Alta",'Riesgos de gestión'!$L$46="Menor"),CONCATENATE("R",'Riesgos de gestión'!$A$46),"")</f>
        <v/>
      </c>
      <c r="Q10" s="1170"/>
      <c r="R10" s="1170" t="str">
        <f ca="1">IF(AND('Riesgos de gestión'!$H$52="Muy Alta",'Riesgos de gestión'!$L$52="Menor"),CONCATENATE("R",'Riesgos de gestión'!$A$52),"")</f>
        <v/>
      </c>
      <c r="S10" s="1170"/>
      <c r="T10" s="1170" t="str">
        <f ca="1">IF(AND('Riesgos de gestión'!$H$58="Muy Alta",'Riesgos de gestión'!$L$58="Menor"),CONCATENATE("R",'Riesgos de gestión'!$A$58),"")</f>
        <v/>
      </c>
      <c r="U10" s="1171"/>
      <c r="V10" s="1174" t="str">
        <f ca="1">IF(AND('Riesgos de gestión'!$H$46="Muy Alta",'Riesgos de gestión'!$L$46="Moderado"),CONCATENATE("R",'Riesgos de gestión'!$A$46),"")</f>
        <v/>
      </c>
      <c r="W10" s="1170"/>
      <c r="X10" s="1170" t="str">
        <f ca="1">IF(AND('Riesgos de gestión'!$H$52="Muy Alta",'Riesgos de gestión'!$L$52="Moderado"),CONCATENATE("R",'Riesgos de gestión'!$A$52),"")</f>
        <v/>
      </c>
      <c r="Y10" s="1170"/>
      <c r="Z10" s="1170" t="str">
        <f ca="1">IF(AND('Riesgos de gestión'!$H$58="Muy Alta",'Riesgos de gestión'!$L$58="Moderado"),CONCATENATE("R",'Riesgos de gestión'!$A$58),"")</f>
        <v/>
      </c>
      <c r="AA10" s="1171"/>
      <c r="AB10" s="1174" t="str">
        <f ca="1">IF(AND('Riesgos de gestión'!$H$46="Muy Alta",'Riesgos de gestión'!$L$46="Mayor"),CONCATENATE("R",'Riesgos de gestión'!$A$46),"")</f>
        <v/>
      </c>
      <c r="AC10" s="1170"/>
      <c r="AD10" s="1170" t="str">
        <f ca="1">IF(AND('Riesgos de gestión'!$H$52="Muy Alta",'Riesgos de gestión'!$L$52="Mayor"),CONCATENATE("R",'Riesgos de gestión'!$A$52),"")</f>
        <v/>
      </c>
      <c r="AE10" s="1170"/>
      <c r="AF10" s="1170" t="str">
        <f ca="1">IF(AND('Riesgos de gestión'!$H$58="Muy Alta",'Riesgos de gestión'!$L$58="Mayor"),CONCATENATE("R",'Riesgos de gestión'!$A$58),"")</f>
        <v/>
      </c>
      <c r="AG10" s="1171"/>
      <c r="AH10" s="1181" t="str">
        <f ca="1">IF(AND('Riesgos de gestión'!$H$46="Muy Alta",'Riesgos de gestión'!$L$46="Catastrófico"),CONCATENATE("R",'Riesgos de gestión'!$A$46),"")</f>
        <v/>
      </c>
      <c r="AI10" s="1182"/>
      <c r="AJ10" s="1182" t="str">
        <f ca="1">IF(AND('Riesgos de gestión'!$H$52="Muy Alta",'Riesgos de gestión'!$L$52="Catastrófico"),CONCATENATE("R",'Riesgos de gestión'!$A$52),"")</f>
        <v/>
      </c>
      <c r="AK10" s="1182"/>
      <c r="AL10" s="1182" t="str">
        <f ca="1">IF(AND('Riesgos de gestión'!$H$58="Muy Alta",'Riesgos de gestión'!$L$58="Catastrófico"),CONCATENATE("R",'Riesgos de gestión'!$A$58),"")</f>
        <v/>
      </c>
      <c r="AM10" s="1183"/>
      <c r="AN10" s="83"/>
      <c r="AO10" s="1128"/>
      <c r="AP10" s="1129"/>
      <c r="AQ10" s="1129"/>
      <c r="AR10" s="1129"/>
      <c r="AS10" s="1129"/>
      <c r="AT10" s="1130"/>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row>
    <row r="11" spans="1:99" ht="15" customHeight="1" x14ac:dyDescent="0.25">
      <c r="A11" s="83"/>
      <c r="B11" s="1123"/>
      <c r="C11" s="1123"/>
      <c r="D11" s="1124"/>
      <c r="E11" s="1164"/>
      <c r="F11" s="1165"/>
      <c r="G11" s="1165"/>
      <c r="H11" s="1165"/>
      <c r="I11" s="1166"/>
      <c r="J11" s="1174"/>
      <c r="K11" s="1170"/>
      <c r="L11" s="1170"/>
      <c r="M11" s="1170"/>
      <c r="N11" s="1170"/>
      <c r="O11" s="1171"/>
      <c r="P11" s="1174"/>
      <c r="Q11" s="1170"/>
      <c r="R11" s="1170"/>
      <c r="S11" s="1170"/>
      <c r="T11" s="1170"/>
      <c r="U11" s="1171"/>
      <c r="V11" s="1174"/>
      <c r="W11" s="1170"/>
      <c r="X11" s="1170"/>
      <c r="Y11" s="1170"/>
      <c r="Z11" s="1170"/>
      <c r="AA11" s="1171"/>
      <c r="AB11" s="1174"/>
      <c r="AC11" s="1170"/>
      <c r="AD11" s="1170"/>
      <c r="AE11" s="1170"/>
      <c r="AF11" s="1170"/>
      <c r="AG11" s="1171"/>
      <c r="AH11" s="1181"/>
      <c r="AI11" s="1182"/>
      <c r="AJ11" s="1182"/>
      <c r="AK11" s="1182"/>
      <c r="AL11" s="1182"/>
      <c r="AM11" s="1183"/>
      <c r="AN11" s="83"/>
      <c r="AO11" s="1128"/>
      <c r="AP11" s="1129"/>
      <c r="AQ11" s="1129"/>
      <c r="AR11" s="1129"/>
      <c r="AS11" s="1129"/>
      <c r="AT11" s="1130"/>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row>
    <row r="12" spans="1:99" ht="15" customHeight="1" x14ac:dyDescent="0.25">
      <c r="A12" s="83"/>
      <c r="B12" s="1123"/>
      <c r="C12" s="1123"/>
      <c r="D12" s="1124"/>
      <c r="E12" s="1164"/>
      <c r="F12" s="1165"/>
      <c r="G12" s="1165"/>
      <c r="H12" s="1165"/>
      <c r="I12" s="1166"/>
      <c r="J12" s="1174" t="str">
        <f ca="1">IF(AND('Riesgos de gestión'!$H$64="Muy Alta",'Riesgos de gestión'!$L$64="Leve"),CONCATENATE("R",'Riesgos de gestión'!$A$64),"")</f>
        <v/>
      </c>
      <c r="K12" s="1170"/>
      <c r="L12" s="1170" t="str">
        <f>IF(AND('Riesgos de gestión'!$H$70="Muy Alta",'Riesgos de gestión'!$L$70="Leve"),CONCATENATE("R",'Riesgos de gestión'!$A$70),"")</f>
        <v/>
      </c>
      <c r="M12" s="1170"/>
      <c r="N12" s="1170" t="str">
        <f>IF(AND('Riesgos de gestión'!$H$76="Muy Alta",'Riesgos de gestión'!$L$76="Leve"),CONCATENATE("R",'Riesgos de gestión'!$A$76),"")</f>
        <v/>
      </c>
      <c r="O12" s="1171"/>
      <c r="P12" s="1174" t="str">
        <f ca="1">IF(AND('Riesgos de gestión'!$H$64="Muy Alta",'Riesgos de gestión'!$L$64="Menor"),CONCATENATE("R",'Riesgos de gestión'!$A$64),"")</f>
        <v/>
      </c>
      <c r="Q12" s="1170"/>
      <c r="R12" s="1170" t="str">
        <f>IF(AND('Riesgos de gestión'!$H$70="Muy Alta",'Riesgos de gestión'!$L$70="Menor"),CONCATENATE("R",'Riesgos de gestión'!$A$70),"")</f>
        <v/>
      </c>
      <c r="S12" s="1170"/>
      <c r="T12" s="1170" t="str">
        <f>IF(AND('Riesgos de gestión'!$H$76="Muy Alta",'Riesgos de gestión'!$L$76="Menor"),CONCATENATE("R",'Riesgos de gestión'!$A$76),"")</f>
        <v/>
      </c>
      <c r="U12" s="1171"/>
      <c r="V12" s="1174" t="str">
        <f ca="1">IF(AND('Riesgos de gestión'!$H$64="Muy Alta",'Riesgos de gestión'!$L$64="Moderado"),CONCATENATE("R",'Riesgos de gestión'!$A$64),"")</f>
        <v/>
      </c>
      <c r="W12" s="1170"/>
      <c r="X12" s="1170" t="str">
        <f>IF(AND('Riesgos de gestión'!$H$70="Muy Alta",'Riesgos de gestión'!$L$70="Moderado"),CONCATENATE("R",'Riesgos de gestión'!$A$70),"")</f>
        <v/>
      </c>
      <c r="Y12" s="1170"/>
      <c r="Z12" s="1170" t="str">
        <f>IF(AND('Riesgos de gestión'!$H$76="Muy Alta",'Riesgos de gestión'!$L$76="Moderado"),CONCATENATE("R",'Riesgos de gestión'!$A$76),"")</f>
        <v/>
      </c>
      <c r="AA12" s="1171"/>
      <c r="AB12" s="1174" t="str">
        <f ca="1">IF(AND('Riesgos de gestión'!$H$64="Muy Alta",'Riesgos de gestión'!$L$64="Mayor"),CONCATENATE("R",'Riesgos de gestión'!$A$64),"")</f>
        <v/>
      </c>
      <c r="AC12" s="1170"/>
      <c r="AD12" s="1170" t="str">
        <f>IF(AND('Riesgos de gestión'!$H$70="Muy Alta",'Riesgos de gestión'!$L$70="Mayor"),CONCATENATE("R",'Riesgos de gestión'!$A$70),"")</f>
        <v/>
      </c>
      <c r="AE12" s="1170"/>
      <c r="AF12" s="1170" t="str">
        <f>IF(AND('Riesgos de gestión'!$H$76="Muy Alta",'Riesgos de gestión'!$L$76="Mayor"),CONCATENATE("R",'Riesgos de gestión'!$A$76),"")</f>
        <v/>
      </c>
      <c r="AG12" s="1171"/>
      <c r="AH12" s="1181" t="str">
        <f ca="1">IF(AND('Riesgos de gestión'!$H$64="Muy Alta",'Riesgos de gestión'!$L$64="Catastrófico"),CONCATENATE("R",'Riesgos de gestión'!$A$64),"")</f>
        <v/>
      </c>
      <c r="AI12" s="1182"/>
      <c r="AJ12" s="1182" t="str">
        <f>IF(AND('Riesgos de gestión'!$H$70="Muy Alta",'Riesgos de gestión'!$L$70="Catastrófico"),CONCATENATE("R",'Riesgos de gestión'!$A$70),"")</f>
        <v/>
      </c>
      <c r="AK12" s="1182"/>
      <c r="AL12" s="1182" t="str">
        <f>IF(AND('Riesgos de gestión'!$H$76="Muy Alta",'Riesgos de gestión'!$L$76="Catastrófico"),CONCATENATE("R",'Riesgos de gestión'!$A$76),"")</f>
        <v/>
      </c>
      <c r="AM12" s="1183"/>
      <c r="AN12" s="83"/>
      <c r="AO12" s="1128"/>
      <c r="AP12" s="1129"/>
      <c r="AQ12" s="1129"/>
      <c r="AR12" s="1129"/>
      <c r="AS12" s="1129"/>
      <c r="AT12" s="1130"/>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row>
    <row r="13" spans="1:99" ht="15.75" customHeight="1" thickBot="1" x14ac:dyDescent="0.3">
      <c r="A13" s="83"/>
      <c r="B13" s="1123"/>
      <c r="C13" s="1123"/>
      <c r="D13" s="1124"/>
      <c r="E13" s="1167"/>
      <c r="F13" s="1168"/>
      <c r="G13" s="1168"/>
      <c r="H13" s="1168"/>
      <c r="I13" s="1169"/>
      <c r="J13" s="1174"/>
      <c r="K13" s="1170"/>
      <c r="L13" s="1170"/>
      <c r="M13" s="1170"/>
      <c r="N13" s="1170"/>
      <c r="O13" s="1171"/>
      <c r="P13" s="1174"/>
      <c r="Q13" s="1170"/>
      <c r="R13" s="1170"/>
      <c r="S13" s="1170"/>
      <c r="T13" s="1170"/>
      <c r="U13" s="1171"/>
      <c r="V13" s="1174"/>
      <c r="W13" s="1170"/>
      <c r="X13" s="1170"/>
      <c r="Y13" s="1170"/>
      <c r="Z13" s="1170"/>
      <c r="AA13" s="1171"/>
      <c r="AB13" s="1174"/>
      <c r="AC13" s="1170"/>
      <c r="AD13" s="1170"/>
      <c r="AE13" s="1170"/>
      <c r="AF13" s="1170"/>
      <c r="AG13" s="1171"/>
      <c r="AH13" s="1184"/>
      <c r="AI13" s="1185"/>
      <c r="AJ13" s="1185"/>
      <c r="AK13" s="1185"/>
      <c r="AL13" s="1185"/>
      <c r="AM13" s="1186"/>
      <c r="AN13" s="83"/>
      <c r="AO13" s="1131"/>
      <c r="AP13" s="1132"/>
      <c r="AQ13" s="1132"/>
      <c r="AR13" s="1132"/>
      <c r="AS13" s="1132"/>
      <c r="AT13" s="113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row>
    <row r="14" spans="1:99" ht="15" customHeight="1" x14ac:dyDescent="0.25">
      <c r="A14" s="83"/>
      <c r="B14" s="1123"/>
      <c r="C14" s="1123"/>
      <c r="D14" s="1124"/>
      <c r="E14" s="1161" t="s">
        <v>115</v>
      </c>
      <c r="F14" s="1162"/>
      <c r="G14" s="1162"/>
      <c r="H14" s="1162"/>
      <c r="I14" s="1162"/>
      <c r="J14" s="1196" t="str">
        <f ca="1">IF(AND('Riesgos de gestión'!$H$10="Alta",'Riesgos de gestión'!$L$10="Leve"),CONCATENATE("R",'Riesgos de gestión'!$A$10),"")</f>
        <v/>
      </c>
      <c r="K14" s="1197"/>
      <c r="L14" s="1197" t="str">
        <f ca="1">IF(AND('Riesgos de gestión'!$H$16="Alta",'Riesgos de gestión'!$L$16="Leve"),CONCATENATE("R",'Riesgos de gestión'!$A$16),"")</f>
        <v/>
      </c>
      <c r="M14" s="1197"/>
      <c r="N14" s="1197" t="str">
        <f ca="1">IF(AND('Riesgos de gestión'!$H$22="Alta",'Riesgos de gestión'!$L$22="Leve"),CONCATENATE("R",'Riesgos de gestión'!$A$22),"")</f>
        <v/>
      </c>
      <c r="O14" s="1198"/>
      <c r="P14" s="1196" t="str">
        <f ca="1">IF(AND('Riesgos de gestión'!$H$10="Alta",'Riesgos de gestión'!$L$10="Menor"),CONCATENATE("R",'Riesgos de gestión'!$A$10),"")</f>
        <v/>
      </c>
      <c r="Q14" s="1197"/>
      <c r="R14" s="1197" t="str">
        <f ca="1">IF(AND('Riesgos de gestión'!$H$16="Alta",'Riesgos de gestión'!$L$16="Menor"),CONCATENATE("R",'Riesgos de gestión'!$A$16),"")</f>
        <v/>
      </c>
      <c r="S14" s="1197"/>
      <c r="T14" s="1197" t="str">
        <f ca="1">IF(AND('Riesgos de gestión'!$H$22="Alta",'Riesgos de gestión'!$L$22="Menor"),CONCATENATE("R",'Riesgos de gestión'!$A$22),"")</f>
        <v/>
      </c>
      <c r="U14" s="1198"/>
      <c r="V14" s="1172" t="str">
        <f ca="1">IF(AND('Riesgos de gestión'!$H$10="Alta",'Riesgos de gestión'!$L$10="Moderado"),CONCATENATE("R",'Riesgos de gestión'!$A$10),"")</f>
        <v/>
      </c>
      <c r="W14" s="1173"/>
      <c r="X14" s="1173" t="str">
        <f ca="1">IF(AND('Riesgos de gestión'!$H$16="Alta",'Riesgos de gestión'!$L$16="Moderado"),CONCATENATE("R",'Riesgos de gestión'!$A$16),"")</f>
        <v/>
      </c>
      <c r="Y14" s="1173"/>
      <c r="Z14" s="1173" t="str">
        <f ca="1">IF(AND('Riesgos de gestión'!$H$22="Alta",'Riesgos de gestión'!$L$22="Moderado"),CONCATENATE("R",'Riesgos de gestión'!$A$22),"")</f>
        <v/>
      </c>
      <c r="AA14" s="1175"/>
      <c r="AB14" s="1172" t="str">
        <f ca="1">IF(AND('Riesgos de gestión'!$H$10="Alta",'Riesgos de gestión'!$L$10="Mayor"),CONCATENATE("R",'Riesgos de gestión'!$A$10),"")</f>
        <v/>
      </c>
      <c r="AC14" s="1173"/>
      <c r="AD14" s="1173" t="str">
        <f ca="1">IF(AND('Riesgos de gestión'!$H$16="Alta",'Riesgos de gestión'!$L$16="Mayor"),CONCATENATE("R",'Riesgos de gestión'!$A$16),"")</f>
        <v/>
      </c>
      <c r="AE14" s="1173"/>
      <c r="AF14" s="1173" t="str">
        <f ca="1">IF(AND('Riesgos de gestión'!$H$22="Alta",'Riesgos de gestión'!$L$22="Mayor"),CONCATENATE("R",'Riesgos de gestión'!$A$22),"")</f>
        <v/>
      </c>
      <c r="AG14" s="1175"/>
      <c r="AH14" s="1187" t="str">
        <f ca="1">IF(AND('Riesgos de gestión'!$H$10="Alta",'Riesgos de gestión'!$L$10="Catastrófico"),CONCATENATE("R",'Riesgos de gestión'!$A$10),"")</f>
        <v/>
      </c>
      <c r="AI14" s="1188"/>
      <c r="AJ14" s="1188" t="str">
        <f ca="1">IF(AND('Riesgos de gestión'!$H$16="Alta",'Riesgos de gestión'!$L$16="Catastrófico"),CONCATENATE("R",'Riesgos de gestión'!$A$16),"")</f>
        <v/>
      </c>
      <c r="AK14" s="1188"/>
      <c r="AL14" s="1188" t="str">
        <f ca="1">IF(AND('Riesgos de gestión'!$H$22="Alta",'Riesgos de gestión'!$L$22="Catastrófico"),CONCATENATE("R",'Riesgos de gestión'!$A$22),"")</f>
        <v/>
      </c>
      <c r="AM14" s="1189"/>
      <c r="AN14" s="83"/>
      <c r="AO14" s="1134" t="s">
        <v>80</v>
      </c>
      <c r="AP14" s="1135"/>
      <c r="AQ14" s="1135"/>
      <c r="AR14" s="1135"/>
      <c r="AS14" s="1135"/>
      <c r="AT14" s="1136"/>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row>
    <row r="15" spans="1:99" ht="15" customHeight="1" x14ac:dyDescent="0.25">
      <c r="A15" s="83"/>
      <c r="B15" s="1123"/>
      <c r="C15" s="1123"/>
      <c r="D15" s="1124"/>
      <c r="E15" s="1164"/>
      <c r="F15" s="1165"/>
      <c r="G15" s="1165"/>
      <c r="H15" s="1165"/>
      <c r="I15" s="1165"/>
      <c r="J15" s="1190"/>
      <c r="K15" s="1191"/>
      <c r="L15" s="1191"/>
      <c r="M15" s="1191"/>
      <c r="N15" s="1191"/>
      <c r="O15" s="1192"/>
      <c r="P15" s="1190"/>
      <c r="Q15" s="1191"/>
      <c r="R15" s="1191"/>
      <c r="S15" s="1191"/>
      <c r="T15" s="1191"/>
      <c r="U15" s="1192"/>
      <c r="V15" s="1174"/>
      <c r="W15" s="1170"/>
      <c r="X15" s="1170"/>
      <c r="Y15" s="1170"/>
      <c r="Z15" s="1170"/>
      <c r="AA15" s="1171"/>
      <c r="AB15" s="1174"/>
      <c r="AC15" s="1170"/>
      <c r="AD15" s="1170"/>
      <c r="AE15" s="1170"/>
      <c r="AF15" s="1170"/>
      <c r="AG15" s="1171"/>
      <c r="AH15" s="1181"/>
      <c r="AI15" s="1182"/>
      <c r="AJ15" s="1182"/>
      <c r="AK15" s="1182"/>
      <c r="AL15" s="1182"/>
      <c r="AM15" s="1183"/>
      <c r="AN15" s="83"/>
      <c r="AO15" s="1137"/>
      <c r="AP15" s="1138"/>
      <c r="AQ15" s="1138"/>
      <c r="AR15" s="1138"/>
      <c r="AS15" s="1138"/>
      <c r="AT15" s="1139"/>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row>
    <row r="16" spans="1:99" ht="15" customHeight="1" x14ac:dyDescent="0.25">
      <c r="A16" s="83"/>
      <c r="B16" s="1123"/>
      <c r="C16" s="1123"/>
      <c r="D16" s="1124"/>
      <c r="E16" s="1164"/>
      <c r="F16" s="1165"/>
      <c r="G16" s="1165"/>
      <c r="H16" s="1165"/>
      <c r="I16" s="1165"/>
      <c r="J16" s="1190" t="str">
        <f ca="1">IF(AND('Riesgos de gestión'!$H$28="Alta",'Riesgos de gestión'!$L$28="Leve"),CONCATENATE("R",'Riesgos de gestión'!$A$28),"")</f>
        <v/>
      </c>
      <c r="K16" s="1191"/>
      <c r="L16" s="1191" t="str">
        <f ca="1">IF(AND('Riesgos de gestión'!$H$34="Alta",'Riesgos de gestión'!$L$34="Leve"),CONCATENATE("R",'Riesgos de gestión'!$A$34),"")</f>
        <v/>
      </c>
      <c r="M16" s="1191"/>
      <c r="N16" s="1191" t="str">
        <f ca="1">IF(AND('Riesgos de gestión'!$H$40="Alta",'Riesgos de gestión'!$L$40="Leve"),CONCATENATE("R",'Riesgos de gestión'!$A$40),"")</f>
        <v/>
      </c>
      <c r="O16" s="1192"/>
      <c r="P16" s="1190" t="str">
        <f ca="1">IF(AND('Riesgos de gestión'!$H$28="Alta",'Riesgos de gestión'!$L$28="Menor"),CONCATENATE("R",'Riesgos de gestión'!$A$28),"")</f>
        <v/>
      </c>
      <c r="Q16" s="1191"/>
      <c r="R16" s="1191" t="str">
        <f ca="1">IF(AND('Riesgos de gestión'!$H$34="Alta",'Riesgos de gestión'!$L$34="Menor"),CONCATENATE("R",'Riesgos de gestión'!$A$34),"")</f>
        <v/>
      </c>
      <c r="S16" s="1191"/>
      <c r="T16" s="1191" t="str">
        <f ca="1">IF(AND('Riesgos de gestión'!$H$40="Alta",'Riesgos de gestión'!$L$40="Menor"),CONCATENATE("R",'Riesgos de gestión'!$A$40),"")</f>
        <v/>
      </c>
      <c r="U16" s="1192"/>
      <c r="V16" s="1174" t="str">
        <f ca="1">IF(AND('Riesgos de gestión'!$H$28="Alta",'Riesgos de gestión'!$L$28="Moderado"),CONCATENATE("R",'Riesgos de gestión'!$A$28),"")</f>
        <v/>
      </c>
      <c r="W16" s="1170"/>
      <c r="X16" s="1170" t="str">
        <f ca="1">IF(AND('Riesgos de gestión'!$H$34="Alta",'Riesgos de gestión'!$L$34="Moderado"),CONCATENATE("R",'Riesgos de gestión'!$A$34),"")</f>
        <v/>
      </c>
      <c r="Y16" s="1170"/>
      <c r="Z16" s="1170" t="str">
        <f ca="1">IF(AND('Riesgos de gestión'!$H$40="Alta",'Riesgos de gestión'!$L$40="Moderado"),CONCATENATE("R",'Riesgos de gestión'!$A$40),"")</f>
        <v/>
      </c>
      <c r="AA16" s="1171"/>
      <c r="AB16" s="1174" t="str">
        <f ca="1">IF(AND('Riesgos de gestión'!$H$28="Alta",'Riesgos de gestión'!$L$28="Mayor"),CONCATENATE("R",'Riesgos de gestión'!$A$28),"")</f>
        <v/>
      </c>
      <c r="AC16" s="1170"/>
      <c r="AD16" s="1170" t="str">
        <f ca="1">IF(AND('Riesgos de gestión'!$H$34="Alta",'Riesgos de gestión'!$L$34="Mayor"),CONCATENATE("R",'Riesgos de gestión'!$A$34),"")</f>
        <v/>
      </c>
      <c r="AE16" s="1170"/>
      <c r="AF16" s="1170" t="str">
        <f ca="1">IF(AND('Riesgos de gestión'!$H$40="Alta",'Riesgos de gestión'!$L$40="Mayor"),CONCATENATE("R",'Riesgos de gestión'!$A$40),"")</f>
        <v/>
      </c>
      <c r="AG16" s="1171"/>
      <c r="AH16" s="1181" t="str">
        <f ca="1">IF(AND('Riesgos de gestión'!$H$28="Alta",'Riesgos de gestión'!$L$28="Catastrófico"),CONCATENATE("R",'Riesgos de gestión'!$A$28),"")</f>
        <v/>
      </c>
      <c r="AI16" s="1182"/>
      <c r="AJ16" s="1182" t="str">
        <f ca="1">IF(AND('Riesgos de gestión'!$H$34="Alta",'Riesgos de gestión'!$L$34="Catastrófico"),CONCATENATE("R",'Riesgos de gestión'!$A$34),"")</f>
        <v/>
      </c>
      <c r="AK16" s="1182"/>
      <c r="AL16" s="1182" t="str">
        <f ca="1">IF(AND('Riesgos de gestión'!$H$40="Alta",'Riesgos de gestión'!$L$40="Catastrófico"),CONCATENATE("R",'Riesgos de gestión'!$A$40),"")</f>
        <v/>
      </c>
      <c r="AM16" s="1183"/>
      <c r="AN16" s="83"/>
      <c r="AO16" s="1137"/>
      <c r="AP16" s="1138"/>
      <c r="AQ16" s="1138"/>
      <c r="AR16" s="1138"/>
      <c r="AS16" s="1138"/>
      <c r="AT16" s="1139"/>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row>
    <row r="17" spans="1:80" ht="15" customHeight="1" x14ac:dyDescent="0.25">
      <c r="A17" s="83"/>
      <c r="B17" s="1123"/>
      <c r="C17" s="1123"/>
      <c r="D17" s="1124"/>
      <c r="E17" s="1164"/>
      <c r="F17" s="1165"/>
      <c r="G17" s="1165"/>
      <c r="H17" s="1165"/>
      <c r="I17" s="1165"/>
      <c r="J17" s="1190"/>
      <c r="K17" s="1191"/>
      <c r="L17" s="1191"/>
      <c r="M17" s="1191"/>
      <c r="N17" s="1191"/>
      <c r="O17" s="1192"/>
      <c r="P17" s="1190"/>
      <c r="Q17" s="1191"/>
      <c r="R17" s="1191"/>
      <c r="S17" s="1191"/>
      <c r="T17" s="1191"/>
      <c r="U17" s="1192"/>
      <c r="V17" s="1174"/>
      <c r="W17" s="1170"/>
      <c r="X17" s="1170"/>
      <c r="Y17" s="1170"/>
      <c r="Z17" s="1170"/>
      <c r="AA17" s="1171"/>
      <c r="AB17" s="1174"/>
      <c r="AC17" s="1170"/>
      <c r="AD17" s="1170"/>
      <c r="AE17" s="1170"/>
      <c r="AF17" s="1170"/>
      <c r="AG17" s="1171"/>
      <c r="AH17" s="1181"/>
      <c r="AI17" s="1182"/>
      <c r="AJ17" s="1182"/>
      <c r="AK17" s="1182"/>
      <c r="AL17" s="1182"/>
      <c r="AM17" s="1183"/>
      <c r="AN17" s="83"/>
      <c r="AO17" s="1137"/>
      <c r="AP17" s="1138"/>
      <c r="AQ17" s="1138"/>
      <c r="AR17" s="1138"/>
      <c r="AS17" s="1138"/>
      <c r="AT17" s="1139"/>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row>
    <row r="18" spans="1:80" ht="15" customHeight="1" x14ac:dyDescent="0.25">
      <c r="A18" s="83"/>
      <c r="B18" s="1123"/>
      <c r="C18" s="1123"/>
      <c r="D18" s="1124"/>
      <c r="E18" s="1164"/>
      <c r="F18" s="1165"/>
      <c r="G18" s="1165"/>
      <c r="H18" s="1165"/>
      <c r="I18" s="1165"/>
      <c r="J18" s="1190" t="str">
        <f ca="1">IF(AND('Riesgos de gestión'!$H$46="Alta",'Riesgos de gestión'!$L$46="Leve"),CONCATENATE("R",'Riesgos de gestión'!$A$46),"")</f>
        <v/>
      </c>
      <c r="K18" s="1191"/>
      <c r="L18" s="1191" t="str">
        <f ca="1">IF(AND('Riesgos de gestión'!$H$52="Alta",'Riesgos de gestión'!$L$52="Leve"),CONCATENATE("R",'Riesgos de gestión'!$A$52),"")</f>
        <v/>
      </c>
      <c r="M18" s="1191"/>
      <c r="N18" s="1191" t="str">
        <f ca="1">IF(AND('Riesgos de gestión'!$H$58="Alta",'Riesgos de gestión'!$L$58="Leve"),CONCATENATE("R",'Riesgos de gestión'!$A$58),"")</f>
        <v/>
      </c>
      <c r="O18" s="1192"/>
      <c r="P18" s="1190" t="str">
        <f ca="1">IF(AND('Riesgos de gestión'!$H$46="Alta",'Riesgos de gestión'!$L$46="Menor"),CONCATENATE("R",'Riesgos de gestión'!$A$46),"")</f>
        <v/>
      </c>
      <c r="Q18" s="1191"/>
      <c r="R18" s="1191" t="str">
        <f ca="1">IF(AND('Riesgos de gestión'!$H$52="Alta",'Riesgos de gestión'!$L$52="Menor"),CONCATENATE("R",'Riesgos de gestión'!$A$52),"")</f>
        <v/>
      </c>
      <c r="S18" s="1191"/>
      <c r="T18" s="1191" t="str">
        <f ca="1">IF(AND('Riesgos de gestión'!$H$58="Alta",'Riesgos de gestión'!$L$58="Menor"),CONCATENATE("R",'Riesgos de gestión'!$A$58),"")</f>
        <v/>
      </c>
      <c r="U18" s="1192"/>
      <c r="V18" s="1174" t="str">
        <f ca="1">IF(AND('Riesgos de gestión'!$H$46="Alta",'Riesgos de gestión'!$L$46="Moderado"),CONCATENATE("R",'Riesgos de gestión'!$A$46),"")</f>
        <v/>
      </c>
      <c r="W18" s="1170"/>
      <c r="X18" s="1170" t="str">
        <f ca="1">IF(AND('Riesgos de gestión'!$H$52="Alta",'Riesgos de gestión'!$L$52="Moderado"),CONCATENATE("R",'Riesgos de gestión'!$A$52),"")</f>
        <v/>
      </c>
      <c r="Y18" s="1170"/>
      <c r="Z18" s="1170" t="str">
        <f ca="1">IF(AND('Riesgos de gestión'!$H$58="Alta",'Riesgos de gestión'!$L$58="Moderado"),CONCATENATE("R",'Riesgos de gestión'!$A$58),"")</f>
        <v/>
      </c>
      <c r="AA18" s="1171"/>
      <c r="AB18" s="1174" t="str">
        <f ca="1">IF(AND('Riesgos de gestión'!$H$46="Alta",'Riesgos de gestión'!$L$46="Mayor"),CONCATENATE("R",'Riesgos de gestión'!$A$46),"")</f>
        <v/>
      </c>
      <c r="AC18" s="1170"/>
      <c r="AD18" s="1170" t="str">
        <f ca="1">IF(AND('Riesgos de gestión'!$H$52="Alta",'Riesgos de gestión'!$L$52="Mayor"),CONCATENATE("R",'Riesgos de gestión'!$A$52),"")</f>
        <v/>
      </c>
      <c r="AE18" s="1170"/>
      <c r="AF18" s="1170" t="str">
        <f ca="1">IF(AND('Riesgos de gestión'!$H$58="Alta",'Riesgos de gestión'!$L$58="Mayor"),CONCATENATE("R",'Riesgos de gestión'!$A$58),"")</f>
        <v/>
      </c>
      <c r="AG18" s="1171"/>
      <c r="AH18" s="1181" t="str">
        <f ca="1">IF(AND('Riesgos de gestión'!$H$46="Alta",'Riesgos de gestión'!$L$46="Catastrófico"),CONCATENATE("R",'Riesgos de gestión'!$A$46),"")</f>
        <v/>
      </c>
      <c r="AI18" s="1182"/>
      <c r="AJ18" s="1182" t="str">
        <f ca="1">IF(AND('Riesgos de gestión'!$H$52="Alta",'Riesgos de gestión'!$L$52="Catastrófico"),CONCATENATE("R",'Riesgos de gestión'!$A$52),"")</f>
        <v/>
      </c>
      <c r="AK18" s="1182"/>
      <c r="AL18" s="1182" t="str">
        <f ca="1">IF(AND('Riesgos de gestión'!$H$58="Alta",'Riesgos de gestión'!$L$58="Catastrófico"),CONCATENATE("R",'Riesgos de gestión'!$A$58),"")</f>
        <v/>
      </c>
      <c r="AM18" s="1183"/>
      <c r="AN18" s="83"/>
      <c r="AO18" s="1137"/>
      <c r="AP18" s="1138"/>
      <c r="AQ18" s="1138"/>
      <c r="AR18" s="1138"/>
      <c r="AS18" s="1138"/>
      <c r="AT18" s="1139"/>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row>
    <row r="19" spans="1:80" ht="15" customHeight="1" x14ac:dyDescent="0.25">
      <c r="A19" s="83"/>
      <c r="B19" s="1123"/>
      <c r="C19" s="1123"/>
      <c r="D19" s="1124"/>
      <c r="E19" s="1164"/>
      <c r="F19" s="1165"/>
      <c r="G19" s="1165"/>
      <c r="H19" s="1165"/>
      <c r="I19" s="1165"/>
      <c r="J19" s="1190"/>
      <c r="K19" s="1191"/>
      <c r="L19" s="1191"/>
      <c r="M19" s="1191"/>
      <c r="N19" s="1191"/>
      <c r="O19" s="1192"/>
      <c r="P19" s="1190"/>
      <c r="Q19" s="1191"/>
      <c r="R19" s="1191"/>
      <c r="S19" s="1191"/>
      <c r="T19" s="1191"/>
      <c r="U19" s="1192"/>
      <c r="V19" s="1174"/>
      <c r="W19" s="1170"/>
      <c r="X19" s="1170"/>
      <c r="Y19" s="1170"/>
      <c r="Z19" s="1170"/>
      <c r="AA19" s="1171"/>
      <c r="AB19" s="1174"/>
      <c r="AC19" s="1170"/>
      <c r="AD19" s="1170"/>
      <c r="AE19" s="1170"/>
      <c r="AF19" s="1170"/>
      <c r="AG19" s="1171"/>
      <c r="AH19" s="1181"/>
      <c r="AI19" s="1182"/>
      <c r="AJ19" s="1182"/>
      <c r="AK19" s="1182"/>
      <c r="AL19" s="1182"/>
      <c r="AM19" s="1183"/>
      <c r="AN19" s="83"/>
      <c r="AO19" s="1137"/>
      <c r="AP19" s="1138"/>
      <c r="AQ19" s="1138"/>
      <c r="AR19" s="1138"/>
      <c r="AS19" s="1138"/>
      <c r="AT19" s="1139"/>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row>
    <row r="20" spans="1:80" ht="15" customHeight="1" x14ac:dyDescent="0.25">
      <c r="A20" s="83"/>
      <c r="B20" s="1123"/>
      <c r="C20" s="1123"/>
      <c r="D20" s="1124"/>
      <c r="E20" s="1164"/>
      <c r="F20" s="1165"/>
      <c r="G20" s="1165"/>
      <c r="H20" s="1165"/>
      <c r="I20" s="1165"/>
      <c r="J20" s="1190" t="str">
        <f ca="1">IF(AND('Riesgos de gestión'!$H$64="Alta",'Riesgos de gestión'!$L$64="Leve"),CONCATENATE("R",'Riesgos de gestión'!$A$64),"")</f>
        <v/>
      </c>
      <c r="K20" s="1191"/>
      <c r="L20" s="1191" t="str">
        <f>IF(AND('Riesgos de gestión'!$H$70="Alta",'Riesgos de gestión'!$L$70="Leve"),CONCATENATE("R",'Riesgos de gestión'!$A$70),"")</f>
        <v/>
      </c>
      <c r="M20" s="1191"/>
      <c r="N20" s="1191" t="str">
        <f>IF(AND('Riesgos de gestión'!$H$76="Alta",'Riesgos de gestión'!$L$76="Leve"),CONCATENATE("R",'Riesgos de gestión'!$A$76),"")</f>
        <v/>
      </c>
      <c r="O20" s="1192"/>
      <c r="P20" s="1190" t="str">
        <f ca="1">IF(AND('Riesgos de gestión'!$H$64="Alta",'Riesgos de gestión'!$L$64="Menor"),CONCATENATE("R",'Riesgos de gestión'!$A$64),"")</f>
        <v/>
      </c>
      <c r="Q20" s="1191"/>
      <c r="R20" s="1191" t="str">
        <f>IF(AND('Riesgos de gestión'!$H$70="Alta",'Riesgos de gestión'!$L$70="Menor"),CONCATENATE("R",'Riesgos de gestión'!$A$70),"")</f>
        <v/>
      </c>
      <c r="S20" s="1191"/>
      <c r="T20" s="1191" t="str">
        <f>IF(AND('Riesgos de gestión'!$H$76="Alta",'Riesgos de gestión'!$L$76="Menor"),CONCATENATE("R",'Riesgos de gestión'!$A$76),"")</f>
        <v/>
      </c>
      <c r="U20" s="1192"/>
      <c r="V20" s="1174" t="str">
        <f ca="1">IF(AND('Riesgos de gestión'!$H$64="Alta",'Riesgos de gestión'!$L$64="Moderado"),CONCATENATE("R",'Riesgos de gestión'!$A$64),"")</f>
        <v/>
      </c>
      <c r="W20" s="1170"/>
      <c r="X20" s="1170" t="str">
        <f>IF(AND('Riesgos de gestión'!$H$70="Alta",'Riesgos de gestión'!$L$70="Moderado"),CONCATENATE("R",'Riesgos de gestión'!$A$70),"")</f>
        <v/>
      </c>
      <c r="Y20" s="1170"/>
      <c r="Z20" s="1170" t="str">
        <f>IF(AND('Riesgos de gestión'!$H$76="Alta",'Riesgos de gestión'!$L$76="Moderado"),CONCATENATE("R",'Riesgos de gestión'!$A$76),"")</f>
        <v/>
      </c>
      <c r="AA20" s="1171"/>
      <c r="AB20" s="1174" t="str">
        <f ca="1">IF(AND('Riesgos de gestión'!$H$64="Alta",'Riesgos de gestión'!$L$64="Mayor"),CONCATENATE("R",'Riesgos de gestión'!$A$64),"")</f>
        <v/>
      </c>
      <c r="AC20" s="1170"/>
      <c r="AD20" s="1170" t="str">
        <f>IF(AND('Riesgos de gestión'!$H$70="Alta",'Riesgos de gestión'!$L$70="Mayor"),CONCATENATE("R",'Riesgos de gestión'!$A$70),"")</f>
        <v/>
      </c>
      <c r="AE20" s="1170"/>
      <c r="AF20" s="1170" t="str">
        <f>IF(AND('Riesgos de gestión'!$H$76="Alta",'Riesgos de gestión'!$L$76="Mayor"),CONCATENATE("R",'Riesgos de gestión'!$A$76),"")</f>
        <v/>
      </c>
      <c r="AG20" s="1171"/>
      <c r="AH20" s="1181" t="str">
        <f ca="1">IF(AND('Riesgos de gestión'!$H$64="Alta",'Riesgos de gestión'!$L$64="Catastrófico"),CONCATENATE("R",'Riesgos de gestión'!$A$64),"")</f>
        <v/>
      </c>
      <c r="AI20" s="1182"/>
      <c r="AJ20" s="1182" t="str">
        <f>IF(AND('Riesgos de gestión'!$H$70="Alta",'Riesgos de gestión'!$L$70="Catastrófico"),CONCATENATE("R",'Riesgos de gestión'!$A$70),"")</f>
        <v/>
      </c>
      <c r="AK20" s="1182"/>
      <c r="AL20" s="1182" t="str">
        <f>IF(AND('Riesgos de gestión'!$H$76="Alta",'Riesgos de gestión'!$L$76="Catastrófico"),CONCATENATE("R",'Riesgos de gestión'!$A$76),"")</f>
        <v/>
      </c>
      <c r="AM20" s="1183"/>
      <c r="AN20" s="83"/>
      <c r="AO20" s="1137"/>
      <c r="AP20" s="1138"/>
      <c r="AQ20" s="1138"/>
      <c r="AR20" s="1138"/>
      <c r="AS20" s="1138"/>
      <c r="AT20" s="1139"/>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row>
    <row r="21" spans="1:80" ht="15.75" customHeight="1" thickBot="1" x14ac:dyDescent="0.3">
      <c r="A21" s="83"/>
      <c r="B21" s="1123"/>
      <c r="C21" s="1123"/>
      <c r="D21" s="1124"/>
      <c r="E21" s="1167"/>
      <c r="F21" s="1168"/>
      <c r="G21" s="1168"/>
      <c r="H21" s="1168"/>
      <c r="I21" s="1168"/>
      <c r="J21" s="1193"/>
      <c r="K21" s="1194"/>
      <c r="L21" s="1194"/>
      <c r="M21" s="1194"/>
      <c r="N21" s="1194"/>
      <c r="O21" s="1195"/>
      <c r="P21" s="1193"/>
      <c r="Q21" s="1194"/>
      <c r="R21" s="1194"/>
      <c r="S21" s="1194"/>
      <c r="T21" s="1194"/>
      <c r="U21" s="1195"/>
      <c r="V21" s="1178"/>
      <c r="W21" s="1179"/>
      <c r="X21" s="1179"/>
      <c r="Y21" s="1179"/>
      <c r="Z21" s="1179"/>
      <c r="AA21" s="1180"/>
      <c r="AB21" s="1178"/>
      <c r="AC21" s="1179"/>
      <c r="AD21" s="1179"/>
      <c r="AE21" s="1179"/>
      <c r="AF21" s="1179"/>
      <c r="AG21" s="1180"/>
      <c r="AH21" s="1184"/>
      <c r="AI21" s="1185"/>
      <c r="AJ21" s="1185"/>
      <c r="AK21" s="1185"/>
      <c r="AL21" s="1185"/>
      <c r="AM21" s="1186"/>
      <c r="AN21" s="83"/>
      <c r="AO21" s="1140"/>
      <c r="AP21" s="1141"/>
      <c r="AQ21" s="1141"/>
      <c r="AR21" s="1141"/>
      <c r="AS21" s="1141"/>
      <c r="AT21" s="1142"/>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row>
    <row r="22" spans="1:80" x14ac:dyDescent="0.25">
      <c r="A22" s="83"/>
      <c r="B22" s="1123"/>
      <c r="C22" s="1123"/>
      <c r="D22" s="1124"/>
      <c r="E22" s="1161" t="s">
        <v>117</v>
      </c>
      <c r="F22" s="1162"/>
      <c r="G22" s="1162"/>
      <c r="H22" s="1162"/>
      <c r="I22" s="1163"/>
      <c r="J22" s="1196" t="str">
        <f ca="1">IF(AND('Riesgos de gestión'!$H$10="Media",'Riesgos de gestión'!$L$10="Leve"),CONCATENATE("R",'Riesgos de gestión'!$A$10),"")</f>
        <v/>
      </c>
      <c r="K22" s="1197"/>
      <c r="L22" s="1197" t="str">
        <f ca="1">IF(AND('Riesgos de gestión'!$H$16="Media",'Riesgos de gestión'!$L$16="Leve"),CONCATENATE("R",'Riesgos de gestión'!$A$16),"")</f>
        <v/>
      </c>
      <c r="M22" s="1197"/>
      <c r="N22" s="1197" t="str">
        <f ca="1">IF(AND('Riesgos de gestión'!$H$22="Media",'Riesgos de gestión'!$L$22="Leve"),CONCATENATE("R",'Riesgos de gestión'!$A$22),"")</f>
        <v/>
      </c>
      <c r="O22" s="1198"/>
      <c r="P22" s="1196" t="str">
        <f ca="1">IF(AND('Riesgos de gestión'!$H$10="Media",'Riesgos de gestión'!$L$10="Menor"),CONCATENATE("R",'Riesgos de gestión'!$A$10),"")</f>
        <v/>
      </c>
      <c r="Q22" s="1197"/>
      <c r="R22" s="1197" t="str">
        <f ca="1">IF(AND('Riesgos de gestión'!$H$16="Media",'Riesgos de gestión'!$L$16="Menor"),CONCATENATE("R",'Riesgos de gestión'!$A$16),"")</f>
        <v/>
      </c>
      <c r="S22" s="1197"/>
      <c r="T22" s="1197" t="str">
        <f ca="1">IF(AND('Riesgos de gestión'!$H$22="Media",'Riesgos de gestión'!$L$22="Menor"),CONCATENATE("R",'Riesgos de gestión'!$A$22),"")</f>
        <v/>
      </c>
      <c r="U22" s="1198"/>
      <c r="V22" s="1196" t="str">
        <f ca="1">IF(AND('Riesgos de gestión'!$H$10="Media",'Riesgos de gestión'!$L$10="Moderado"),CONCATENATE("R",'Riesgos de gestión'!$A$10),"")</f>
        <v/>
      </c>
      <c r="W22" s="1197"/>
      <c r="X22" s="1197" t="str">
        <f ca="1">IF(AND('Riesgos de gestión'!$H$16="Media",'Riesgos de gestión'!$L$16="Moderado"),CONCATENATE("R",'Riesgos de gestión'!$A$16),"")</f>
        <v/>
      </c>
      <c r="Y22" s="1197"/>
      <c r="Z22" s="1197" t="str">
        <f ca="1">IF(AND('Riesgos de gestión'!$H$22="Media",'Riesgos de gestión'!$L$22="Moderado"),CONCATENATE("R",'Riesgos de gestión'!$A$22),"")</f>
        <v/>
      </c>
      <c r="AA22" s="1198"/>
      <c r="AB22" s="1172" t="str">
        <f ca="1">IF(AND('Riesgos de gestión'!$H$10="Media",'Riesgos de gestión'!$L$10="Mayor"),CONCATENATE("R",'Riesgos de gestión'!$A$10),"")</f>
        <v/>
      </c>
      <c r="AC22" s="1173"/>
      <c r="AD22" s="1173" t="str">
        <f ca="1">IF(AND('Riesgos de gestión'!$H$16="Media",'Riesgos de gestión'!$L$16="Mayor"),CONCATENATE("R",'Riesgos de gestión'!$A$16),"")</f>
        <v/>
      </c>
      <c r="AE22" s="1173"/>
      <c r="AF22" s="1173" t="str">
        <f ca="1">IF(AND('Riesgos de gestión'!$H$22="Media",'Riesgos de gestión'!$L$22="Mayor"),CONCATENATE("R",'Riesgos de gestión'!$A$22),"")</f>
        <v/>
      </c>
      <c r="AG22" s="1175"/>
      <c r="AH22" s="1187" t="str">
        <f ca="1">IF(AND('Riesgos de gestión'!$H$10="Media",'Riesgos de gestión'!$L$10="Catastrófico"),CONCATENATE("R",'Riesgos de gestión'!$A$10),"")</f>
        <v/>
      </c>
      <c r="AI22" s="1188"/>
      <c r="AJ22" s="1188" t="str">
        <f ca="1">IF(AND('Riesgos de gestión'!$H$16="Media",'Riesgos de gestión'!$L$16="Catastrófico"),CONCATENATE("R",'Riesgos de gestión'!$A$16),"")</f>
        <v/>
      </c>
      <c r="AK22" s="1188"/>
      <c r="AL22" s="1188" t="str">
        <f ca="1">IF(AND('Riesgos de gestión'!$H$22="Media",'Riesgos de gestión'!$L$22="Catastrófico"),CONCATENATE("R",'Riesgos de gestión'!$A$22),"")</f>
        <v/>
      </c>
      <c r="AM22" s="1189"/>
      <c r="AN22" s="83"/>
      <c r="AO22" s="1143" t="s">
        <v>81</v>
      </c>
      <c r="AP22" s="1144"/>
      <c r="AQ22" s="1144"/>
      <c r="AR22" s="1144"/>
      <c r="AS22" s="1144"/>
      <c r="AT22" s="1145"/>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row>
    <row r="23" spans="1:80" x14ac:dyDescent="0.25">
      <c r="A23" s="83"/>
      <c r="B23" s="1123"/>
      <c r="C23" s="1123"/>
      <c r="D23" s="1124"/>
      <c r="E23" s="1164"/>
      <c r="F23" s="1165"/>
      <c r="G23" s="1165"/>
      <c r="H23" s="1165"/>
      <c r="I23" s="1166"/>
      <c r="J23" s="1190"/>
      <c r="K23" s="1191"/>
      <c r="L23" s="1191"/>
      <c r="M23" s="1191"/>
      <c r="N23" s="1191"/>
      <c r="O23" s="1192"/>
      <c r="P23" s="1190"/>
      <c r="Q23" s="1191"/>
      <c r="R23" s="1191"/>
      <c r="S23" s="1191"/>
      <c r="T23" s="1191"/>
      <c r="U23" s="1192"/>
      <c r="V23" s="1190"/>
      <c r="W23" s="1191"/>
      <c r="X23" s="1191"/>
      <c r="Y23" s="1191"/>
      <c r="Z23" s="1191"/>
      <c r="AA23" s="1192"/>
      <c r="AB23" s="1174"/>
      <c r="AC23" s="1170"/>
      <c r="AD23" s="1170"/>
      <c r="AE23" s="1170"/>
      <c r="AF23" s="1170"/>
      <c r="AG23" s="1171"/>
      <c r="AH23" s="1181"/>
      <c r="AI23" s="1182"/>
      <c r="AJ23" s="1182"/>
      <c r="AK23" s="1182"/>
      <c r="AL23" s="1182"/>
      <c r="AM23" s="1183"/>
      <c r="AN23" s="83"/>
      <c r="AO23" s="1146"/>
      <c r="AP23" s="1147"/>
      <c r="AQ23" s="1147"/>
      <c r="AR23" s="1147"/>
      <c r="AS23" s="1147"/>
      <c r="AT23" s="1148"/>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row>
    <row r="24" spans="1:80" x14ac:dyDescent="0.25">
      <c r="A24" s="83"/>
      <c r="B24" s="1123"/>
      <c r="C24" s="1123"/>
      <c r="D24" s="1124"/>
      <c r="E24" s="1164"/>
      <c r="F24" s="1165"/>
      <c r="G24" s="1165"/>
      <c r="H24" s="1165"/>
      <c r="I24" s="1166"/>
      <c r="J24" s="1190" t="str">
        <f ca="1">IF(AND('Riesgos de gestión'!$H$28="Media",'Riesgos de gestión'!$L$28="Leve"),CONCATENATE("R",'Riesgos de gestión'!$A$28),"")</f>
        <v/>
      </c>
      <c r="K24" s="1191"/>
      <c r="L24" s="1191" t="str">
        <f ca="1">IF(AND('Riesgos de gestión'!$H$34="Media",'Riesgos de gestión'!$L$34="Leve"),CONCATENATE("R",'Riesgos de gestión'!$A$34),"")</f>
        <v/>
      </c>
      <c r="M24" s="1191"/>
      <c r="N24" s="1191" t="str">
        <f ca="1">IF(AND('Riesgos de gestión'!$H$40="Media",'Riesgos de gestión'!$L$40="Leve"),CONCATENATE("R",'Riesgos de gestión'!$A$40),"")</f>
        <v/>
      </c>
      <c r="O24" s="1192"/>
      <c r="P24" s="1190" t="str">
        <f ca="1">IF(AND('Riesgos de gestión'!$H$28="Media",'Riesgos de gestión'!$L$28="Menor"),CONCATENATE("R",'Riesgos de gestión'!$A$28),"")</f>
        <v/>
      </c>
      <c r="Q24" s="1191"/>
      <c r="R24" s="1191" t="str">
        <f ca="1">IF(AND('Riesgos de gestión'!$H$34="Media",'Riesgos de gestión'!$L$34="Menor"),CONCATENATE("R",'Riesgos de gestión'!$A$34),"")</f>
        <v/>
      </c>
      <c r="S24" s="1191"/>
      <c r="T24" s="1191" t="str">
        <f ca="1">IF(AND('Riesgos de gestión'!$H$40="Media",'Riesgos de gestión'!$L$40="Menor"),CONCATENATE("R",'Riesgos de gestión'!$A$40),"")</f>
        <v/>
      </c>
      <c r="U24" s="1192"/>
      <c r="V24" s="1190" t="str">
        <f ca="1">IF(AND('Riesgos de gestión'!$H$28="Media",'Riesgos de gestión'!$L$28="Moderado"),CONCATENATE("R",'Riesgos de gestión'!$A$28),"")</f>
        <v/>
      </c>
      <c r="W24" s="1191"/>
      <c r="X24" s="1191" t="str">
        <f ca="1">IF(AND('Riesgos de gestión'!$H$34="Media",'Riesgos de gestión'!$L$34="Moderado"),CONCATENATE("R",'Riesgos de gestión'!$A$34),"")</f>
        <v/>
      </c>
      <c r="Y24" s="1191"/>
      <c r="Z24" s="1191" t="str">
        <f ca="1">IF(AND('Riesgos de gestión'!$H$40="Media",'Riesgos de gestión'!$L$40="Moderado"),CONCATENATE("R",'Riesgos de gestión'!$A$40),"")</f>
        <v/>
      </c>
      <c r="AA24" s="1192"/>
      <c r="AB24" s="1174" t="str">
        <f ca="1">IF(AND('Riesgos de gestión'!$H$28="Media",'Riesgos de gestión'!$L$28="Mayor"),CONCATENATE("R",'Riesgos de gestión'!$A$28),"")</f>
        <v/>
      </c>
      <c r="AC24" s="1170"/>
      <c r="AD24" s="1170" t="str">
        <f ca="1">IF(AND('Riesgos de gestión'!$H$34="Media",'Riesgos de gestión'!$L$34="Mayor"),CONCATENATE("R",'Riesgos de gestión'!$A$34),"")</f>
        <v/>
      </c>
      <c r="AE24" s="1170"/>
      <c r="AF24" s="1170" t="str">
        <f ca="1">IF(AND('Riesgos de gestión'!$H$40="Media",'Riesgos de gestión'!$L$40="Mayor"),CONCATENATE("R",'Riesgos de gestión'!$A$40),"")</f>
        <v/>
      </c>
      <c r="AG24" s="1171"/>
      <c r="AH24" s="1181" t="str">
        <f ca="1">IF(AND('Riesgos de gestión'!$H$28="Media",'Riesgos de gestión'!$L$28="Catastrófico"),CONCATENATE("R",'Riesgos de gestión'!$A$28),"")</f>
        <v/>
      </c>
      <c r="AI24" s="1182"/>
      <c r="AJ24" s="1182" t="str">
        <f ca="1">IF(AND('Riesgos de gestión'!$H$34="Media",'Riesgos de gestión'!$L$34="Catastrófico"),CONCATENATE("R",'Riesgos de gestión'!$A$34),"")</f>
        <v/>
      </c>
      <c r="AK24" s="1182"/>
      <c r="AL24" s="1182" t="str">
        <f ca="1">IF(AND('Riesgos de gestión'!$H$40="Media",'Riesgos de gestión'!$L$40="Catastrófico"),CONCATENATE("R",'Riesgos de gestión'!$A$40),"")</f>
        <v/>
      </c>
      <c r="AM24" s="1183"/>
      <c r="AN24" s="83"/>
      <c r="AO24" s="1146"/>
      <c r="AP24" s="1147"/>
      <c r="AQ24" s="1147"/>
      <c r="AR24" s="1147"/>
      <c r="AS24" s="1147"/>
      <c r="AT24" s="1148"/>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row>
    <row r="25" spans="1:80" x14ac:dyDescent="0.25">
      <c r="A25" s="83"/>
      <c r="B25" s="1123"/>
      <c r="C25" s="1123"/>
      <c r="D25" s="1124"/>
      <c r="E25" s="1164"/>
      <c r="F25" s="1165"/>
      <c r="G25" s="1165"/>
      <c r="H25" s="1165"/>
      <c r="I25" s="1166"/>
      <c r="J25" s="1190"/>
      <c r="K25" s="1191"/>
      <c r="L25" s="1191"/>
      <c r="M25" s="1191"/>
      <c r="N25" s="1191"/>
      <c r="O25" s="1192"/>
      <c r="P25" s="1190"/>
      <c r="Q25" s="1191"/>
      <c r="R25" s="1191"/>
      <c r="S25" s="1191"/>
      <c r="T25" s="1191"/>
      <c r="U25" s="1192"/>
      <c r="V25" s="1190"/>
      <c r="W25" s="1191"/>
      <c r="X25" s="1191"/>
      <c r="Y25" s="1191"/>
      <c r="Z25" s="1191"/>
      <c r="AA25" s="1192"/>
      <c r="AB25" s="1174"/>
      <c r="AC25" s="1170"/>
      <c r="AD25" s="1170"/>
      <c r="AE25" s="1170"/>
      <c r="AF25" s="1170"/>
      <c r="AG25" s="1171"/>
      <c r="AH25" s="1181"/>
      <c r="AI25" s="1182"/>
      <c r="AJ25" s="1182"/>
      <c r="AK25" s="1182"/>
      <c r="AL25" s="1182"/>
      <c r="AM25" s="1183"/>
      <c r="AN25" s="83"/>
      <c r="AO25" s="1146"/>
      <c r="AP25" s="1147"/>
      <c r="AQ25" s="1147"/>
      <c r="AR25" s="1147"/>
      <c r="AS25" s="1147"/>
      <c r="AT25" s="1148"/>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c r="BY25" s="83"/>
      <c r="BZ25" s="83"/>
      <c r="CA25" s="83"/>
      <c r="CB25" s="83"/>
    </row>
    <row r="26" spans="1:80" x14ac:dyDescent="0.25">
      <c r="A26" s="83"/>
      <c r="B26" s="1123"/>
      <c r="C26" s="1123"/>
      <c r="D26" s="1124"/>
      <c r="E26" s="1164"/>
      <c r="F26" s="1165"/>
      <c r="G26" s="1165"/>
      <c r="H26" s="1165"/>
      <c r="I26" s="1166"/>
      <c r="J26" s="1190" t="str">
        <f ca="1">IF(AND('Riesgos de gestión'!$H$46="Media",'Riesgos de gestión'!$L$46="Leve"),CONCATENATE("R",'Riesgos de gestión'!$A$46),"")</f>
        <v/>
      </c>
      <c r="K26" s="1191"/>
      <c r="L26" s="1191" t="str">
        <f ca="1">IF(AND('Riesgos de gestión'!$H$52="Media",'Riesgos de gestión'!$L$52="Leve"),CONCATENATE("R",'Riesgos de gestión'!$A$52),"")</f>
        <v/>
      </c>
      <c r="M26" s="1191"/>
      <c r="N26" s="1191" t="str">
        <f ca="1">IF(AND('Riesgos de gestión'!$H$58="Media",'Riesgos de gestión'!$L$58="Leve"),CONCATENATE("R",'Riesgos de gestión'!$A$58),"")</f>
        <v/>
      </c>
      <c r="O26" s="1192"/>
      <c r="P26" s="1190" t="str">
        <f ca="1">IF(AND('Riesgos de gestión'!$H$46="Media",'Riesgos de gestión'!$L$46="Menor"),CONCATENATE("R",'Riesgos de gestión'!$A$46),"")</f>
        <v/>
      </c>
      <c r="Q26" s="1191"/>
      <c r="R26" s="1191" t="str">
        <f ca="1">IF(AND('Riesgos de gestión'!$H$52="Media",'Riesgos de gestión'!$L$52="Menor"),CONCATENATE("R",'Riesgos de gestión'!$A$52),"")</f>
        <v/>
      </c>
      <c r="S26" s="1191"/>
      <c r="T26" s="1191" t="str">
        <f ca="1">IF(AND('Riesgos de gestión'!$H$58="Media",'Riesgos de gestión'!$L$58="Menor"),CONCATENATE("R",'Riesgos de gestión'!$A$58),"")</f>
        <v/>
      </c>
      <c r="U26" s="1192"/>
      <c r="V26" s="1190" t="str">
        <f ca="1">IF(AND('Riesgos de gestión'!$H$46="Media",'Riesgos de gestión'!$L$46="Moderado"),CONCATENATE("R",'Riesgos de gestión'!$A$46),"")</f>
        <v/>
      </c>
      <c r="W26" s="1191"/>
      <c r="X26" s="1191" t="str">
        <f ca="1">IF(AND('Riesgos de gestión'!$H$52="Media",'Riesgos de gestión'!$L$52="Moderado"),CONCATENATE("R",'Riesgos de gestión'!$A$52),"")</f>
        <v/>
      </c>
      <c r="Y26" s="1191"/>
      <c r="Z26" s="1191" t="str">
        <f ca="1">IF(AND('Riesgos de gestión'!$H$58="Media",'Riesgos de gestión'!$L$58="Moderado"),CONCATENATE("R",'Riesgos de gestión'!$A$58),"")</f>
        <v/>
      </c>
      <c r="AA26" s="1192"/>
      <c r="AB26" s="1174" t="str">
        <f ca="1">IF(AND('Riesgos de gestión'!$H$46="Media",'Riesgos de gestión'!$L$46="Mayor"),CONCATENATE("R",'Riesgos de gestión'!$A$46),"")</f>
        <v/>
      </c>
      <c r="AC26" s="1170"/>
      <c r="AD26" s="1170" t="str">
        <f ca="1">IF(AND('Riesgos de gestión'!$H$52="Media",'Riesgos de gestión'!$L$52="Mayor"),CONCATENATE("R",'Riesgos de gestión'!$A$52),"")</f>
        <v/>
      </c>
      <c r="AE26" s="1170"/>
      <c r="AF26" s="1170" t="str">
        <f ca="1">IF(AND('Riesgos de gestión'!$H$58="Media",'Riesgos de gestión'!$L$58="Mayor"),CONCATENATE("R",'Riesgos de gestión'!$A$58),"")</f>
        <v/>
      </c>
      <c r="AG26" s="1171"/>
      <c r="AH26" s="1181" t="str">
        <f ca="1">IF(AND('Riesgos de gestión'!$H$46="Media",'Riesgos de gestión'!$L$46="Catastrófico"),CONCATENATE("R",'Riesgos de gestión'!$A$46),"")</f>
        <v/>
      </c>
      <c r="AI26" s="1182"/>
      <c r="AJ26" s="1182" t="str">
        <f ca="1">IF(AND('Riesgos de gestión'!$H$52="Media",'Riesgos de gestión'!$L$52="Catastrófico"),CONCATENATE("R",'Riesgos de gestión'!$A$52),"")</f>
        <v/>
      </c>
      <c r="AK26" s="1182"/>
      <c r="AL26" s="1182" t="str">
        <f ca="1">IF(AND('Riesgos de gestión'!$H$58="Media",'Riesgos de gestión'!$L$58="Catastrófico"),CONCATENATE("R",'Riesgos de gestión'!$A$58),"")</f>
        <v/>
      </c>
      <c r="AM26" s="1183"/>
      <c r="AN26" s="83"/>
      <c r="AO26" s="1146"/>
      <c r="AP26" s="1147"/>
      <c r="AQ26" s="1147"/>
      <c r="AR26" s="1147"/>
      <c r="AS26" s="1147"/>
      <c r="AT26" s="1148"/>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row>
    <row r="27" spans="1:80" x14ac:dyDescent="0.25">
      <c r="A27" s="83"/>
      <c r="B27" s="1123"/>
      <c r="C27" s="1123"/>
      <c r="D27" s="1124"/>
      <c r="E27" s="1164"/>
      <c r="F27" s="1165"/>
      <c r="G27" s="1165"/>
      <c r="H27" s="1165"/>
      <c r="I27" s="1166"/>
      <c r="J27" s="1190"/>
      <c r="K27" s="1191"/>
      <c r="L27" s="1191"/>
      <c r="M27" s="1191"/>
      <c r="N27" s="1191"/>
      <c r="O27" s="1192"/>
      <c r="P27" s="1190"/>
      <c r="Q27" s="1191"/>
      <c r="R27" s="1191"/>
      <c r="S27" s="1191"/>
      <c r="T27" s="1191"/>
      <c r="U27" s="1192"/>
      <c r="V27" s="1190"/>
      <c r="W27" s="1191"/>
      <c r="X27" s="1191"/>
      <c r="Y27" s="1191"/>
      <c r="Z27" s="1191"/>
      <c r="AA27" s="1192"/>
      <c r="AB27" s="1174"/>
      <c r="AC27" s="1170"/>
      <c r="AD27" s="1170"/>
      <c r="AE27" s="1170"/>
      <c r="AF27" s="1170"/>
      <c r="AG27" s="1171"/>
      <c r="AH27" s="1181"/>
      <c r="AI27" s="1182"/>
      <c r="AJ27" s="1182"/>
      <c r="AK27" s="1182"/>
      <c r="AL27" s="1182"/>
      <c r="AM27" s="1183"/>
      <c r="AN27" s="83"/>
      <c r="AO27" s="1146"/>
      <c r="AP27" s="1147"/>
      <c r="AQ27" s="1147"/>
      <c r="AR27" s="1147"/>
      <c r="AS27" s="1147"/>
      <c r="AT27" s="1148"/>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row>
    <row r="28" spans="1:80" x14ac:dyDescent="0.25">
      <c r="A28" s="83"/>
      <c r="B28" s="1123"/>
      <c r="C28" s="1123"/>
      <c r="D28" s="1124"/>
      <c r="E28" s="1164"/>
      <c r="F28" s="1165"/>
      <c r="G28" s="1165"/>
      <c r="H28" s="1165"/>
      <c r="I28" s="1166"/>
      <c r="J28" s="1190" t="str">
        <f ca="1">IF(AND('Riesgos de gestión'!$H$64="Media",'Riesgos de gestión'!$L$64="Leve"),CONCATENATE("R",'Riesgos de gestión'!$A$64),"")</f>
        <v/>
      </c>
      <c r="K28" s="1191"/>
      <c r="L28" s="1191" t="str">
        <f>IF(AND('Riesgos de gestión'!$H$70="Media",'Riesgos de gestión'!$L$70="Leve"),CONCATENATE("R",'Riesgos de gestión'!$A$70),"")</f>
        <v/>
      </c>
      <c r="M28" s="1191"/>
      <c r="N28" s="1191" t="str">
        <f>IF(AND('Riesgos de gestión'!$H$76="Media",'Riesgos de gestión'!$L$76="Leve"),CONCATENATE("R",'Riesgos de gestión'!$A$76),"")</f>
        <v/>
      </c>
      <c r="O28" s="1192"/>
      <c r="P28" s="1190" t="str">
        <f ca="1">IF(AND('Riesgos de gestión'!$H$64="Media",'Riesgos de gestión'!$L$64="Menor"),CONCATENATE("R",'Riesgos de gestión'!$A$64),"")</f>
        <v/>
      </c>
      <c r="Q28" s="1191"/>
      <c r="R28" s="1191" t="str">
        <f>IF(AND('Riesgos de gestión'!$H$70="Media",'Riesgos de gestión'!$L$70="Menor"),CONCATENATE("R",'Riesgos de gestión'!$A$70),"")</f>
        <v/>
      </c>
      <c r="S28" s="1191"/>
      <c r="T28" s="1191" t="str">
        <f>IF(AND('Riesgos de gestión'!$H$76="Media",'Riesgos de gestión'!$L$76="Menor"),CONCATENATE("R",'Riesgos de gestión'!$A$76),"")</f>
        <v/>
      </c>
      <c r="U28" s="1192"/>
      <c r="V28" s="1190" t="str">
        <f ca="1">IF(AND('Riesgos de gestión'!$H$64="Media",'Riesgos de gestión'!$L$64="Moderado"),CONCATENATE("R",'Riesgos de gestión'!$A$64),"")</f>
        <v/>
      </c>
      <c r="W28" s="1191"/>
      <c r="X28" s="1191" t="str">
        <f>IF(AND('Riesgos de gestión'!$H$70="Media",'Riesgos de gestión'!$L$70="Moderado"),CONCATENATE("R",'Riesgos de gestión'!$A$70),"")</f>
        <v/>
      </c>
      <c r="Y28" s="1191"/>
      <c r="Z28" s="1191" t="str">
        <f>IF(AND('Riesgos de gestión'!$H$76="Media",'Riesgos de gestión'!$L$76="Moderado"),CONCATENATE("R",'Riesgos de gestión'!$A$76),"")</f>
        <v/>
      </c>
      <c r="AA28" s="1192"/>
      <c r="AB28" s="1174" t="str">
        <f ca="1">IF(AND('Riesgos de gestión'!$H$64="Media",'Riesgos de gestión'!$L$64="Mayor"),CONCATENATE("R",'Riesgos de gestión'!$A$64),"")</f>
        <v/>
      </c>
      <c r="AC28" s="1170"/>
      <c r="AD28" s="1170" t="str">
        <f>IF(AND('Riesgos de gestión'!$H$70="Media",'Riesgos de gestión'!$L$70="Mayor"),CONCATENATE("R",'Riesgos de gestión'!$A$70),"")</f>
        <v/>
      </c>
      <c r="AE28" s="1170"/>
      <c r="AF28" s="1170" t="str">
        <f>IF(AND('Riesgos de gestión'!$H$76="Media",'Riesgos de gestión'!$L$76="Mayor"),CONCATENATE("R",'Riesgos de gestión'!$A$76),"")</f>
        <v/>
      </c>
      <c r="AG28" s="1171"/>
      <c r="AH28" s="1181" t="str">
        <f ca="1">IF(AND('Riesgos de gestión'!$H$64="Media",'Riesgos de gestión'!$L$64="Catastrófico"),CONCATENATE("R",'Riesgos de gestión'!$A$64),"")</f>
        <v/>
      </c>
      <c r="AI28" s="1182"/>
      <c r="AJ28" s="1182" t="str">
        <f>IF(AND('Riesgos de gestión'!$H$70="Media",'Riesgos de gestión'!$L$70="Catastrófico"),CONCATENATE("R",'Riesgos de gestión'!$A$70),"")</f>
        <v/>
      </c>
      <c r="AK28" s="1182"/>
      <c r="AL28" s="1182" t="str">
        <f>IF(AND('Riesgos de gestión'!$H$76="Media",'Riesgos de gestión'!$L$76="Catastrófico"),CONCATENATE("R",'Riesgos de gestión'!$A$76),"")</f>
        <v/>
      </c>
      <c r="AM28" s="1183"/>
      <c r="AN28" s="83"/>
      <c r="AO28" s="1146"/>
      <c r="AP28" s="1147"/>
      <c r="AQ28" s="1147"/>
      <c r="AR28" s="1147"/>
      <c r="AS28" s="1147"/>
      <c r="AT28" s="1148"/>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row>
    <row r="29" spans="1:80" ht="15.75" thickBot="1" x14ac:dyDescent="0.3">
      <c r="A29" s="83"/>
      <c r="B29" s="1123"/>
      <c r="C29" s="1123"/>
      <c r="D29" s="1124"/>
      <c r="E29" s="1167"/>
      <c r="F29" s="1168"/>
      <c r="G29" s="1168"/>
      <c r="H29" s="1168"/>
      <c r="I29" s="1169"/>
      <c r="J29" s="1190"/>
      <c r="K29" s="1191"/>
      <c r="L29" s="1191"/>
      <c r="M29" s="1191"/>
      <c r="N29" s="1191"/>
      <c r="O29" s="1192"/>
      <c r="P29" s="1193"/>
      <c r="Q29" s="1194"/>
      <c r="R29" s="1194"/>
      <c r="S29" s="1194"/>
      <c r="T29" s="1194"/>
      <c r="U29" s="1195"/>
      <c r="V29" s="1193"/>
      <c r="W29" s="1194"/>
      <c r="X29" s="1194"/>
      <c r="Y29" s="1194"/>
      <c r="Z29" s="1194"/>
      <c r="AA29" s="1195"/>
      <c r="AB29" s="1178"/>
      <c r="AC29" s="1179"/>
      <c r="AD29" s="1179"/>
      <c r="AE29" s="1179"/>
      <c r="AF29" s="1179"/>
      <c r="AG29" s="1180"/>
      <c r="AH29" s="1184"/>
      <c r="AI29" s="1185"/>
      <c r="AJ29" s="1185"/>
      <c r="AK29" s="1185"/>
      <c r="AL29" s="1185"/>
      <c r="AM29" s="1186"/>
      <c r="AN29" s="83"/>
      <c r="AO29" s="1149"/>
      <c r="AP29" s="1150"/>
      <c r="AQ29" s="1150"/>
      <c r="AR29" s="1150"/>
      <c r="AS29" s="1150"/>
      <c r="AT29" s="1151"/>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row>
    <row r="30" spans="1:80" x14ac:dyDescent="0.25">
      <c r="A30" s="83"/>
      <c r="B30" s="1123"/>
      <c r="C30" s="1123"/>
      <c r="D30" s="1124"/>
      <c r="E30" s="1161" t="s">
        <v>114</v>
      </c>
      <c r="F30" s="1162"/>
      <c r="G30" s="1162"/>
      <c r="H30" s="1162"/>
      <c r="I30" s="1162"/>
      <c r="J30" s="1205" t="str">
        <f ca="1">IF(AND('Riesgos de gestión'!$H$10="Baja",'Riesgos de gestión'!$L$10="Leve"),CONCATENATE("R",'Riesgos de gestión'!$A$10),"")</f>
        <v/>
      </c>
      <c r="K30" s="1206"/>
      <c r="L30" s="1206" t="str">
        <f ca="1">IF(AND('Riesgos de gestión'!$H$16="Baja",'Riesgos de gestión'!$L$16="Leve"),CONCATENATE("R",'Riesgos de gestión'!$A$16),"")</f>
        <v/>
      </c>
      <c r="M30" s="1206"/>
      <c r="N30" s="1206" t="str">
        <f ca="1">IF(AND('Riesgos de gestión'!$H$22="Baja",'Riesgos de gestión'!$L$22="Leve"),CONCATENATE("R",'Riesgos de gestión'!$A$22),"")</f>
        <v/>
      </c>
      <c r="O30" s="1207"/>
      <c r="P30" s="1197" t="str">
        <f ca="1">IF(AND('Riesgos de gestión'!$H$10="Baja",'Riesgos de gestión'!$L$10="Menor"),CONCATENATE("R",'Riesgos de gestión'!$A$10),"")</f>
        <v/>
      </c>
      <c r="Q30" s="1197"/>
      <c r="R30" s="1197" t="str">
        <f ca="1">IF(AND('Riesgos de gestión'!$H$16="Baja",'Riesgos de gestión'!$L$16="Menor"),CONCATENATE("R",'Riesgos de gestión'!$A$16),"")</f>
        <v/>
      </c>
      <c r="S30" s="1197"/>
      <c r="T30" s="1197" t="str">
        <f ca="1">IF(AND('Riesgos de gestión'!$H$22="Baja",'Riesgos de gestión'!$L$22="Menor"),CONCATENATE("R",'Riesgos de gestión'!$A$22),"")</f>
        <v/>
      </c>
      <c r="U30" s="1198"/>
      <c r="V30" s="1196" t="str">
        <f ca="1">IF(AND('Riesgos de gestión'!$H$10="Baja",'Riesgos de gestión'!$L$10="Moderado"),CONCATENATE("R",'Riesgos de gestión'!$A$10),"")</f>
        <v/>
      </c>
      <c r="W30" s="1197"/>
      <c r="X30" s="1197" t="str">
        <f ca="1">IF(AND('Riesgos de gestión'!$H$16="Baja",'Riesgos de gestión'!$L$16="Moderado"),CONCATENATE("R",'Riesgos de gestión'!$A$16),"")</f>
        <v/>
      </c>
      <c r="Y30" s="1197"/>
      <c r="Z30" s="1197" t="str">
        <f ca="1">IF(AND('Riesgos de gestión'!$H$22="Baja",'Riesgos de gestión'!$L$22="Moderado"),CONCATENATE("R",'Riesgos de gestión'!$A$22),"")</f>
        <v/>
      </c>
      <c r="AA30" s="1198"/>
      <c r="AB30" s="1172" t="str">
        <f ca="1">IF(AND('Riesgos de gestión'!$H$10="Baja",'Riesgos de gestión'!$L$10="Mayor"),CONCATENATE("R",'Riesgos de gestión'!$A$10),"")</f>
        <v/>
      </c>
      <c r="AC30" s="1173"/>
      <c r="AD30" s="1173" t="str">
        <f ca="1">IF(AND('Riesgos de gestión'!$H$16="Baja",'Riesgos de gestión'!$L$16="Mayor"),CONCATENATE("R",'Riesgos de gestión'!$A$16),"")</f>
        <v/>
      </c>
      <c r="AE30" s="1173"/>
      <c r="AF30" s="1173" t="str">
        <f ca="1">IF(AND('Riesgos de gestión'!$H$22="Baja",'Riesgos de gestión'!$L$22="Mayor"),CONCATENATE("R",'Riesgos de gestión'!$A$22),"")</f>
        <v/>
      </c>
      <c r="AG30" s="1175"/>
      <c r="AH30" s="1187" t="str">
        <f ca="1">IF(AND('Riesgos de gestión'!$H$10="Baja",'Riesgos de gestión'!$L$10="Catastrófico"),CONCATENATE("R",'Riesgos de gestión'!$A$10),"")</f>
        <v/>
      </c>
      <c r="AI30" s="1188"/>
      <c r="AJ30" s="1188" t="str">
        <f ca="1">IF(AND('Riesgos de gestión'!$H$16="Baja",'Riesgos de gestión'!$L$16="Catastrófico"),CONCATENATE("R",'Riesgos de gestión'!$A$16),"")</f>
        <v/>
      </c>
      <c r="AK30" s="1188"/>
      <c r="AL30" s="1188" t="str">
        <f ca="1">IF(AND('Riesgos de gestión'!$H$22="Baja",'Riesgos de gestión'!$L$22="Catastrófico"),CONCATENATE("R",'Riesgos de gestión'!$A$22),"")</f>
        <v/>
      </c>
      <c r="AM30" s="1189"/>
      <c r="AN30" s="83"/>
      <c r="AO30" s="1152" t="s">
        <v>82</v>
      </c>
      <c r="AP30" s="1153"/>
      <c r="AQ30" s="1153"/>
      <c r="AR30" s="1153"/>
      <c r="AS30" s="1153"/>
      <c r="AT30" s="1154"/>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c r="BY30" s="83"/>
      <c r="BZ30" s="83"/>
      <c r="CA30" s="83"/>
      <c r="CB30" s="83"/>
    </row>
    <row r="31" spans="1:80" x14ac:dyDescent="0.25">
      <c r="A31" s="83"/>
      <c r="B31" s="1123"/>
      <c r="C31" s="1123"/>
      <c r="D31" s="1124"/>
      <c r="E31" s="1164"/>
      <c r="F31" s="1165"/>
      <c r="G31" s="1165"/>
      <c r="H31" s="1165"/>
      <c r="I31" s="1165"/>
      <c r="J31" s="1201"/>
      <c r="K31" s="1199"/>
      <c r="L31" s="1199"/>
      <c r="M31" s="1199"/>
      <c r="N31" s="1199"/>
      <c r="O31" s="1200"/>
      <c r="P31" s="1191"/>
      <c r="Q31" s="1191"/>
      <c r="R31" s="1191"/>
      <c r="S31" s="1191"/>
      <c r="T31" s="1191"/>
      <c r="U31" s="1192"/>
      <c r="V31" s="1190"/>
      <c r="W31" s="1191"/>
      <c r="X31" s="1191"/>
      <c r="Y31" s="1191"/>
      <c r="Z31" s="1191"/>
      <c r="AA31" s="1192"/>
      <c r="AB31" s="1174"/>
      <c r="AC31" s="1170"/>
      <c r="AD31" s="1170"/>
      <c r="AE31" s="1170"/>
      <c r="AF31" s="1170"/>
      <c r="AG31" s="1171"/>
      <c r="AH31" s="1181"/>
      <c r="AI31" s="1182"/>
      <c r="AJ31" s="1182"/>
      <c r="AK31" s="1182"/>
      <c r="AL31" s="1182"/>
      <c r="AM31" s="1183"/>
      <c r="AN31" s="83"/>
      <c r="AO31" s="1155"/>
      <c r="AP31" s="1156"/>
      <c r="AQ31" s="1156"/>
      <c r="AR31" s="1156"/>
      <c r="AS31" s="1156"/>
      <c r="AT31" s="1157"/>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row>
    <row r="32" spans="1:80" x14ac:dyDescent="0.25">
      <c r="A32" s="83"/>
      <c r="B32" s="1123"/>
      <c r="C32" s="1123"/>
      <c r="D32" s="1124"/>
      <c r="E32" s="1164"/>
      <c r="F32" s="1165"/>
      <c r="G32" s="1165"/>
      <c r="H32" s="1165"/>
      <c r="I32" s="1165"/>
      <c r="J32" s="1201" t="str">
        <f ca="1">IF(AND('Riesgos de gestión'!$H$28="Baja",'Riesgos de gestión'!$L$28="Leve"),CONCATENATE("R",'Riesgos de gestión'!$A$28),"")</f>
        <v/>
      </c>
      <c r="K32" s="1199"/>
      <c r="L32" s="1199" t="str">
        <f ca="1">IF(AND('Riesgos de gestión'!$H$34="Baja",'Riesgos de gestión'!$L$34="Leve"),CONCATENATE("R",'Riesgos de gestión'!$A$34),"")</f>
        <v/>
      </c>
      <c r="M32" s="1199"/>
      <c r="N32" s="1199" t="str">
        <f ca="1">IF(AND('Riesgos de gestión'!$H$40="Baja",'Riesgos de gestión'!$L$40="Leve"),CONCATENATE("R",'Riesgos de gestión'!$A$40),"")</f>
        <v/>
      </c>
      <c r="O32" s="1200"/>
      <c r="P32" s="1191" t="str">
        <f ca="1">IF(AND('Riesgos de gestión'!$H$28="Baja",'Riesgos de gestión'!$L$28="Menor"),CONCATENATE("R",'Riesgos de gestión'!$A$28),"")</f>
        <v/>
      </c>
      <c r="Q32" s="1191"/>
      <c r="R32" s="1191" t="str">
        <f ca="1">IF(AND('Riesgos de gestión'!$H$34="Baja",'Riesgos de gestión'!$L$34="Menor"),CONCATENATE("R",'Riesgos de gestión'!$A$34),"")</f>
        <v/>
      </c>
      <c r="S32" s="1191"/>
      <c r="T32" s="1191" t="str">
        <f ca="1">IF(AND('Riesgos de gestión'!$H$40="Baja",'Riesgos de gestión'!$L$40="Menor"),CONCATENATE("R",'Riesgos de gestión'!$A$40),"")</f>
        <v/>
      </c>
      <c r="U32" s="1192"/>
      <c r="V32" s="1190" t="str">
        <f ca="1">IF(AND('Riesgos de gestión'!$H$28="Baja",'Riesgos de gestión'!$L$28="Moderado"),CONCATENATE("R",'Riesgos de gestión'!$A$28),"")</f>
        <v/>
      </c>
      <c r="W32" s="1191"/>
      <c r="X32" s="1191" t="str">
        <f ca="1">IF(AND('Riesgos de gestión'!$H$34="Baja",'Riesgos de gestión'!$L$34="Moderado"),CONCATENATE("R",'Riesgos de gestión'!$A$34),"")</f>
        <v/>
      </c>
      <c r="Y32" s="1191"/>
      <c r="Z32" s="1191" t="str">
        <f ca="1">IF(AND('Riesgos de gestión'!$H$40="Baja",'Riesgos de gestión'!$L$40="Moderado"),CONCATENATE("R",'Riesgos de gestión'!$A$40),"")</f>
        <v/>
      </c>
      <c r="AA32" s="1192"/>
      <c r="AB32" s="1174" t="str">
        <f ca="1">IF(AND('Riesgos de gestión'!$H$28="Baja",'Riesgos de gestión'!$L$28="Mayor"),CONCATENATE("R",'Riesgos de gestión'!$A$28),"")</f>
        <v/>
      </c>
      <c r="AC32" s="1170"/>
      <c r="AD32" s="1170" t="str">
        <f ca="1">IF(AND('Riesgos de gestión'!$H$34="Baja",'Riesgos de gestión'!$L$34="Mayor"),CONCATENATE("R",'Riesgos de gestión'!$A$34),"")</f>
        <v/>
      </c>
      <c r="AE32" s="1170"/>
      <c r="AF32" s="1170" t="str">
        <f ca="1">IF(AND('Riesgos de gestión'!$H$40="Baja",'Riesgos de gestión'!$L$40="Mayor"),CONCATENATE("R",'Riesgos de gestión'!$A$40),"")</f>
        <v/>
      </c>
      <c r="AG32" s="1171"/>
      <c r="AH32" s="1181" t="str">
        <f ca="1">IF(AND('Riesgos de gestión'!$H$28="Baja",'Riesgos de gestión'!$L$28="Catastrófico"),CONCATENATE("R",'Riesgos de gestión'!$A$28),"")</f>
        <v/>
      </c>
      <c r="AI32" s="1182"/>
      <c r="AJ32" s="1182" t="str">
        <f ca="1">IF(AND('Riesgos de gestión'!$H$34="Baja",'Riesgos de gestión'!$L$34="Catastrófico"),CONCATENATE("R",'Riesgos de gestión'!$A$34),"")</f>
        <v/>
      </c>
      <c r="AK32" s="1182"/>
      <c r="AL32" s="1182" t="str">
        <f ca="1">IF(AND('Riesgos de gestión'!$H$40="Baja",'Riesgos de gestión'!$L$40="Catastrófico"),CONCATENATE("R",'Riesgos de gestión'!$A$40),"")</f>
        <v/>
      </c>
      <c r="AM32" s="1183"/>
      <c r="AN32" s="83"/>
      <c r="AO32" s="1155"/>
      <c r="AP32" s="1156"/>
      <c r="AQ32" s="1156"/>
      <c r="AR32" s="1156"/>
      <c r="AS32" s="1156"/>
      <c r="AT32" s="1157"/>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row>
    <row r="33" spans="1:80" x14ac:dyDescent="0.25">
      <c r="A33" s="83"/>
      <c r="B33" s="1123"/>
      <c r="C33" s="1123"/>
      <c r="D33" s="1124"/>
      <c r="E33" s="1164"/>
      <c r="F33" s="1165"/>
      <c r="G33" s="1165"/>
      <c r="H33" s="1165"/>
      <c r="I33" s="1165"/>
      <c r="J33" s="1201"/>
      <c r="K33" s="1199"/>
      <c r="L33" s="1199"/>
      <c r="M33" s="1199"/>
      <c r="N33" s="1199"/>
      <c r="O33" s="1200"/>
      <c r="P33" s="1191"/>
      <c r="Q33" s="1191"/>
      <c r="R33" s="1191"/>
      <c r="S33" s="1191"/>
      <c r="T33" s="1191"/>
      <c r="U33" s="1192"/>
      <c r="V33" s="1190"/>
      <c r="W33" s="1191"/>
      <c r="X33" s="1191"/>
      <c r="Y33" s="1191"/>
      <c r="Z33" s="1191"/>
      <c r="AA33" s="1192"/>
      <c r="AB33" s="1174"/>
      <c r="AC33" s="1170"/>
      <c r="AD33" s="1170"/>
      <c r="AE33" s="1170"/>
      <c r="AF33" s="1170"/>
      <c r="AG33" s="1171"/>
      <c r="AH33" s="1181"/>
      <c r="AI33" s="1182"/>
      <c r="AJ33" s="1182"/>
      <c r="AK33" s="1182"/>
      <c r="AL33" s="1182"/>
      <c r="AM33" s="1183"/>
      <c r="AN33" s="83"/>
      <c r="AO33" s="1155"/>
      <c r="AP33" s="1156"/>
      <c r="AQ33" s="1156"/>
      <c r="AR33" s="1156"/>
      <c r="AS33" s="1156"/>
      <c r="AT33" s="1157"/>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row>
    <row r="34" spans="1:80" x14ac:dyDescent="0.25">
      <c r="A34" s="83"/>
      <c r="B34" s="1123"/>
      <c r="C34" s="1123"/>
      <c r="D34" s="1124"/>
      <c r="E34" s="1164"/>
      <c r="F34" s="1165"/>
      <c r="G34" s="1165"/>
      <c r="H34" s="1165"/>
      <c r="I34" s="1165"/>
      <c r="J34" s="1201" t="str">
        <f ca="1">IF(AND('Riesgos de gestión'!$H$46="Baja",'Riesgos de gestión'!$L$46="Leve"),CONCATENATE("R",'Riesgos de gestión'!$A$46),"")</f>
        <v/>
      </c>
      <c r="K34" s="1199"/>
      <c r="L34" s="1199" t="str">
        <f ca="1">IF(AND('Riesgos de gestión'!$H$52="Baja",'Riesgos de gestión'!$L$52="Leve"),CONCATENATE("R",'Riesgos de gestión'!$A$52),"")</f>
        <v/>
      </c>
      <c r="M34" s="1199"/>
      <c r="N34" s="1199" t="str">
        <f ca="1">IF(AND('Riesgos de gestión'!$H$58="Baja",'Riesgos de gestión'!$L$58="Leve"),CONCATENATE("R",'Riesgos de gestión'!$A$58),"")</f>
        <v/>
      </c>
      <c r="O34" s="1200"/>
      <c r="P34" s="1191" t="str">
        <f ca="1">IF(AND('Riesgos de gestión'!$H$46="Baja",'Riesgos de gestión'!$L$46="Menor"),CONCATENATE("R",'Riesgos de gestión'!$A$46),"")</f>
        <v/>
      </c>
      <c r="Q34" s="1191"/>
      <c r="R34" s="1191" t="str">
        <f ca="1">IF(AND('Riesgos de gestión'!$H$52="Baja",'Riesgos de gestión'!$L$52="Menor"),CONCATENATE("R",'Riesgos de gestión'!$A$52),"")</f>
        <v/>
      </c>
      <c r="S34" s="1191"/>
      <c r="T34" s="1191" t="str">
        <f ca="1">IF(AND('Riesgos de gestión'!$H$58="Baja",'Riesgos de gestión'!$L$58="Menor"),CONCATENATE("R",'Riesgos de gestión'!$A$58),"")</f>
        <v/>
      </c>
      <c r="U34" s="1192"/>
      <c r="V34" s="1190" t="str">
        <f ca="1">IF(AND('Riesgos de gestión'!$H$46="Baja",'Riesgos de gestión'!$L$46="Moderado"),CONCATENATE("R",'Riesgos de gestión'!$A$46),"")</f>
        <v/>
      </c>
      <c r="W34" s="1191"/>
      <c r="X34" s="1191" t="str">
        <f ca="1">IF(AND('Riesgos de gestión'!$H$52="Baja",'Riesgos de gestión'!$L$52="Moderado"),CONCATENATE("R",'Riesgos de gestión'!$A$52),"")</f>
        <v/>
      </c>
      <c r="Y34" s="1191"/>
      <c r="Z34" s="1191" t="str">
        <f ca="1">IF(AND('Riesgos de gestión'!$H$58="Baja",'Riesgos de gestión'!$L$58="Moderado"),CONCATENATE("R",'Riesgos de gestión'!$A$58),"")</f>
        <v/>
      </c>
      <c r="AA34" s="1192"/>
      <c r="AB34" s="1174" t="str">
        <f ca="1">IF(AND('Riesgos de gestión'!$H$46="Baja",'Riesgos de gestión'!$L$46="Mayor"),CONCATENATE("R",'Riesgos de gestión'!$A$46),"")</f>
        <v/>
      </c>
      <c r="AC34" s="1170"/>
      <c r="AD34" s="1170" t="str">
        <f ca="1">IF(AND('Riesgos de gestión'!$H$52="Baja",'Riesgos de gestión'!$L$52="Mayor"),CONCATENATE("R",'Riesgos de gestión'!$A$52),"")</f>
        <v/>
      </c>
      <c r="AE34" s="1170"/>
      <c r="AF34" s="1170" t="str">
        <f ca="1">IF(AND('Riesgos de gestión'!$H$58="Baja",'Riesgos de gestión'!$L$58="Mayor"),CONCATENATE("R",'Riesgos de gestión'!$A$58),"")</f>
        <v/>
      </c>
      <c r="AG34" s="1171"/>
      <c r="AH34" s="1181" t="str">
        <f ca="1">IF(AND('Riesgos de gestión'!$H$46="Baja",'Riesgos de gestión'!$L$46="Catastrófico"),CONCATENATE("R",'Riesgos de gestión'!$A$46),"")</f>
        <v/>
      </c>
      <c r="AI34" s="1182"/>
      <c r="AJ34" s="1182" t="str">
        <f ca="1">IF(AND('Riesgos de gestión'!$H$52="Baja",'Riesgos de gestión'!$L$52="Catastrófico"),CONCATENATE("R",'Riesgos de gestión'!$A$52),"")</f>
        <v/>
      </c>
      <c r="AK34" s="1182"/>
      <c r="AL34" s="1182" t="str">
        <f ca="1">IF(AND('Riesgos de gestión'!$H$58="Baja",'Riesgos de gestión'!$L$58="Catastrófico"),CONCATENATE("R",'Riesgos de gestión'!$A$58),"")</f>
        <v/>
      </c>
      <c r="AM34" s="1183"/>
      <c r="AN34" s="83"/>
      <c r="AO34" s="1155"/>
      <c r="AP34" s="1156"/>
      <c r="AQ34" s="1156"/>
      <c r="AR34" s="1156"/>
      <c r="AS34" s="1156"/>
      <c r="AT34" s="1157"/>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row>
    <row r="35" spans="1:80" x14ac:dyDescent="0.25">
      <c r="A35" s="83"/>
      <c r="B35" s="1123"/>
      <c r="C35" s="1123"/>
      <c r="D35" s="1124"/>
      <c r="E35" s="1164"/>
      <c r="F35" s="1165"/>
      <c r="G35" s="1165"/>
      <c r="H35" s="1165"/>
      <c r="I35" s="1165"/>
      <c r="J35" s="1201"/>
      <c r="K35" s="1199"/>
      <c r="L35" s="1199"/>
      <c r="M35" s="1199"/>
      <c r="N35" s="1199"/>
      <c r="O35" s="1200"/>
      <c r="P35" s="1191"/>
      <c r="Q35" s="1191"/>
      <c r="R35" s="1191"/>
      <c r="S35" s="1191"/>
      <c r="T35" s="1191"/>
      <c r="U35" s="1192"/>
      <c r="V35" s="1190"/>
      <c r="W35" s="1191"/>
      <c r="X35" s="1191"/>
      <c r="Y35" s="1191"/>
      <c r="Z35" s="1191"/>
      <c r="AA35" s="1192"/>
      <c r="AB35" s="1174"/>
      <c r="AC35" s="1170"/>
      <c r="AD35" s="1170"/>
      <c r="AE35" s="1170"/>
      <c r="AF35" s="1170"/>
      <c r="AG35" s="1171"/>
      <c r="AH35" s="1181"/>
      <c r="AI35" s="1182"/>
      <c r="AJ35" s="1182"/>
      <c r="AK35" s="1182"/>
      <c r="AL35" s="1182"/>
      <c r="AM35" s="1183"/>
      <c r="AN35" s="83"/>
      <c r="AO35" s="1155"/>
      <c r="AP35" s="1156"/>
      <c r="AQ35" s="1156"/>
      <c r="AR35" s="1156"/>
      <c r="AS35" s="1156"/>
      <c r="AT35" s="1157"/>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c r="BY35" s="83"/>
      <c r="BZ35" s="83"/>
      <c r="CA35" s="83"/>
      <c r="CB35" s="83"/>
    </row>
    <row r="36" spans="1:80" x14ac:dyDescent="0.25">
      <c r="A36" s="83"/>
      <c r="B36" s="1123"/>
      <c r="C36" s="1123"/>
      <c r="D36" s="1124"/>
      <c r="E36" s="1164"/>
      <c r="F36" s="1165"/>
      <c r="G36" s="1165"/>
      <c r="H36" s="1165"/>
      <c r="I36" s="1165"/>
      <c r="J36" s="1201" t="str">
        <f ca="1">IF(AND('Riesgos de gestión'!$H$64="Baja",'Riesgos de gestión'!$L$64="Leve"),CONCATENATE("R",'Riesgos de gestión'!$A$64),"")</f>
        <v/>
      </c>
      <c r="K36" s="1199"/>
      <c r="L36" s="1199" t="str">
        <f>IF(AND('Riesgos de gestión'!$H$70="Baja",'Riesgos de gestión'!$L$70="Leve"),CONCATENATE("R",'Riesgos de gestión'!$A$70),"")</f>
        <v/>
      </c>
      <c r="M36" s="1199"/>
      <c r="N36" s="1199" t="str">
        <f>IF(AND('Riesgos de gestión'!$H$76="Baja",'Riesgos de gestión'!$L$76="Leve"),CONCATENATE("R",'Riesgos de gestión'!$A$76),"")</f>
        <v/>
      </c>
      <c r="O36" s="1200"/>
      <c r="P36" s="1191" t="str">
        <f ca="1">IF(AND('Riesgos de gestión'!$H$64="Baja",'Riesgos de gestión'!$L$64="Menor"),CONCATENATE("R",'Riesgos de gestión'!$A$64),"")</f>
        <v/>
      </c>
      <c r="Q36" s="1191"/>
      <c r="R36" s="1191" t="str">
        <f>IF(AND('Riesgos de gestión'!$H$70="Baja",'Riesgos de gestión'!$L$70="Menor"),CONCATENATE("R",'Riesgos de gestión'!$A$70),"")</f>
        <v/>
      </c>
      <c r="S36" s="1191"/>
      <c r="T36" s="1191" t="str">
        <f>IF(AND('Riesgos de gestión'!$H$76="Baja",'Riesgos de gestión'!$L$76="Menor"),CONCATENATE("R",'Riesgos de gestión'!$A$76),"")</f>
        <v/>
      </c>
      <c r="U36" s="1192"/>
      <c r="V36" s="1190" t="str">
        <f ca="1">IF(AND('Riesgos de gestión'!$H$64="Baja",'Riesgos de gestión'!$L$64="Moderado"),CONCATENATE("R",'Riesgos de gestión'!$A$64),"")</f>
        <v/>
      </c>
      <c r="W36" s="1191"/>
      <c r="X36" s="1191" t="str">
        <f>IF(AND('Riesgos de gestión'!$H$70="Baja",'Riesgos de gestión'!$L$70="Moderado"),CONCATENATE("R",'Riesgos de gestión'!$A$70),"")</f>
        <v/>
      </c>
      <c r="Y36" s="1191"/>
      <c r="Z36" s="1191" t="str">
        <f>IF(AND('Riesgos de gestión'!$H$76="Baja",'Riesgos de gestión'!$L$76="Moderado"),CONCATENATE("R",'Riesgos de gestión'!$A$76),"")</f>
        <v/>
      </c>
      <c r="AA36" s="1192"/>
      <c r="AB36" s="1174" t="str">
        <f ca="1">IF(AND('Riesgos de gestión'!$H$64="Baja",'Riesgos de gestión'!$L$64="Mayor"),CONCATENATE("R",'Riesgos de gestión'!$A$64),"")</f>
        <v/>
      </c>
      <c r="AC36" s="1170"/>
      <c r="AD36" s="1170" t="str">
        <f>IF(AND('Riesgos de gestión'!$H$70="Baja",'Riesgos de gestión'!$L$70="Mayor"),CONCATENATE("R",'Riesgos de gestión'!$A$70),"")</f>
        <v/>
      </c>
      <c r="AE36" s="1170"/>
      <c r="AF36" s="1170" t="str">
        <f>IF(AND('Riesgos de gestión'!$H$76="Baja",'Riesgos de gestión'!$L$76="Mayor"),CONCATENATE("R",'Riesgos de gestión'!$A$76),"")</f>
        <v/>
      </c>
      <c r="AG36" s="1171"/>
      <c r="AH36" s="1181" t="str">
        <f ca="1">IF(AND('Riesgos de gestión'!$H$64="Baja",'Riesgos de gestión'!$L$64="Catastrófico"),CONCATENATE("R",'Riesgos de gestión'!$A$64),"")</f>
        <v/>
      </c>
      <c r="AI36" s="1182"/>
      <c r="AJ36" s="1182" t="str">
        <f>IF(AND('Riesgos de gestión'!$H$70="Baja",'Riesgos de gestión'!$L$70="Catastrófico"),CONCATENATE("R",'Riesgos de gestión'!$A$70),"")</f>
        <v/>
      </c>
      <c r="AK36" s="1182"/>
      <c r="AL36" s="1182" t="str">
        <f>IF(AND('Riesgos de gestión'!$H$76="Baja",'Riesgos de gestión'!$L$76="Catastrófico"),CONCATENATE("R",'Riesgos de gestión'!$A$76),"")</f>
        <v/>
      </c>
      <c r="AM36" s="1183"/>
      <c r="AN36" s="83"/>
      <c r="AO36" s="1155"/>
      <c r="AP36" s="1156"/>
      <c r="AQ36" s="1156"/>
      <c r="AR36" s="1156"/>
      <c r="AS36" s="1156"/>
      <c r="AT36" s="1157"/>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row>
    <row r="37" spans="1:80" ht="15.75" thickBot="1" x14ac:dyDescent="0.3">
      <c r="A37" s="83"/>
      <c r="B37" s="1123"/>
      <c r="C37" s="1123"/>
      <c r="D37" s="1124"/>
      <c r="E37" s="1167"/>
      <c r="F37" s="1168"/>
      <c r="G37" s="1168"/>
      <c r="H37" s="1168"/>
      <c r="I37" s="1168"/>
      <c r="J37" s="1202"/>
      <c r="K37" s="1203"/>
      <c r="L37" s="1203"/>
      <c r="M37" s="1203"/>
      <c r="N37" s="1203"/>
      <c r="O37" s="1204"/>
      <c r="P37" s="1194"/>
      <c r="Q37" s="1194"/>
      <c r="R37" s="1194"/>
      <c r="S37" s="1194"/>
      <c r="T37" s="1194"/>
      <c r="U37" s="1195"/>
      <c r="V37" s="1193"/>
      <c r="W37" s="1194"/>
      <c r="X37" s="1194"/>
      <c r="Y37" s="1194"/>
      <c r="Z37" s="1194"/>
      <c r="AA37" s="1195"/>
      <c r="AB37" s="1178"/>
      <c r="AC37" s="1179"/>
      <c r="AD37" s="1179"/>
      <c r="AE37" s="1179"/>
      <c r="AF37" s="1179"/>
      <c r="AG37" s="1180"/>
      <c r="AH37" s="1184"/>
      <c r="AI37" s="1185"/>
      <c r="AJ37" s="1185"/>
      <c r="AK37" s="1185"/>
      <c r="AL37" s="1185"/>
      <c r="AM37" s="1186"/>
      <c r="AN37" s="83"/>
      <c r="AO37" s="1158"/>
      <c r="AP37" s="1159"/>
      <c r="AQ37" s="1159"/>
      <c r="AR37" s="1159"/>
      <c r="AS37" s="1159"/>
      <c r="AT37" s="1160"/>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row>
    <row r="38" spans="1:80" x14ac:dyDescent="0.25">
      <c r="A38" s="83"/>
      <c r="B38" s="1123"/>
      <c r="C38" s="1123"/>
      <c r="D38" s="1124"/>
      <c r="E38" s="1161" t="s">
        <v>113</v>
      </c>
      <c r="F38" s="1162"/>
      <c r="G38" s="1162"/>
      <c r="H38" s="1162"/>
      <c r="I38" s="1163"/>
      <c r="J38" s="1205" t="str">
        <f ca="1">IF(AND('Riesgos de gestión'!$H$10="Muy Baja",'Riesgos de gestión'!$L$10="Leve"),CONCATENATE("R",'Riesgos de gestión'!$A$10),"")</f>
        <v/>
      </c>
      <c r="K38" s="1206"/>
      <c r="L38" s="1206" t="str">
        <f ca="1">IF(AND('Riesgos de gestión'!$H$16="Muy Baja",'Riesgos de gestión'!$L$16="Leve"),CONCATENATE("R",'Riesgos de gestión'!$A$16),"")</f>
        <v/>
      </c>
      <c r="M38" s="1206"/>
      <c r="N38" s="1206" t="str">
        <f ca="1">IF(AND('Riesgos de gestión'!$H$22="Muy Baja",'Riesgos de gestión'!$L$22="Leve"),CONCATENATE("R",'Riesgos de gestión'!$A$22),"")</f>
        <v/>
      </c>
      <c r="O38" s="1207"/>
      <c r="P38" s="1205" t="str">
        <f ca="1">IF(AND('Riesgos de gestión'!$H$10="Muy Baja",'Riesgos de gestión'!$L$10="Menor"),CONCATENATE("R",'Riesgos de gestión'!$A$10),"")</f>
        <v/>
      </c>
      <c r="Q38" s="1206"/>
      <c r="R38" s="1206" t="str">
        <f ca="1">IF(AND('Riesgos de gestión'!$H$16="Muy Baja",'Riesgos de gestión'!$L$16="Menor"),CONCATENATE("R",'Riesgos de gestión'!$A$16),"")</f>
        <v/>
      </c>
      <c r="S38" s="1206"/>
      <c r="T38" s="1206" t="str">
        <f ca="1">IF(AND('Riesgos de gestión'!$H$22="Muy Baja",'Riesgos de gestión'!$L$22="Menor"),CONCATENATE("R",'Riesgos de gestión'!$A$22),"")</f>
        <v/>
      </c>
      <c r="U38" s="1207"/>
      <c r="V38" s="1196" t="str">
        <f ca="1">IF(AND('Riesgos de gestión'!$H$10="Muy Baja",'Riesgos de gestión'!$L$10="Moderado"),CONCATENATE("R",'Riesgos de gestión'!$A$10),"")</f>
        <v/>
      </c>
      <c r="W38" s="1197"/>
      <c r="X38" s="1197" t="str">
        <f ca="1">IF(AND('Riesgos de gestión'!$H$16="Muy Baja",'Riesgos de gestión'!$L$16="Moderado"),CONCATENATE("R",'Riesgos de gestión'!$A$16),"")</f>
        <v/>
      </c>
      <c r="Y38" s="1197"/>
      <c r="Z38" s="1197" t="str">
        <f ca="1">IF(AND('Riesgos de gestión'!$H$22="Muy Baja",'Riesgos de gestión'!$L$22="Moderado"),CONCATENATE("R",'Riesgos de gestión'!$A$22),"")</f>
        <v/>
      </c>
      <c r="AA38" s="1198"/>
      <c r="AB38" s="1172" t="str">
        <f ca="1">IF(AND('Riesgos de gestión'!$H$10="Muy Baja",'Riesgos de gestión'!$L$10="Mayor"),CONCATENATE("R",'Riesgos de gestión'!$A$10),"")</f>
        <v/>
      </c>
      <c r="AC38" s="1173"/>
      <c r="AD38" s="1173" t="str">
        <f ca="1">IF(AND('Riesgos de gestión'!$H$16="Muy Baja",'Riesgos de gestión'!$L$16="Mayor"),CONCATENATE("R",'Riesgos de gestión'!$A$16),"")</f>
        <v/>
      </c>
      <c r="AE38" s="1173"/>
      <c r="AF38" s="1173" t="str">
        <f ca="1">IF(AND('Riesgos de gestión'!$H$22="Muy Baja",'Riesgos de gestión'!$L$22="Mayor"),CONCATENATE("R",'Riesgos de gestión'!$A$22),"")</f>
        <v/>
      </c>
      <c r="AG38" s="1175"/>
      <c r="AH38" s="1187" t="str">
        <f ca="1">IF(AND('Riesgos de gestión'!$H$10="Muy Baja",'Riesgos de gestión'!$L$10="Catastrófico"),CONCATENATE("R",'Riesgos de gestión'!$A$10),"")</f>
        <v>R1</v>
      </c>
      <c r="AI38" s="1188"/>
      <c r="AJ38" s="1188" t="str">
        <f ca="1">IF(AND('Riesgos de gestión'!$H$16="Muy Baja",'Riesgos de gestión'!$L$16="Catastrófico"),CONCATENATE("R",'Riesgos de gestión'!$A$16),"")</f>
        <v/>
      </c>
      <c r="AK38" s="1188"/>
      <c r="AL38" s="1188" t="str">
        <f ca="1">IF(AND('Riesgos de gestión'!$H$22="Muy Baja",'Riesgos de gestión'!$L$22="Catastrófico"),CONCATENATE("R",'Riesgos de gestión'!$A$22),"")</f>
        <v/>
      </c>
      <c r="AM38" s="1189"/>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row>
    <row r="39" spans="1:80" x14ac:dyDescent="0.25">
      <c r="A39" s="83"/>
      <c r="B39" s="1123"/>
      <c r="C39" s="1123"/>
      <c r="D39" s="1124"/>
      <c r="E39" s="1164"/>
      <c r="F39" s="1165"/>
      <c r="G39" s="1165"/>
      <c r="H39" s="1165"/>
      <c r="I39" s="1166"/>
      <c r="J39" s="1201"/>
      <c r="K39" s="1199"/>
      <c r="L39" s="1199"/>
      <c r="M39" s="1199"/>
      <c r="N39" s="1199"/>
      <c r="O39" s="1200"/>
      <c r="P39" s="1201"/>
      <c r="Q39" s="1199"/>
      <c r="R39" s="1199"/>
      <c r="S39" s="1199"/>
      <c r="T39" s="1199"/>
      <c r="U39" s="1200"/>
      <c r="V39" s="1190"/>
      <c r="W39" s="1191"/>
      <c r="X39" s="1191"/>
      <c r="Y39" s="1191"/>
      <c r="Z39" s="1191"/>
      <c r="AA39" s="1192"/>
      <c r="AB39" s="1174"/>
      <c r="AC39" s="1170"/>
      <c r="AD39" s="1170"/>
      <c r="AE39" s="1170"/>
      <c r="AF39" s="1170"/>
      <c r="AG39" s="1171"/>
      <c r="AH39" s="1181"/>
      <c r="AI39" s="1182"/>
      <c r="AJ39" s="1182"/>
      <c r="AK39" s="1182"/>
      <c r="AL39" s="1182"/>
      <c r="AM39" s="11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row>
    <row r="40" spans="1:80" x14ac:dyDescent="0.25">
      <c r="A40" s="83"/>
      <c r="B40" s="1123"/>
      <c r="C40" s="1123"/>
      <c r="D40" s="1124"/>
      <c r="E40" s="1164"/>
      <c r="F40" s="1165"/>
      <c r="G40" s="1165"/>
      <c r="H40" s="1165"/>
      <c r="I40" s="1166"/>
      <c r="J40" s="1201" t="str">
        <f ca="1">IF(AND('Riesgos de gestión'!$H$28="Muy Baja",'Riesgos de gestión'!$L$28="Leve"),CONCATENATE("R",'Riesgos de gestión'!$A$28),"")</f>
        <v/>
      </c>
      <c r="K40" s="1199"/>
      <c r="L40" s="1199" t="str">
        <f ca="1">IF(AND('Riesgos de gestión'!$H$34="Muy Baja",'Riesgos de gestión'!$L$34="Leve"),CONCATENATE("R",'Riesgos de gestión'!$A$34),"")</f>
        <v/>
      </c>
      <c r="M40" s="1199"/>
      <c r="N40" s="1199" t="str">
        <f ca="1">IF(AND('Riesgos de gestión'!$H$40="Muy Baja",'Riesgos de gestión'!$L$40="Leve"),CONCATENATE("R",'Riesgos de gestión'!$A$40),"")</f>
        <v/>
      </c>
      <c r="O40" s="1200"/>
      <c r="P40" s="1201" t="str">
        <f ca="1">IF(AND('Riesgos de gestión'!$H$28="Muy Baja",'Riesgos de gestión'!$L$28="Menor"),CONCATENATE("R",'Riesgos de gestión'!$A$28),"")</f>
        <v/>
      </c>
      <c r="Q40" s="1199"/>
      <c r="R40" s="1199" t="str">
        <f ca="1">IF(AND('Riesgos de gestión'!$H$34="Muy Baja",'Riesgos de gestión'!$L$34="Menor"),CONCATENATE("R",'Riesgos de gestión'!$A$34),"")</f>
        <v/>
      </c>
      <c r="S40" s="1199"/>
      <c r="T40" s="1199" t="str">
        <f ca="1">IF(AND('Riesgos de gestión'!$H$40="Muy Baja",'Riesgos de gestión'!$L$40="Menor"),CONCATENATE("R",'Riesgos de gestión'!$A$40),"")</f>
        <v/>
      </c>
      <c r="U40" s="1200"/>
      <c r="V40" s="1190" t="str">
        <f ca="1">IF(AND('Riesgos de gestión'!$H$28="Muy Baja",'Riesgos de gestión'!$L$28="Moderado"),CONCATENATE("R",'Riesgos de gestión'!$A$28),"")</f>
        <v/>
      </c>
      <c r="W40" s="1191"/>
      <c r="X40" s="1191" t="str">
        <f ca="1">IF(AND('Riesgos de gestión'!$H$34="Muy Baja",'Riesgos de gestión'!$L$34="Moderado"),CONCATENATE("R",'Riesgos de gestión'!$A$34),"")</f>
        <v/>
      </c>
      <c r="Y40" s="1191"/>
      <c r="Z40" s="1191" t="str">
        <f ca="1">IF(AND('Riesgos de gestión'!$H$40="Muy Baja",'Riesgos de gestión'!$L$40="Moderado"),CONCATENATE("R",'Riesgos de gestión'!$A$40),"")</f>
        <v/>
      </c>
      <c r="AA40" s="1192"/>
      <c r="AB40" s="1174" t="str">
        <f ca="1">IF(AND('Riesgos de gestión'!$H$28="Muy Baja",'Riesgos de gestión'!$L$28="Mayor"),CONCATENATE("R",'Riesgos de gestión'!$A$28),"")</f>
        <v/>
      </c>
      <c r="AC40" s="1170"/>
      <c r="AD40" s="1170" t="str">
        <f ca="1">IF(AND('Riesgos de gestión'!$H$34="Muy Baja",'Riesgos de gestión'!$L$34="Mayor"),CONCATENATE("R",'Riesgos de gestión'!$A$34),"")</f>
        <v/>
      </c>
      <c r="AE40" s="1170"/>
      <c r="AF40" s="1170" t="str">
        <f ca="1">IF(AND('Riesgos de gestión'!$H$40="Muy Baja",'Riesgos de gestión'!$L$40="Mayor"),CONCATENATE("R",'Riesgos de gestión'!$A$40),"")</f>
        <v/>
      </c>
      <c r="AG40" s="1171"/>
      <c r="AH40" s="1181" t="str">
        <f ca="1">IF(AND('Riesgos de gestión'!$H$28="Muy Baja",'Riesgos de gestión'!$L$28="Catastrófico"),CONCATENATE("R",'Riesgos de gestión'!$A$28),"")</f>
        <v/>
      </c>
      <c r="AI40" s="1182"/>
      <c r="AJ40" s="1182" t="str">
        <f ca="1">IF(AND('Riesgos de gestión'!$H$34="Muy Baja",'Riesgos de gestión'!$L$34="Catastrófico"),CONCATENATE("R",'Riesgos de gestión'!$A$34),"")</f>
        <v/>
      </c>
      <c r="AK40" s="1182"/>
      <c r="AL40" s="1182" t="str">
        <f ca="1">IF(AND('Riesgos de gestión'!$H$40="Muy Baja",'Riesgos de gestión'!$L$40="Catastrófico"),CONCATENATE("R",'Riesgos de gestión'!$A$40),"")</f>
        <v/>
      </c>
      <c r="AM40" s="11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row>
    <row r="41" spans="1:80" x14ac:dyDescent="0.25">
      <c r="A41" s="83"/>
      <c r="B41" s="1123"/>
      <c r="C41" s="1123"/>
      <c r="D41" s="1124"/>
      <c r="E41" s="1164"/>
      <c r="F41" s="1165"/>
      <c r="G41" s="1165"/>
      <c r="H41" s="1165"/>
      <c r="I41" s="1166"/>
      <c r="J41" s="1201"/>
      <c r="K41" s="1199"/>
      <c r="L41" s="1199"/>
      <c r="M41" s="1199"/>
      <c r="N41" s="1199"/>
      <c r="O41" s="1200"/>
      <c r="P41" s="1201"/>
      <c r="Q41" s="1199"/>
      <c r="R41" s="1199"/>
      <c r="S41" s="1199"/>
      <c r="T41" s="1199"/>
      <c r="U41" s="1200"/>
      <c r="V41" s="1190"/>
      <c r="W41" s="1191"/>
      <c r="X41" s="1191"/>
      <c r="Y41" s="1191"/>
      <c r="Z41" s="1191"/>
      <c r="AA41" s="1192"/>
      <c r="AB41" s="1174"/>
      <c r="AC41" s="1170"/>
      <c r="AD41" s="1170"/>
      <c r="AE41" s="1170"/>
      <c r="AF41" s="1170"/>
      <c r="AG41" s="1171"/>
      <c r="AH41" s="1181"/>
      <c r="AI41" s="1182"/>
      <c r="AJ41" s="1182"/>
      <c r="AK41" s="1182"/>
      <c r="AL41" s="1182"/>
      <c r="AM41" s="11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row>
    <row r="42" spans="1:80" x14ac:dyDescent="0.25">
      <c r="A42" s="83"/>
      <c r="B42" s="1123"/>
      <c r="C42" s="1123"/>
      <c r="D42" s="1124"/>
      <c r="E42" s="1164"/>
      <c r="F42" s="1165"/>
      <c r="G42" s="1165"/>
      <c r="H42" s="1165"/>
      <c r="I42" s="1166"/>
      <c r="J42" s="1201" t="str">
        <f ca="1">IF(AND('Riesgos de gestión'!$H$46="Muy Baja",'Riesgos de gestión'!$L$46="Leve"),CONCATENATE("R",'Riesgos de gestión'!$A$46),"")</f>
        <v/>
      </c>
      <c r="K42" s="1199"/>
      <c r="L42" s="1199" t="str">
        <f ca="1">IF(AND('Riesgos de gestión'!$H$52="Muy Baja",'Riesgos de gestión'!$L$52="Leve"),CONCATENATE("R",'Riesgos de gestión'!$A$52),"")</f>
        <v/>
      </c>
      <c r="M42" s="1199"/>
      <c r="N42" s="1199" t="str">
        <f ca="1">IF(AND('Riesgos de gestión'!$H$58="Muy Baja",'Riesgos de gestión'!$L$58="Leve"),CONCATENATE("R",'Riesgos de gestión'!$A$58),"")</f>
        <v/>
      </c>
      <c r="O42" s="1200"/>
      <c r="P42" s="1201" t="str">
        <f ca="1">IF(AND('Riesgos de gestión'!$H$46="Muy Baja",'Riesgos de gestión'!$L$46="Menor"),CONCATENATE("R",'Riesgos de gestión'!$A$46),"")</f>
        <v/>
      </c>
      <c r="Q42" s="1199"/>
      <c r="R42" s="1199" t="str">
        <f ca="1">IF(AND('Riesgos de gestión'!$H$52="Muy Baja",'Riesgos de gestión'!$L$52="Menor"),CONCATENATE("R",'Riesgos de gestión'!$A$52),"")</f>
        <v/>
      </c>
      <c r="S42" s="1199"/>
      <c r="T42" s="1199" t="str">
        <f ca="1">IF(AND('Riesgos de gestión'!$H$58="Muy Baja",'Riesgos de gestión'!$L$58="Menor"),CONCATENATE("R",'Riesgos de gestión'!$A$58),"")</f>
        <v/>
      </c>
      <c r="U42" s="1200"/>
      <c r="V42" s="1190" t="str">
        <f ca="1">IF(AND('Riesgos de gestión'!$H$46="Muy Baja",'Riesgos de gestión'!$L$46="Moderado"),CONCATENATE("R",'Riesgos de gestión'!$A$46),"")</f>
        <v/>
      </c>
      <c r="W42" s="1191"/>
      <c r="X42" s="1191" t="str">
        <f ca="1">IF(AND('Riesgos de gestión'!$H$52="Muy Baja",'Riesgos de gestión'!$L$52="Moderado"),CONCATENATE("R",'Riesgos de gestión'!$A$52),"")</f>
        <v/>
      </c>
      <c r="Y42" s="1191"/>
      <c r="Z42" s="1191" t="str">
        <f ca="1">IF(AND('Riesgos de gestión'!$H$58="Muy Baja",'Riesgos de gestión'!$L$58="Moderado"),CONCATENATE("R",'Riesgos de gestión'!$A$58),"")</f>
        <v/>
      </c>
      <c r="AA42" s="1192"/>
      <c r="AB42" s="1174" t="str">
        <f ca="1">IF(AND('Riesgos de gestión'!$H$46="Muy Baja",'Riesgos de gestión'!$L$46="Mayor"),CONCATENATE("R",'Riesgos de gestión'!$A$46),"")</f>
        <v/>
      </c>
      <c r="AC42" s="1170"/>
      <c r="AD42" s="1170" t="str">
        <f ca="1">IF(AND('Riesgos de gestión'!$H$52="Muy Baja",'Riesgos de gestión'!$L$52="Mayor"),CONCATENATE("R",'Riesgos de gestión'!$A$52),"")</f>
        <v/>
      </c>
      <c r="AE42" s="1170"/>
      <c r="AF42" s="1170" t="str">
        <f ca="1">IF(AND('Riesgos de gestión'!$H$58="Muy Baja",'Riesgos de gestión'!$L$58="Mayor"),CONCATENATE("R",'Riesgos de gestión'!$A$58),"")</f>
        <v/>
      </c>
      <c r="AG42" s="1171"/>
      <c r="AH42" s="1181" t="str">
        <f ca="1">IF(AND('Riesgos de gestión'!$H$46="Muy Baja",'Riesgos de gestión'!$L$46="Catastrófico"),CONCATENATE("R",'Riesgos de gestión'!$A$46),"")</f>
        <v/>
      </c>
      <c r="AI42" s="1182"/>
      <c r="AJ42" s="1182" t="str">
        <f ca="1">IF(AND('Riesgos de gestión'!$H$52="Muy Baja",'Riesgos de gestión'!$L$52="Catastrófico"),CONCATENATE("R",'Riesgos de gestión'!$A$52),"")</f>
        <v/>
      </c>
      <c r="AK42" s="1182"/>
      <c r="AL42" s="1182" t="str">
        <f ca="1">IF(AND('Riesgos de gestión'!$H$58="Muy Baja",'Riesgos de gestión'!$L$58="Catastrófico"),CONCATENATE("R",'Riesgos de gestión'!$A$58),"")</f>
        <v/>
      </c>
      <c r="AM42" s="1183"/>
      <c r="AN42" s="83"/>
      <c r="AO42" s="83"/>
      <c r="AP42" s="83"/>
      <c r="AQ42" s="83"/>
      <c r="AR42" s="83"/>
      <c r="AS42" s="83"/>
      <c r="AT42" s="83"/>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row>
    <row r="43" spans="1:80" x14ac:dyDescent="0.25">
      <c r="A43" s="83"/>
      <c r="B43" s="1123"/>
      <c r="C43" s="1123"/>
      <c r="D43" s="1124"/>
      <c r="E43" s="1164"/>
      <c r="F43" s="1165"/>
      <c r="G43" s="1165"/>
      <c r="H43" s="1165"/>
      <c r="I43" s="1166"/>
      <c r="J43" s="1201"/>
      <c r="K43" s="1199"/>
      <c r="L43" s="1199"/>
      <c r="M43" s="1199"/>
      <c r="N43" s="1199"/>
      <c r="O43" s="1200"/>
      <c r="P43" s="1201"/>
      <c r="Q43" s="1199"/>
      <c r="R43" s="1199"/>
      <c r="S43" s="1199"/>
      <c r="T43" s="1199"/>
      <c r="U43" s="1200"/>
      <c r="V43" s="1190"/>
      <c r="W43" s="1191"/>
      <c r="X43" s="1191"/>
      <c r="Y43" s="1191"/>
      <c r="Z43" s="1191"/>
      <c r="AA43" s="1192"/>
      <c r="AB43" s="1174"/>
      <c r="AC43" s="1170"/>
      <c r="AD43" s="1170"/>
      <c r="AE43" s="1170"/>
      <c r="AF43" s="1170"/>
      <c r="AG43" s="1171"/>
      <c r="AH43" s="1181"/>
      <c r="AI43" s="1182"/>
      <c r="AJ43" s="1182"/>
      <c r="AK43" s="1182"/>
      <c r="AL43" s="1182"/>
      <c r="AM43" s="1183"/>
      <c r="AN43" s="83"/>
      <c r="AO43" s="83"/>
      <c r="AP43" s="83"/>
      <c r="AQ43" s="83"/>
      <c r="AR43" s="83"/>
      <c r="AS43" s="83"/>
      <c r="AT43" s="83"/>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c r="BY43" s="83"/>
      <c r="BZ43" s="83"/>
      <c r="CA43" s="83"/>
      <c r="CB43" s="83"/>
    </row>
    <row r="44" spans="1:80" x14ac:dyDescent="0.25">
      <c r="A44" s="83"/>
      <c r="B44" s="1123"/>
      <c r="C44" s="1123"/>
      <c r="D44" s="1124"/>
      <c r="E44" s="1164"/>
      <c r="F44" s="1165"/>
      <c r="G44" s="1165"/>
      <c r="H44" s="1165"/>
      <c r="I44" s="1166"/>
      <c r="J44" s="1201" t="str">
        <f ca="1">IF(AND('Riesgos de gestión'!$H$64="Muy Baja",'Riesgos de gestión'!$L$64="Leve"),CONCATENATE("R",'Riesgos de gestión'!$A$64),"")</f>
        <v/>
      </c>
      <c r="K44" s="1199"/>
      <c r="L44" s="1199" t="str">
        <f>IF(AND('Riesgos de gestión'!$H$70="Muy Baja",'Riesgos de gestión'!$L$70="Leve"),CONCATENATE("R",'Riesgos de gestión'!$A$70),"")</f>
        <v/>
      </c>
      <c r="M44" s="1199"/>
      <c r="N44" s="1199" t="str">
        <f>IF(AND('Riesgos de gestión'!$H$76="Muy Baja",'Riesgos de gestión'!$L$76="Leve"),CONCATENATE("R",'Riesgos de gestión'!$A$76),"")</f>
        <v/>
      </c>
      <c r="O44" s="1200"/>
      <c r="P44" s="1201" t="str">
        <f ca="1">IF(AND('Riesgos de gestión'!$H$64="Muy Baja",'Riesgos de gestión'!$L$64="Menor"),CONCATENATE("R",'Riesgos de gestión'!$A$64),"")</f>
        <v/>
      </c>
      <c r="Q44" s="1199"/>
      <c r="R44" s="1199" t="str">
        <f>IF(AND('Riesgos de gestión'!$H$70="Muy Baja",'Riesgos de gestión'!$L$70="Menor"),CONCATENATE("R",'Riesgos de gestión'!$A$70),"")</f>
        <v/>
      </c>
      <c r="S44" s="1199"/>
      <c r="T44" s="1199" t="str">
        <f>IF(AND('Riesgos de gestión'!$H$76="Muy Baja",'Riesgos de gestión'!$L$76="Menor"),CONCATENATE("R",'Riesgos de gestión'!$A$76),"")</f>
        <v/>
      </c>
      <c r="U44" s="1200"/>
      <c r="V44" s="1190" t="str">
        <f ca="1">IF(AND('Riesgos de gestión'!$H$64="Muy Baja",'Riesgos de gestión'!$L$64="Moderado"),CONCATENATE("R",'Riesgos de gestión'!$A$64),"")</f>
        <v/>
      </c>
      <c r="W44" s="1191"/>
      <c r="X44" s="1191" t="str">
        <f>IF(AND('Riesgos de gestión'!$H$70="Muy Baja",'Riesgos de gestión'!$L$70="Moderado"),CONCATENATE("R",'Riesgos de gestión'!$A$70),"")</f>
        <v/>
      </c>
      <c r="Y44" s="1191"/>
      <c r="Z44" s="1191" t="str">
        <f>IF(AND('Riesgos de gestión'!$H$76="Muy Baja",'Riesgos de gestión'!$L$76="Moderado"),CONCATENATE("R",'Riesgos de gestión'!$A$76),"")</f>
        <v/>
      </c>
      <c r="AA44" s="1192"/>
      <c r="AB44" s="1174" t="str">
        <f ca="1">IF(AND('Riesgos de gestión'!$H$64="Muy Baja",'Riesgos de gestión'!$L$64="Mayor"),CONCATENATE("R",'Riesgos de gestión'!$A$64),"")</f>
        <v/>
      </c>
      <c r="AC44" s="1170"/>
      <c r="AD44" s="1170" t="str">
        <f>IF(AND('Riesgos de gestión'!$H$70="Muy Baja",'Riesgos de gestión'!$L$70="Mayor"),CONCATENATE("R",'Riesgos de gestión'!$A$70),"")</f>
        <v/>
      </c>
      <c r="AE44" s="1170"/>
      <c r="AF44" s="1170" t="str">
        <f>IF(AND('Riesgos de gestión'!$H$76="Muy Baja",'Riesgos de gestión'!$L$76="Mayor"),CONCATENATE("R",'Riesgos de gestión'!$A$76),"")</f>
        <v/>
      </c>
      <c r="AG44" s="1171"/>
      <c r="AH44" s="1181" t="str">
        <f ca="1">IF(AND('Riesgos de gestión'!$H$64="Muy Baja",'Riesgos de gestión'!$L$64="Catastrófico"),CONCATENATE("R",'Riesgos de gestión'!$A$64),"")</f>
        <v/>
      </c>
      <c r="AI44" s="1182"/>
      <c r="AJ44" s="1182" t="str">
        <f>IF(AND('Riesgos de gestión'!$H$70="Muy Baja",'Riesgos de gestión'!$L$70="Catastrófico"),CONCATENATE("R",'Riesgos de gestión'!$A$70),"")</f>
        <v/>
      </c>
      <c r="AK44" s="1182"/>
      <c r="AL44" s="1182" t="str">
        <f>IF(AND('Riesgos de gestión'!$H$76="Muy Baja",'Riesgos de gestión'!$L$76="Catastrófico"),CONCATENATE("R",'Riesgos de gestión'!$A$76),"")</f>
        <v/>
      </c>
      <c r="AM44" s="1183"/>
      <c r="AN44" s="83"/>
      <c r="AO44" s="83"/>
      <c r="AP44" s="83"/>
      <c r="AQ44" s="83"/>
      <c r="AR44" s="83"/>
      <c r="AS44" s="83"/>
      <c r="AT44" s="83"/>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row>
    <row r="45" spans="1:80" ht="15.75" thickBot="1" x14ac:dyDescent="0.3">
      <c r="A45" s="83"/>
      <c r="B45" s="1123"/>
      <c r="C45" s="1123"/>
      <c r="D45" s="1124"/>
      <c r="E45" s="1167"/>
      <c r="F45" s="1168"/>
      <c r="G45" s="1168"/>
      <c r="H45" s="1168"/>
      <c r="I45" s="1169"/>
      <c r="J45" s="1202"/>
      <c r="K45" s="1203"/>
      <c r="L45" s="1203"/>
      <c r="M45" s="1203"/>
      <c r="N45" s="1203"/>
      <c r="O45" s="1204"/>
      <c r="P45" s="1202"/>
      <c r="Q45" s="1203"/>
      <c r="R45" s="1203"/>
      <c r="S45" s="1203"/>
      <c r="T45" s="1203"/>
      <c r="U45" s="1204"/>
      <c r="V45" s="1193"/>
      <c r="W45" s="1194"/>
      <c r="X45" s="1194"/>
      <c r="Y45" s="1194"/>
      <c r="Z45" s="1194"/>
      <c r="AA45" s="1195"/>
      <c r="AB45" s="1178"/>
      <c r="AC45" s="1179"/>
      <c r="AD45" s="1179"/>
      <c r="AE45" s="1179"/>
      <c r="AF45" s="1179"/>
      <c r="AG45" s="1180"/>
      <c r="AH45" s="1184"/>
      <c r="AI45" s="1185"/>
      <c r="AJ45" s="1185"/>
      <c r="AK45" s="1185"/>
      <c r="AL45" s="1185"/>
      <c r="AM45" s="1186"/>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row>
    <row r="46" spans="1:80" x14ac:dyDescent="0.25">
      <c r="A46" s="83"/>
      <c r="B46" s="83"/>
      <c r="C46" s="83"/>
      <c r="D46" s="83"/>
      <c r="E46" s="83"/>
      <c r="F46" s="83"/>
      <c r="G46" s="83"/>
      <c r="H46" s="83"/>
      <c r="I46" s="83"/>
      <c r="J46" s="1161" t="s">
        <v>112</v>
      </c>
      <c r="K46" s="1162"/>
      <c r="L46" s="1162"/>
      <c r="M46" s="1162"/>
      <c r="N46" s="1162"/>
      <c r="O46" s="1163"/>
      <c r="P46" s="1161" t="s">
        <v>111</v>
      </c>
      <c r="Q46" s="1162"/>
      <c r="R46" s="1162"/>
      <c r="S46" s="1162"/>
      <c r="T46" s="1162"/>
      <c r="U46" s="1163"/>
      <c r="V46" s="1161" t="s">
        <v>110</v>
      </c>
      <c r="W46" s="1162"/>
      <c r="X46" s="1162"/>
      <c r="Y46" s="1162"/>
      <c r="Z46" s="1162"/>
      <c r="AA46" s="1163"/>
      <c r="AB46" s="1161" t="s">
        <v>109</v>
      </c>
      <c r="AC46" s="1177"/>
      <c r="AD46" s="1162"/>
      <c r="AE46" s="1162"/>
      <c r="AF46" s="1162"/>
      <c r="AG46" s="1163"/>
      <c r="AH46" s="1161" t="s">
        <v>108</v>
      </c>
      <c r="AI46" s="1162"/>
      <c r="AJ46" s="1162"/>
      <c r="AK46" s="1162"/>
      <c r="AL46" s="1162"/>
      <c r="AM46" s="1163"/>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x14ac:dyDescent="0.25">
      <c r="A47" s="83"/>
      <c r="B47" s="83"/>
      <c r="C47" s="83"/>
      <c r="D47" s="83"/>
      <c r="E47" s="83"/>
      <c r="F47" s="83"/>
      <c r="G47" s="83"/>
      <c r="H47" s="83"/>
      <c r="I47" s="83"/>
      <c r="J47" s="1164"/>
      <c r="K47" s="1165"/>
      <c r="L47" s="1165"/>
      <c r="M47" s="1165"/>
      <c r="N47" s="1165"/>
      <c r="O47" s="1166"/>
      <c r="P47" s="1164"/>
      <c r="Q47" s="1165"/>
      <c r="R47" s="1165"/>
      <c r="S47" s="1165"/>
      <c r="T47" s="1165"/>
      <c r="U47" s="1166"/>
      <c r="V47" s="1164"/>
      <c r="W47" s="1165"/>
      <c r="X47" s="1165"/>
      <c r="Y47" s="1165"/>
      <c r="Z47" s="1165"/>
      <c r="AA47" s="1166"/>
      <c r="AB47" s="1164"/>
      <c r="AC47" s="1165"/>
      <c r="AD47" s="1165"/>
      <c r="AE47" s="1165"/>
      <c r="AF47" s="1165"/>
      <c r="AG47" s="1166"/>
      <c r="AH47" s="1164"/>
      <c r="AI47" s="1165"/>
      <c r="AJ47" s="1165"/>
      <c r="AK47" s="1165"/>
      <c r="AL47" s="1165"/>
      <c r="AM47" s="1166"/>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x14ac:dyDescent="0.25">
      <c r="A48" s="83"/>
      <c r="B48" s="83"/>
      <c r="C48" s="83"/>
      <c r="D48" s="83"/>
      <c r="E48" s="83"/>
      <c r="F48" s="83"/>
      <c r="G48" s="83"/>
      <c r="H48" s="83"/>
      <c r="I48" s="83"/>
      <c r="J48" s="1164"/>
      <c r="K48" s="1165"/>
      <c r="L48" s="1165"/>
      <c r="M48" s="1165"/>
      <c r="N48" s="1165"/>
      <c r="O48" s="1166"/>
      <c r="P48" s="1164"/>
      <c r="Q48" s="1165"/>
      <c r="R48" s="1165"/>
      <c r="S48" s="1165"/>
      <c r="T48" s="1165"/>
      <c r="U48" s="1166"/>
      <c r="V48" s="1164"/>
      <c r="W48" s="1165"/>
      <c r="X48" s="1165"/>
      <c r="Y48" s="1165"/>
      <c r="Z48" s="1165"/>
      <c r="AA48" s="1166"/>
      <c r="AB48" s="1164"/>
      <c r="AC48" s="1165"/>
      <c r="AD48" s="1165"/>
      <c r="AE48" s="1165"/>
      <c r="AF48" s="1165"/>
      <c r="AG48" s="1166"/>
      <c r="AH48" s="1164"/>
      <c r="AI48" s="1165"/>
      <c r="AJ48" s="1165"/>
      <c r="AK48" s="1165"/>
      <c r="AL48" s="1165"/>
      <c r="AM48" s="1166"/>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x14ac:dyDescent="0.25">
      <c r="A49" s="83"/>
      <c r="B49" s="83"/>
      <c r="C49" s="83"/>
      <c r="D49" s="83"/>
      <c r="E49" s="83"/>
      <c r="F49" s="83"/>
      <c r="G49" s="83"/>
      <c r="H49" s="83"/>
      <c r="I49" s="83"/>
      <c r="J49" s="1164"/>
      <c r="K49" s="1165"/>
      <c r="L49" s="1165"/>
      <c r="M49" s="1165"/>
      <c r="N49" s="1165"/>
      <c r="O49" s="1166"/>
      <c r="P49" s="1164"/>
      <c r="Q49" s="1165"/>
      <c r="R49" s="1165"/>
      <c r="S49" s="1165"/>
      <c r="T49" s="1165"/>
      <c r="U49" s="1166"/>
      <c r="V49" s="1164"/>
      <c r="W49" s="1165"/>
      <c r="X49" s="1165"/>
      <c r="Y49" s="1165"/>
      <c r="Z49" s="1165"/>
      <c r="AA49" s="1166"/>
      <c r="AB49" s="1164"/>
      <c r="AC49" s="1165"/>
      <c r="AD49" s="1165"/>
      <c r="AE49" s="1165"/>
      <c r="AF49" s="1165"/>
      <c r="AG49" s="1166"/>
      <c r="AH49" s="1164"/>
      <c r="AI49" s="1165"/>
      <c r="AJ49" s="1165"/>
      <c r="AK49" s="1165"/>
      <c r="AL49" s="1165"/>
      <c r="AM49" s="1166"/>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x14ac:dyDescent="0.25">
      <c r="A50" s="83"/>
      <c r="B50" s="83"/>
      <c r="C50" s="83"/>
      <c r="D50" s="83"/>
      <c r="E50" s="83"/>
      <c r="F50" s="83"/>
      <c r="G50" s="83"/>
      <c r="H50" s="83"/>
      <c r="I50" s="83"/>
      <c r="J50" s="1164"/>
      <c r="K50" s="1165"/>
      <c r="L50" s="1165"/>
      <c r="M50" s="1165"/>
      <c r="N50" s="1165"/>
      <c r="O50" s="1166"/>
      <c r="P50" s="1164"/>
      <c r="Q50" s="1165"/>
      <c r="R50" s="1165"/>
      <c r="S50" s="1165"/>
      <c r="T50" s="1165"/>
      <c r="U50" s="1166"/>
      <c r="V50" s="1164"/>
      <c r="W50" s="1165"/>
      <c r="X50" s="1165"/>
      <c r="Y50" s="1165"/>
      <c r="Z50" s="1165"/>
      <c r="AA50" s="1166"/>
      <c r="AB50" s="1164"/>
      <c r="AC50" s="1165"/>
      <c r="AD50" s="1165"/>
      <c r="AE50" s="1165"/>
      <c r="AF50" s="1165"/>
      <c r="AG50" s="1166"/>
      <c r="AH50" s="1164"/>
      <c r="AI50" s="1165"/>
      <c r="AJ50" s="1165"/>
      <c r="AK50" s="1165"/>
      <c r="AL50" s="1165"/>
      <c r="AM50" s="1166"/>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75" thickBot="1" x14ac:dyDescent="0.3">
      <c r="A51" s="83"/>
      <c r="B51" s="83"/>
      <c r="C51" s="83"/>
      <c r="D51" s="83"/>
      <c r="E51" s="83"/>
      <c r="F51" s="83"/>
      <c r="G51" s="83"/>
      <c r="H51" s="83"/>
      <c r="I51" s="83"/>
      <c r="J51" s="1167"/>
      <c r="K51" s="1168"/>
      <c r="L51" s="1168"/>
      <c r="M51" s="1168"/>
      <c r="N51" s="1168"/>
      <c r="O51" s="1169"/>
      <c r="P51" s="1167"/>
      <c r="Q51" s="1168"/>
      <c r="R51" s="1168"/>
      <c r="S51" s="1168"/>
      <c r="T51" s="1168"/>
      <c r="U51" s="1169"/>
      <c r="V51" s="1167"/>
      <c r="W51" s="1168"/>
      <c r="X51" s="1168"/>
      <c r="Y51" s="1168"/>
      <c r="Z51" s="1168"/>
      <c r="AA51" s="1169"/>
      <c r="AB51" s="1167"/>
      <c r="AC51" s="1168"/>
      <c r="AD51" s="1168"/>
      <c r="AE51" s="1168"/>
      <c r="AF51" s="1168"/>
      <c r="AG51" s="1169"/>
      <c r="AH51" s="1167"/>
      <c r="AI51" s="1168"/>
      <c r="AJ51" s="1168"/>
      <c r="AK51" s="1168"/>
      <c r="AL51" s="1168"/>
      <c r="AM51" s="1169"/>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x14ac:dyDescent="0.25">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x14ac:dyDescent="0.25">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row>
    <row r="63" spans="1:80" x14ac:dyDescent="0.25">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row>
    <row r="64" spans="1:80" x14ac:dyDescent="0.25">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row>
    <row r="65" spans="1:8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3"/>
      <c r="BN65" s="83"/>
      <c r="BO65" s="83"/>
      <c r="BP65" s="83"/>
      <c r="BQ65" s="83"/>
      <c r="BR65" s="83"/>
      <c r="BS65" s="83"/>
      <c r="BT65" s="83"/>
      <c r="BU65" s="83"/>
      <c r="BV65" s="83"/>
      <c r="BW65" s="83"/>
      <c r="BX65" s="83"/>
      <c r="BY65" s="83"/>
      <c r="BZ65" s="83"/>
      <c r="CA65" s="83"/>
      <c r="CB65" s="83"/>
    </row>
    <row r="66" spans="1:8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row>
    <row r="67" spans="1:8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3"/>
      <c r="BN67" s="83"/>
      <c r="BO67" s="83"/>
      <c r="BP67" s="83"/>
      <c r="BQ67" s="83"/>
      <c r="BR67" s="83"/>
      <c r="BS67" s="83"/>
      <c r="BT67" s="83"/>
      <c r="BU67" s="83"/>
      <c r="BV67" s="83"/>
      <c r="BW67" s="83"/>
      <c r="BX67" s="83"/>
      <c r="BY67" s="83"/>
      <c r="BZ67" s="83"/>
      <c r="CA67" s="83"/>
      <c r="CB67" s="83"/>
    </row>
    <row r="68" spans="1:8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3"/>
      <c r="BN68" s="83"/>
      <c r="BO68" s="83"/>
      <c r="BP68" s="83"/>
      <c r="BQ68" s="83"/>
      <c r="BR68" s="83"/>
      <c r="BS68" s="83"/>
      <c r="BT68" s="83"/>
      <c r="BU68" s="83"/>
      <c r="BV68" s="83"/>
      <c r="BW68" s="83"/>
      <c r="BX68" s="83"/>
      <c r="BY68" s="83"/>
      <c r="BZ68" s="83"/>
      <c r="CA68" s="83"/>
      <c r="CB68" s="83"/>
    </row>
    <row r="69" spans="1:8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c r="BI69" s="83"/>
      <c r="BJ69" s="83"/>
      <c r="BK69" s="83"/>
      <c r="BL69" s="83"/>
      <c r="BM69" s="83"/>
      <c r="BN69" s="83"/>
      <c r="BO69" s="83"/>
      <c r="BP69" s="83"/>
      <c r="BQ69" s="83"/>
      <c r="BR69" s="83"/>
      <c r="BS69" s="83"/>
      <c r="BT69" s="83"/>
      <c r="BU69" s="83"/>
      <c r="BV69" s="83"/>
      <c r="BW69" s="83"/>
      <c r="BX69" s="83"/>
      <c r="BY69" s="83"/>
      <c r="BZ69" s="83"/>
      <c r="CA69" s="83"/>
      <c r="CB69" s="83"/>
    </row>
    <row r="70" spans="1:8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c r="BI70" s="83"/>
      <c r="BJ70" s="83"/>
      <c r="BK70" s="83"/>
      <c r="BL70" s="83"/>
      <c r="BM70" s="83"/>
      <c r="BN70" s="83"/>
      <c r="BO70" s="83"/>
      <c r="BP70" s="83"/>
      <c r="BQ70" s="83"/>
      <c r="BR70" s="83"/>
      <c r="BS70" s="83"/>
      <c r="BT70" s="83"/>
      <c r="BU70" s="83"/>
      <c r="BV70" s="83"/>
      <c r="BW70" s="83"/>
      <c r="BX70" s="83"/>
      <c r="BY70" s="83"/>
      <c r="BZ70" s="83"/>
      <c r="CA70" s="83"/>
      <c r="CB70" s="83"/>
    </row>
    <row r="71" spans="1:8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3"/>
      <c r="BN71" s="83"/>
      <c r="BO71" s="83"/>
      <c r="BP71" s="83"/>
      <c r="BQ71" s="83"/>
      <c r="BR71" s="83"/>
      <c r="BS71" s="83"/>
      <c r="BT71" s="83"/>
      <c r="BU71" s="83"/>
      <c r="BV71" s="83"/>
      <c r="BW71" s="83"/>
      <c r="BX71" s="83"/>
      <c r="BY71" s="83"/>
      <c r="BZ71" s="83"/>
      <c r="CA71" s="83"/>
      <c r="CB71" s="83"/>
    </row>
    <row r="72" spans="1:8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row>
    <row r="73" spans="1:8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c r="BM73" s="83"/>
      <c r="BN73" s="83"/>
      <c r="BO73" s="83"/>
      <c r="BP73" s="83"/>
      <c r="BQ73" s="83"/>
      <c r="BR73" s="83"/>
      <c r="BS73" s="83"/>
      <c r="BT73" s="83"/>
      <c r="BU73" s="83"/>
      <c r="BV73" s="83"/>
      <c r="BW73" s="83"/>
      <c r="BX73" s="83"/>
      <c r="BY73" s="83"/>
      <c r="BZ73" s="83"/>
      <c r="CA73" s="83"/>
      <c r="CB73" s="83"/>
    </row>
    <row r="74" spans="1:8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row>
    <row r="75" spans="1:8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c r="BI75" s="83"/>
      <c r="BJ75" s="83"/>
      <c r="BK75" s="83"/>
      <c r="BL75" s="83"/>
      <c r="BM75" s="83"/>
      <c r="BN75" s="83"/>
      <c r="BO75" s="83"/>
      <c r="BP75" s="83"/>
      <c r="BQ75" s="83"/>
      <c r="BR75" s="83"/>
      <c r="BS75" s="83"/>
      <c r="BT75" s="83"/>
      <c r="BU75" s="83"/>
      <c r="BV75" s="83"/>
      <c r="BW75" s="83"/>
      <c r="BX75" s="83"/>
      <c r="BY75" s="83"/>
      <c r="BZ75" s="83"/>
      <c r="CA75" s="83"/>
      <c r="CB75" s="83"/>
    </row>
    <row r="76" spans="1:8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c r="BI76" s="83"/>
      <c r="BJ76" s="83"/>
      <c r="BK76" s="83"/>
      <c r="BL76" s="83"/>
      <c r="BM76" s="83"/>
      <c r="BN76" s="83"/>
      <c r="BO76" s="83"/>
      <c r="BP76" s="83"/>
      <c r="BQ76" s="83"/>
      <c r="BR76" s="83"/>
      <c r="BS76" s="83"/>
      <c r="BT76" s="83"/>
      <c r="BU76" s="83"/>
      <c r="BV76" s="83"/>
      <c r="BW76" s="83"/>
      <c r="BX76" s="83"/>
      <c r="BY76" s="83"/>
      <c r="BZ76" s="83"/>
      <c r="CA76" s="83"/>
      <c r="CB76" s="83"/>
    </row>
    <row r="77" spans="1:8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c r="BM77" s="83"/>
      <c r="BN77" s="83"/>
      <c r="BO77" s="83"/>
      <c r="BP77" s="83"/>
      <c r="BQ77" s="83"/>
      <c r="BR77" s="83"/>
      <c r="BS77" s="83"/>
      <c r="BT77" s="83"/>
      <c r="BU77" s="83"/>
      <c r="BV77" s="83"/>
      <c r="BW77" s="83"/>
      <c r="BX77" s="83"/>
      <c r="BY77" s="83"/>
      <c r="BZ77" s="83"/>
      <c r="CA77" s="83"/>
      <c r="CB77" s="83"/>
    </row>
    <row r="78" spans="1:8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row>
    <row r="79" spans="1:8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c r="BI79" s="83"/>
      <c r="BJ79" s="83"/>
      <c r="BK79" s="83"/>
    </row>
    <row r="80" spans="1:8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c r="BI80" s="83"/>
      <c r="BJ80" s="83"/>
      <c r="BK80" s="83"/>
    </row>
    <row r="81" spans="1:63"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row>
    <row r="82" spans="1:63"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c r="BI82" s="83"/>
      <c r="BJ82" s="83"/>
      <c r="BK82" s="83"/>
    </row>
    <row r="83" spans="1:63"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c r="BI83" s="83"/>
      <c r="BJ83" s="83"/>
      <c r="BK83" s="83"/>
    </row>
    <row r="84" spans="1:63"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c r="BI84" s="83"/>
      <c r="BJ84" s="83"/>
      <c r="BK84" s="83"/>
    </row>
    <row r="85" spans="1:63"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row>
    <row r="86" spans="1:63"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c r="BI86" s="83"/>
      <c r="BJ86" s="83"/>
      <c r="BK86" s="83"/>
    </row>
    <row r="87" spans="1:63"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c r="BI87" s="83"/>
      <c r="BJ87" s="83"/>
      <c r="BK87" s="83"/>
    </row>
    <row r="88" spans="1:63"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row>
    <row r="89" spans="1:63"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row>
    <row r="90" spans="1:63"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c r="BI90" s="83"/>
      <c r="BJ90" s="83"/>
      <c r="BK90" s="83"/>
    </row>
    <row r="91" spans="1:63"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c r="BI91" s="83"/>
      <c r="BJ91" s="83"/>
      <c r="BK91" s="83"/>
    </row>
    <row r="92" spans="1:63"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row>
    <row r="93" spans="1:63"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c r="BI93" s="83"/>
      <c r="BJ93" s="83"/>
      <c r="BK93" s="83"/>
    </row>
    <row r="94" spans="1:63"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c r="BI94" s="83"/>
      <c r="BJ94" s="83"/>
      <c r="BK94" s="83"/>
    </row>
    <row r="95" spans="1:63"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row>
    <row r="96" spans="1:63"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c r="BI96" s="83"/>
      <c r="BJ96" s="83"/>
      <c r="BK96" s="83"/>
    </row>
    <row r="97" spans="1:63"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c r="BI97" s="83"/>
      <c r="BJ97" s="83"/>
      <c r="BK97" s="83"/>
    </row>
    <row r="98" spans="1:63"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row>
    <row r="99" spans="1:63"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row>
    <row r="100" spans="1:63"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row>
    <row r="101" spans="1:63"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row>
    <row r="102" spans="1:63"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row>
    <row r="103" spans="1:63"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row>
    <row r="104" spans="1:63"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c r="BI104" s="83"/>
      <c r="BJ104" s="83"/>
      <c r="BK104" s="83"/>
    </row>
    <row r="105" spans="1:63"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c r="BI105" s="83"/>
      <c r="BJ105" s="83"/>
      <c r="BK105" s="83"/>
    </row>
    <row r="106" spans="1:63"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row>
    <row r="107" spans="1:63"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c r="BI107" s="83"/>
      <c r="BJ107" s="83"/>
      <c r="BK107" s="83"/>
    </row>
    <row r="108" spans="1:63"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c r="BI108" s="83"/>
      <c r="BJ108" s="83"/>
      <c r="BK108" s="83"/>
    </row>
    <row r="109" spans="1:63"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c r="BI109" s="83"/>
      <c r="BJ109" s="83"/>
      <c r="BK109" s="83"/>
    </row>
    <row r="110" spans="1:63"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c r="BI110" s="83"/>
      <c r="BJ110" s="83"/>
      <c r="BK110" s="83"/>
    </row>
    <row r="111" spans="1:63"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c r="BI111" s="83"/>
      <c r="BJ111" s="83"/>
      <c r="BK111" s="83"/>
    </row>
    <row r="112" spans="1:63"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c r="BI112" s="83"/>
      <c r="BJ112" s="83"/>
      <c r="BK112" s="83"/>
    </row>
    <row r="113" spans="1:63"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c r="BI113" s="83"/>
      <c r="BJ113" s="83"/>
      <c r="BK113" s="83"/>
    </row>
    <row r="114" spans="1:63"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c r="BI114" s="83"/>
      <c r="BJ114" s="83"/>
      <c r="BK114" s="83"/>
    </row>
    <row r="115" spans="1:63"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c r="BI115" s="83"/>
      <c r="BJ115" s="83"/>
      <c r="BK115" s="83"/>
    </row>
    <row r="116" spans="1:63"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c r="BI116" s="83"/>
      <c r="BJ116" s="83"/>
      <c r="BK116" s="83"/>
    </row>
    <row r="117" spans="1:63"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c r="BI117" s="83"/>
      <c r="BJ117" s="83"/>
      <c r="BK117" s="83"/>
    </row>
    <row r="118" spans="1:63"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c r="BI118" s="83"/>
      <c r="BJ118" s="83"/>
      <c r="BK118" s="83"/>
    </row>
    <row r="119" spans="1:63"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c r="BI119" s="83"/>
      <c r="BJ119" s="83"/>
      <c r="BK119" s="83"/>
    </row>
    <row r="120" spans="1:63"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c r="BI120" s="83"/>
      <c r="BJ120" s="83"/>
      <c r="BK120" s="83"/>
    </row>
    <row r="121" spans="1:63"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c r="BI121" s="83"/>
      <c r="BJ121" s="83"/>
      <c r="BK121" s="83"/>
    </row>
    <row r="122" spans="1:63" x14ac:dyDescent="0.25">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c r="BI122" s="83"/>
      <c r="BJ122" s="83"/>
      <c r="BK122" s="83"/>
    </row>
    <row r="123" spans="1:63" x14ac:dyDescent="0.25">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c r="BI123" s="83"/>
      <c r="BJ123" s="83"/>
      <c r="BK123" s="83"/>
    </row>
    <row r="124" spans="1:63" x14ac:dyDescent="0.25">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c r="BI124" s="83"/>
      <c r="BJ124" s="83"/>
      <c r="BK124" s="83"/>
    </row>
    <row r="125" spans="1:63" x14ac:dyDescent="0.25">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c r="BI125" s="83"/>
      <c r="BJ125" s="83"/>
      <c r="BK125" s="83"/>
    </row>
    <row r="126" spans="1:63" x14ac:dyDescent="0.25">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c r="BI126" s="83"/>
      <c r="BJ126" s="83"/>
      <c r="BK126" s="83"/>
    </row>
    <row r="127" spans="1:63" x14ac:dyDescent="0.25">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c r="BI127" s="83"/>
      <c r="BJ127" s="83"/>
      <c r="BK127" s="83"/>
    </row>
    <row r="128" spans="1:63" x14ac:dyDescent="0.25">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c r="BI128" s="83"/>
      <c r="BJ128" s="83"/>
      <c r="BK128" s="83"/>
    </row>
    <row r="129" spans="2:63" x14ac:dyDescent="0.25">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c r="BI129" s="83"/>
      <c r="BJ129" s="83"/>
      <c r="BK129" s="83"/>
    </row>
    <row r="130" spans="2:63" x14ac:dyDescent="0.25">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c r="BI130" s="83"/>
      <c r="BJ130" s="83"/>
      <c r="BK130" s="83"/>
    </row>
    <row r="131" spans="2:63" x14ac:dyDescent="0.25">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c r="BI131" s="83"/>
      <c r="BJ131" s="83"/>
      <c r="BK131" s="83"/>
    </row>
    <row r="132" spans="2:63" x14ac:dyDescent="0.25">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row>
    <row r="133" spans="2:63" x14ac:dyDescent="0.25">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c r="BI133" s="83"/>
      <c r="BJ133" s="83"/>
      <c r="BK133" s="83"/>
    </row>
    <row r="134" spans="2:63" x14ac:dyDescent="0.25">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c r="BI134" s="83"/>
      <c r="BJ134" s="83"/>
      <c r="BK134" s="83"/>
    </row>
    <row r="135" spans="2:63" x14ac:dyDescent="0.25">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c r="BI135" s="83"/>
      <c r="BJ135" s="83"/>
      <c r="BK135" s="83"/>
    </row>
    <row r="136" spans="2:63" x14ac:dyDescent="0.25">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c r="BI136" s="83"/>
      <c r="BJ136" s="83"/>
      <c r="BK136" s="83"/>
    </row>
    <row r="137" spans="2:63" x14ac:dyDescent="0.25">
      <c r="B137" s="83"/>
      <c r="C137" s="83"/>
      <c r="D137" s="83"/>
      <c r="E137" s="83"/>
      <c r="F137" s="83"/>
      <c r="G137" s="83"/>
      <c r="H137" s="83"/>
      <c r="I137" s="83"/>
    </row>
    <row r="138" spans="2:63" x14ac:dyDescent="0.25">
      <c r="B138" s="83"/>
      <c r="C138" s="83"/>
      <c r="D138" s="83"/>
      <c r="E138" s="83"/>
      <c r="F138" s="83"/>
      <c r="G138" s="83"/>
      <c r="H138" s="83"/>
      <c r="I138" s="83"/>
    </row>
    <row r="139" spans="2:63" x14ac:dyDescent="0.25">
      <c r="B139" s="83"/>
      <c r="C139" s="83"/>
      <c r="D139" s="83"/>
      <c r="E139" s="83"/>
      <c r="F139" s="83"/>
      <c r="G139" s="83"/>
      <c r="H139" s="83"/>
      <c r="I139" s="83"/>
    </row>
    <row r="140" spans="2:63" x14ac:dyDescent="0.25">
      <c r="B140" s="83"/>
      <c r="C140" s="83"/>
      <c r="D140" s="83"/>
      <c r="E140" s="83"/>
      <c r="F140" s="83"/>
      <c r="G140" s="83"/>
      <c r="H140" s="83"/>
      <c r="I140" s="83"/>
    </row>
  </sheetData>
  <sheetProtection algorithmName="SHA-512" hashValue="kpXlidzmWxbP3brn8k4eIEWxhYHkoNV8mMuhH1lPT/xypiCOesm15jiCfvbsOoPDCD8/umcOeC7isQqNzzQXVQ==" saltValue="e8t6+j8RQ+iPDyNDapgnxw==" spinCount="100000" sheet="1" objects="1" scenarios="1"/>
  <mergeCells count="317">
    <mergeCell ref="B2:I4"/>
    <mergeCell ref="P42:Q43"/>
    <mergeCell ref="R42:S43"/>
    <mergeCell ref="T42:U43"/>
    <mergeCell ref="P44:Q45"/>
    <mergeCell ref="R44:S45"/>
    <mergeCell ref="T44:U45"/>
    <mergeCell ref="P38:Q39"/>
    <mergeCell ref="R38:S39"/>
    <mergeCell ref="T38:U39"/>
    <mergeCell ref="P40:Q41"/>
    <mergeCell ref="R40:S41"/>
    <mergeCell ref="T40:U41"/>
    <mergeCell ref="J42:K43"/>
    <mergeCell ref="L42:M43"/>
    <mergeCell ref="N42:O43"/>
    <mergeCell ref="J44:K45"/>
    <mergeCell ref="L44:M45"/>
    <mergeCell ref="N44:O45"/>
    <mergeCell ref="J38:K39"/>
    <mergeCell ref="L38:M39"/>
    <mergeCell ref="N38:O39"/>
    <mergeCell ref="J40:K41"/>
    <mergeCell ref="L40:M41"/>
    <mergeCell ref="N40:O41"/>
    <mergeCell ref="J34:K35"/>
    <mergeCell ref="L34:M35"/>
    <mergeCell ref="N34:O35"/>
    <mergeCell ref="J36:K37"/>
    <mergeCell ref="L36:M37"/>
    <mergeCell ref="N36:O37"/>
    <mergeCell ref="J30:K31"/>
    <mergeCell ref="L30:M31"/>
    <mergeCell ref="N30:O31"/>
    <mergeCell ref="J32:K33"/>
    <mergeCell ref="L32:M33"/>
    <mergeCell ref="N32:O33"/>
    <mergeCell ref="V42:W43"/>
    <mergeCell ref="X42:Y43"/>
    <mergeCell ref="Z42:AA43"/>
    <mergeCell ref="V44:W45"/>
    <mergeCell ref="X44:Y45"/>
    <mergeCell ref="Z44:AA45"/>
    <mergeCell ref="V38:W39"/>
    <mergeCell ref="X38:Y39"/>
    <mergeCell ref="Z38:AA39"/>
    <mergeCell ref="V40:W41"/>
    <mergeCell ref="X40:Y41"/>
    <mergeCell ref="Z40:AA41"/>
    <mergeCell ref="P34:Q35"/>
    <mergeCell ref="R34:S35"/>
    <mergeCell ref="T34:U35"/>
    <mergeCell ref="P36:Q37"/>
    <mergeCell ref="R36:S37"/>
    <mergeCell ref="T36:U37"/>
    <mergeCell ref="P30:Q31"/>
    <mergeCell ref="R30:S31"/>
    <mergeCell ref="T30:U31"/>
    <mergeCell ref="P32:Q33"/>
    <mergeCell ref="R32:S33"/>
    <mergeCell ref="T32:U33"/>
    <mergeCell ref="V34:W35"/>
    <mergeCell ref="X34:Y35"/>
    <mergeCell ref="Z34:AA35"/>
    <mergeCell ref="V36:W37"/>
    <mergeCell ref="X36:Y37"/>
    <mergeCell ref="Z36:AA37"/>
    <mergeCell ref="V30:W31"/>
    <mergeCell ref="X30:Y31"/>
    <mergeCell ref="Z30:AA31"/>
    <mergeCell ref="V32:W33"/>
    <mergeCell ref="X32:Y33"/>
    <mergeCell ref="Z32:AA33"/>
    <mergeCell ref="V26:W27"/>
    <mergeCell ref="X26:Y27"/>
    <mergeCell ref="Z26:AA27"/>
    <mergeCell ref="V28:W29"/>
    <mergeCell ref="X28:Y29"/>
    <mergeCell ref="Z28:AA29"/>
    <mergeCell ref="V22:W23"/>
    <mergeCell ref="X22:Y23"/>
    <mergeCell ref="Z22:AA23"/>
    <mergeCell ref="V24:W25"/>
    <mergeCell ref="X24:Y25"/>
    <mergeCell ref="Z24:AA25"/>
    <mergeCell ref="P26:Q27"/>
    <mergeCell ref="R26:S27"/>
    <mergeCell ref="T26:U27"/>
    <mergeCell ref="P28:Q29"/>
    <mergeCell ref="R28:S29"/>
    <mergeCell ref="T28:U29"/>
    <mergeCell ref="P22:Q23"/>
    <mergeCell ref="R22:S23"/>
    <mergeCell ref="T22:U23"/>
    <mergeCell ref="P24:Q25"/>
    <mergeCell ref="R24:S25"/>
    <mergeCell ref="T24:U25"/>
    <mergeCell ref="J26:K27"/>
    <mergeCell ref="L26:M27"/>
    <mergeCell ref="N26:O27"/>
    <mergeCell ref="J28:K29"/>
    <mergeCell ref="L28:M29"/>
    <mergeCell ref="N28:O29"/>
    <mergeCell ref="J22:K23"/>
    <mergeCell ref="L22:M23"/>
    <mergeCell ref="N22:O23"/>
    <mergeCell ref="J24:K25"/>
    <mergeCell ref="L24:M25"/>
    <mergeCell ref="N24:O25"/>
    <mergeCell ref="P18:Q19"/>
    <mergeCell ref="R18:S19"/>
    <mergeCell ref="T18:U19"/>
    <mergeCell ref="P20:Q21"/>
    <mergeCell ref="R20:S21"/>
    <mergeCell ref="T20:U21"/>
    <mergeCell ref="P14:Q15"/>
    <mergeCell ref="R14:S15"/>
    <mergeCell ref="T14:U15"/>
    <mergeCell ref="P16:Q17"/>
    <mergeCell ref="R16:S17"/>
    <mergeCell ref="T16:U17"/>
    <mergeCell ref="J18:K19"/>
    <mergeCell ref="L18:M19"/>
    <mergeCell ref="N18:O19"/>
    <mergeCell ref="J20:K21"/>
    <mergeCell ref="L20:M21"/>
    <mergeCell ref="N20:O21"/>
    <mergeCell ref="J14:K15"/>
    <mergeCell ref="L14:M15"/>
    <mergeCell ref="N14:O15"/>
    <mergeCell ref="J16:K17"/>
    <mergeCell ref="L16:M17"/>
    <mergeCell ref="N16:O17"/>
    <mergeCell ref="AH42:AI43"/>
    <mergeCell ref="AJ42:AK43"/>
    <mergeCell ref="AL42:AM43"/>
    <mergeCell ref="AH44:AI45"/>
    <mergeCell ref="AJ44:AK45"/>
    <mergeCell ref="AL44:AM45"/>
    <mergeCell ref="AH38:AI39"/>
    <mergeCell ref="AJ38:AK39"/>
    <mergeCell ref="AL38:AM39"/>
    <mergeCell ref="AH40:AI41"/>
    <mergeCell ref="AJ40:AK41"/>
    <mergeCell ref="AL40:AM41"/>
    <mergeCell ref="AH34:AI35"/>
    <mergeCell ref="AJ34:AK35"/>
    <mergeCell ref="AL34:AM35"/>
    <mergeCell ref="AH36:AI37"/>
    <mergeCell ref="AJ36:AK37"/>
    <mergeCell ref="AL36:AM37"/>
    <mergeCell ref="AH30:AI31"/>
    <mergeCell ref="AJ30:AK31"/>
    <mergeCell ref="AL30:AM31"/>
    <mergeCell ref="AH32:AI33"/>
    <mergeCell ref="AJ32:AK33"/>
    <mergeCell ref="AL32:AM33"/>
    <mergeCell ref="AH26:AI27"/>
    <mergeCell ref="AJ26:AK27"/>
    <mergeCell ref="AL26:AM27"/>
    <mergeCell ref="AH28:AI29"/>
    <mergeCell ref="AJ28:AK29"/>
    <mergeCell ref="AL28:AM29"/>
    <mergeCell ref="AH22:AI23"/>
    <mergeCell ref="AJ22:AK23"/>
    <mergeCell ref="AL22:AM23"/>
    <mergeCell ref="AH24:AI25"/>
    <mergeCell ref="AJ24:AK25"/>
    <mergeCell ref="AL24:AM25"/>
    <mergeCell ref="AH18:AI19"/>
    <mergeCell ref="AJ18:AK19"/>
    <mergeCell ref="AL18:AM19"/>
    <mergeCell ref="AH20:AI21"/>
    <mergeCell ref="AJ20:AK21"/>
    <mergeCell ref="AL20:AM21"/>
    <mergeCell ref="AH14:AI15"/>
    <mergeCell ref="AJ14:AK15"/>
    <mergeCell ref="AL14:AM15"/>
    <mergeCell ref="AH16:AI17"/>
    <mergeCell ref="AJ16:AK17"/>
    <mergeCell ref="AL16:AM17"/>
    <mergeCell ref="AH10:AI11"/>
    <mergeCell ref="AJ10:AK11"/>
    <mergeCell ref="AL10:AM11"/>
    <mergeCell ref="AH12:AI13"/>
    <mergeCell ref="AJ12:AK13"/>
    <mergeCell ref="AL12:AM13"/>
    <mergeCell ref="AH6:AI7"/>
    <mergeCell ref="AJ6:AK7"/>
    <mergeCell ref="AL6:AM7"/>
    <mergeCell ref="AH8:AI9"/>
    <mergeCell ref="AJ8:AK9"/>
    <mergeCell ref="AL8:AM9"/>
    <mergeCell ref="AB42:AC43"/>
    <mergeCell ref="AD42:AE43"/>
    <mergeCell ref="AF42:AG43"/>
    <mergeCell ref="AB44:AC45"/>
    <mergeCell ref="AD44:AE45"/>
    <mergeCell ref="AF44:AG45"/>
    <mergeCell ref="AB38:AC39"/>
    <mergeCell ref="AD38:AE39"/>
    <mergeCell ref="AF38:AG39"/>
    <mergeCell ref="AB40:AC41"/>
    <mergeCell ref="AD40:AE41"/>
    <mergeCell ref="AF40:AG41"/>
    <mergeCell ref="AB34:AC35"/>
    <mergeCell ref="AD34:AE35"/>
    <mergeCell ref="AF34:AG35"/>
    <mergeCell ref="AB36:AC37"/>
    <mergeCell ref="AD36:AE37"/>
    <mergeCell ref="AF36:AG37"/>
    <mergeCell ref="AB30:AC31"/>
    <mergeCell ref="AD30:AE31"/>
    <mergeCell ref="AF30:AG31"/>
    <mergeCell ref="AB32:AC33"/>
    <mergeCell ref="AD32:AE33"/>
    <mergeCell ref="AF32:AG33"/>
    <mergeCell ref="AB26:AC27"/>
    <mergeCell ref="AD26:AE27"/>
    <mergeCell ref="AF26:AG27"/>
    <mergeCell ref="AB28:AC29"/>
    <mergeCell ref="AD28:AE29"/>
    <mergeCell ref="AF28:AG29"/>
    <mergeCell ref="AB22:AC23"/>
    <mergeCell ref="AD22:AE23"/>
    <mergeCell ref="AF22:AG23"/>
    <mergeCell ref="AB24:AC25"/>
    <mergeCell ref="AD24:AE25"/>
    <mergeCell ref="AF24:AG25"/>
    <mergeCell ref="AB14:AC15"/>
    <mergeCell ref="AD14:AE15"/>
    <mergeCell ref="AF14:AG15"/>
    <mergeCell ref="AB16:AC17"/>
    <mergeCell ref="AD16:AE17"/>
    <mergeCell ref="AF16:AG17"/>
    <mergeCell ref="V20:W21"/>
    <mergeCell ref="X20:Y21"/>
    <mergeCell ref="Z20:AA21"/>
    <mergeCell ref="V14:W15"/>
    <mergeCell ref="X14:Y15"/>
    <mergeCell ref="Z14:AA15"/>
    <mergeCell ref="V16:W17"/>
    <mergeCell ref="X16:Y17"/>
    <mergeCell ref="Z16:AA17"/>
    <mergeCell ref="AB18:AC19"/>
    <mergeCell ref="AD18:AE19"/>
    <mergeCell ref="V18:W19"/>
    <mergeCell ref="X18:Y19"/>
    <mergeCell ref="Z18:AA19"/>
    <mergeCell ref="AF18:AG19"/>
    <mergeCell ref="AB20:AC21"/>
    <mergeCell ref="AD20:AE21"/>
    <mergeCell ref="AF20:AG21"/>
    <mergeCell ref="AF6:AG7"/>
    <mergeCell ref="AB8:AC9"/>
    <mergeCell ref="AD8:AE9"/>
    <mergeCell ref="AF8:AG9"/>
    <mergeCell ref="AB10:AC11"/>
    <mergeCell ref="AD10:AE11"/>
    <mergeCell ref="AF10:AG11"/>
    <mergeCell ref="Z10:AA11"/>
    <mergeCell ref="V12:W13"/>
    <mergeCell ref="X12:Y13"/>
    <mergeCell ref="Z12:AA13"/>
    <mergeCell ref="AB6:AC7"/>
    <mergeCell ref="AD6:AE7"/>
    <mergeCell ref="AB12:AC13"/>
    <mergeCell ref="AD12:AE13"/>
    <mergeCell ref="AF12:AG13"/>
    <mergeCell ref="J2:AM4"/>
    <mergeCell ref="E6:I13"/>
    <mergeCell ref="E14:I21"/>
    <mergeCell ref="J6:K7"/>
    <mergeCell ref="AB46:AG51"/>
    <mergeCell ref="AH46:AM51"/>
    <mergeCell ref="P6:Q7"/>
    <mergeCell ref="P12:Q13"/>
    <mergeCell ref="L6:M7"/>
    <mergeCell ref="N6:O7"/>
    <mergeCell ref="N8:O9"/>
    <mergeCell ref="L8:M9"/>
    <mergeCell ref="J8:K9"/>
    <mergeCell ref="J10:K11"/>
    <mergeCell ref="E30:I37"/>
    <mergeCell ref="P8:Q9"/>
    <mergeCell ref="R8:S9"/>
    <mergeCell ref="T8:U9"/>
    <mergeCell ref="P10:Q11"/>
    <mergeCell ref="R10:S11"/>
    <mergeCell ref="T10:U11"/>
    <mergeCell ref="J12:K13"/>
    <mergeCell ref="L10:M11"/>
    <mergeCell ref="L12:M13"/>
    <mergeCell ref="B6:D45"/>
    <mergeCell ref="AO6:AT13"/>
    <mergeCell ref="AO14:AT21"/>
    <mergeCell ref="AO22:AT29"/>
    <mergeCell ref="AO30:AT37"/>
    <mergeCell ref="E22:I29"/>
    <mergeCell ref="E38:I45"/>
    <mergeCell ref="J46:O51"/>
    <mergeCell ref="P46:U51"/>
    <mergeCell ref="V46:AA51"/>
    <mergeCell ref="N10:O11"/>
    <mergeCell ref="N12:O13"/>
    <mergeCell ref="R12:S13"/>
    <mergeCell ref="T12:U13"/>
    <mergeCell ref="V6:W7"/>
    <mergeCell ref="X6:Y7"/>
    <mergeCell ref="Z6:AA7"/>
    <mergeCell ref="V8:W9"/>
    <mergeCell ref="X8:Y9"/>
    <mergeCell ref="Z8:AA9"/>
    <mergeCell ref="V10:W11"/>
    <mergeCell ref="X10:Y11"/>
    <mergeCell ref="R6:S7"/>
    <mergeCell ref="T6:U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0C907-D4B3-45B6-A633-53B44E549FD3}">
  <dimension ref="A1:N129"/>
  <sheetViews>
    <sheetView zoomScale="32" zoomScaleNormal="32" workbookViewId="0">
      <selection activeCell="I10" sqref="I10:I13"/>
    </sheetView>
  </sheetViews>
  <sheetFormatPr baseColWidth="10" defaultRowHeight="15" x14ac:dyDescent="0.25"/>
  <cols>
    <col min="1" max="1" width="24" style="138" customWidth="1"/>
    <col min="2" max="2" width="27.7109375" style="138" customWidth="1"/>
    <col min="3" max="3" width="49.28515625" style="138" customWidth="1"/>
    <col min="4" max="4" width="27.85546875" customWidth="1"/>
    <col min="5" max="5" width="24.5703125" customWidth="1"/>
    <col min="6" max="6" width="31" customWidth="1"/>
    <col min="7" max="7" width="31.140625" customWidth="1"/>
    <col min="8" max="8" width="40.85546875" customWidth="1"/>
    <col min="9" max="9" width="74.42578125" customWidth="1"/>
    <col min="10" max="11" width="21.7109375" customWidth="1"/>
    <col min="12" max="12" width="23.5703125" customWidth="1"/>
    <col min="13" max="13" width="24.28515625" customWidth="1"/>
    <col min="14" max="14" width="27.85546875" customWidth="1"/>
  </cols>
  <sheetData>
    <row r="1" spans="1:14" ht="120" customHeight="1" thickBot="1" x14ac:dyDescent="0.3"/>
    <row r="2" spans="1:14" ht="49.5" customHeight="1" thickBot="1" x14ac:dyDescent="0.3">
      <c r="E2" s="520" t="s">
        <v>461</v>
      </c>
      <c r="F2" s="521"/>
      <c r="G2" s="521"/>
      <c r="H2" s="522"/>
    </row>
    <row r="3" spans="1:14" ht="26.25" customHeight="1" thickBot="1" x14ac:dyDescent="0.3">
      <c r="B3"/>
      <c r="E3" s="528" t="s">
        <v>465</v>
      </c>
      <c r="F3" s="529"/>
      <c r="G3" s="529" t="s">
        <v>462</v>
      </c>
      <c r="H3" s="530"/>
    </row>
    <row r="4" spans="1:14" ht="84.75" customHeight="1" thickBot="1" x14ac:dyDescent="0.3">
      <c r="B4"/>
      <c r="E4" s="526" t="s">
        <v>463</v>
      </c>
      <c r="F4" s="527"/>
      <c r="G4" s="527" t="s">
        <v>464</v>
      </c>
      <c r="H4" s="531"/>
    </row>
    <row r="5" spans="1:14" ht="26.25" customHeight="1" x14ac:dyDescent="0.25">
      <c r="B5"/>
    </row>
    <row r="6" spans="1:14" ht="27.75" customHeight="1" thickBot="1" x14ac:dyDescent="0.3"/>
    <row r="7" spans="1:14" s="185" customFormat="1" ht="27" customHeight="1" thickBot="1" x14ac:dyDescent="0.4">
      <c r="A7" s="532" t="s">
        <v>371</v>
      </c>
      <c r="B7" s="533"/>
      <c r="C7" s="533"/>
      <c r="D7" s="533"/>
      <c r="E7" s="533"/>
      <c r="F7" s="533"/>
      <c r="G7" s="533"/>
      <c r="H7" s="533"/>
      <c r="I7" s="534"/>
      <c r="J7" s="327"/>
      <c r="K7" s="327"/>
      <c r="L7" s="327"/>
      <c r="M7" s="327"/>
      <c r="N7" s="327"/>
    </row>
    <row r="8" spans="1:14" s="185" customFormat="1" ht="27" customHeight="1" thickBot="1" x14ac:dyDescent="0.4">
      <c r="A8" s="523" t="s">
        <v>459</v>
      </c>
      <c r="B8" s="524"/>
      <c r="C8" s="525"/>
      <c r="D8" s="515" t="s">
        <v>370</v>
      </c>
      <c r="E8" s="516"/>
      <c r="F8" s="516"/>
      <c r="G8" s="516"/>
      <c r="H8" s="516"/>
      <c r="I8" s="517"/>
    </row>
    <row r="9" spans="1:14" s="139" customFormat="1" ht="57.75" customHeight="1" thickBot="1" x14ac:dyDescent="0.3">
      <c r="A9" s="364" t="s">
        <v>344</v>
      </c>
      <c r="B9" s="364" t="s">
        <v>345</v>
      </c>
      <c r="C9" s="271" t="s">
        <v>363</v>
      </c>
      <c r="D9" s="367" t="s">
        <v>541</v>
      </c>
      <c r="E9" s="367" t="s">
        <v>539</v>
      </c>
      <c r="F9" s="367" t="s">
        <v>542</v>
      </c>
      <c r="G9" s="367" t="s">
        <v>543</v>
      </c>
      <c r="H9" s="367" t="s">
        <v>540</v>
      </c>
      <c r="I9" s="270" t="s">
        <v>194</v>
      </c>
    </row>
    <row r="10" spans="1:14" ht="99" customHeight="1" x14ac:dyDescent="0.25">
      <c r="A10" s="535" t="s">
        <v>350</v>
      </c>
      <c r="B10" s="536" t="s">
        <v>361</v>
      </c>
      <c r="C10" s="365" t="s">
        <v>364</v>
      </c>
      <c r="D10" s="539" t="s">
        <v>569</v>
      </c>
      <c r="E10" s="539" t="s">
        <v>571</v>
      </c>
      <c r="F10" s="539" t="s">
        <v>570</v>
      </c>
      <c r="G10" s="505" t="s">
        <v>573</v>
      </c>
      <c r="H10" s="505" t="s">
        <v>572</v>
      </c>
      <c r="I10" s="474" t="s">
        <v>568</v>
      </c>
    </row>
    <row r="11" spans="1:14" ht="75.75" customHeight="1" x14ac:dyDescent="0.25">
      <c r="A11" s="535"/>
      <c r="B11" s="537"/>
      <c r="C11" s="366" t="s">
        <v>365</v>
      </c>
      <c r="D11" s="539"/>
      <c r="E11" s="539"/>
      <c r="F11" s="539"/>
      <c r="G11" s="505"/>
      <c r="H11" s="505"/>
      <c r="I11" s="475"/>
    </row>
    <row r="12" spans="1:14" ht="93.75" customHeight="1" x14ac:dyDescent="0.25">
      <c r="A12" s="535"/>
      <c r="B12" s="537"/>
      <c r="C12" s="366" t="s">
        <v>366</v>
      </c>
      <c r="D12" s="539"/>
      <c r="E12" s="539"/>
      <c r="F12" s="539"/>
      <c r="G12" s="505"/>
      <c r="H12" s="505"/>
      <c r="I12" s="475"/>
    </row>
    <row r="13" spans="1:14" ht="97.5" customHeight="1" thickBot="1" x14ac:dyDescent="0.3">
      <c r="A13" s="535"/>
      <c r="B13" s="538"/>
      <c r="C13" s="366" t="s">
        <v>367</v>
      </c>
      <c r="D13" s="539"/>
      <c r="E13" s="539"/>
      <c r="F13" s="539"/>
      <c r="G13" s="505"/>
      <c r="H13" s="505"/>
      <c r="I13" s="476"/>
    </row>
    <row r="14" spans="1:14" ht="88.5" customHeight="1" thickBot="1" x14ac:dyDescent="0.3">
      <c r="A14" s="331"/>
      <c r="B14" s="331"/>
      <c r="C14" s="332"/>
      <c r="D14" s="330"/>
      <c r="E14" s="330"/>
      <c r="F14" s="330"/>
      <c r="G14" s="330"/>
      <c r="H14" s="330"/>
      <c r="I14" s="328"/>
    </row>
    <row r="15" spans="1:14" ht="43.5" customHeight="1" thickBot="1" x14ac:dyDescent="0.3">
      <c r="I15" s="328"/>
    </row>
    <row r="16" spans="1:14" ht="36.75" customHeight="1" x14ac:dyDescent="0.25">
      <c r="A16" s="540" t="s">
        <v>467</v>
      </c>
      <c r="B16" s="540"/>
      <c r="D16" s="518" t="s">
        <v>466</v>
      </c>
      <c r="E16" s="519"/>
      <c r="F16" s="519"/>
      <c r="G16" s="519"/>
      <c r="H16" s="519"/>
      <c r="I16" s="334"/>
    </row>
    <row r="17" spans="4:8" ht="43.5" customHeight="1" x14ac:dyDescent="0.25">
      <c r="D17" s="486" t="s">
        <v>466</v>
      </c>
      <c r="E17" s="486"/>
      <c r="F17" s="486" t="s">
        <v>547</v>
      </c>
      <c r="G17" s="486"/>
      <c r="H17" s="335" t="s">
        <v>548</v>
      </c>
    </row>
    <row r="18" spans="4:8" ht="39" customHeight="1" x14ac:dyDescent="0.25">
      <c r="D18" s="480"/>
      <c r="E18" s="481"/>
      <c r="F18" s="506"/>
      <c r="G18" s="506"/>
      <c r="H18" s="228"/>
    </row>
    <row r="19" spans="4:8" ht="41.25" customHeight="1" x14ac:dyDescent="0.25">
      <c r="D19" s="482"/>
      <c r="E19" s="483"/>
      <c r="F19" s="508"/>
      <c r="G19" s="509"/>
      <c r="H19" s="228"/>
    </row>
    <row r="20" spans="4:8" ht="27.75" customHeight="1" x14ac:dyDescent="0.25">
      <c r="D20" s="482"/>
      <c r="E20" s="483"/>
      <c r="F20" s="510"/>
      <c r="G20" s="510"/>
      <c r="H20" s="228"/>
    </row>
    <row r="21" spans="4:8" ht="33.75" customHeight="1" x14ac:dyDescent="0.25">
      <c r="D21" s="484"/>
      <c r="E21" s="485"/>
      <c r="F21" s="510"/>
      <c r="G21" s="510"/>
      <c r="H21" s="228"/>
    </row>
    <row r="22" spans="4:8" ht="28.5" customHeight="1" x14ac:dyDescent="0.25">
      <c r="D22" s="480"/>
      <c r="E22" s="481"/>
      <c r="F22" s="478"/>
      <c r="G22" s="478"/>
      <c r="H22" s="228"/>
    </row>
    <row r="23" spans="4:8" ht="33.75" customHeight="1" x14ac:dyDescent="0.25">
      <c r="D23" s="482"/>
      <c r="E23" s="483"/>
      <c r="F23" s="507"/>
      <c r="G23" s="507"/>
      <c r="H23" s="228"/>
    </row>
    <row r="24" spans="4:8" ht="33" customHeight="1" x14ac:dyDescent="0.25">
      <c r="D24" s="484"/>
      <c r="E24" s="485"/>
      <c r="F24" s="506"/>
      <c r="G24" s="506"/>
      <c r="H24" s="228"/>
    </row>
    <row r="25" spans="4:8" ht="30" customHeight="1" x14ac:dyDescent="0.25">
      <c r="D25" s="491"/>
      <c r="E25" s="492"/>
      <c r="F25" s="488"/>
      <c r="G25" s="489"/>
      <c r="H25" s="228"/>
    </row>
    <row r="26" spans="4:8" ht="29.25" customHeight="1" x14ac:dyDescent="0.25">
      <c r="D26" s="493"/>
      <c r="E26" s="494"/>
      <c r="F26" s="488"/>
      <c r="G26" s="490"/>
      <c r="H26" s="228"/>
    </row>
    <row r="27" spans="4:8" ht="15" customHeight="1" x14ac:dyDescent="0.25">
      <c r="D27" s="493"/>
      <c r="E27" s="494"/>
      <c r="F27" s="477"/>
      <c r="G27" s="512"/>
      <c r="H27" s="228"/>
    </row>
    <row r="28" spans="4:8" ht="33" customHeight="1" x14ac:dyDescent="0.25">
      <c r="D28" s="495"/>
      <c r="E28" s="496"/>
      <c r="F28" s="488"/>
      <c r="G28" s="497"/>
      <c r="H28" s="228"/>
    </row>
    <row r="29" spans="4:8" ht="33" customHeight="1" x14ac:dyDescent="0.25">
      <c r="D29" s="480"/>
      <c r="E29" s="481"/>
      <c r="F29" s="478"/>
      <c r="G29" s="478"/>
      <c r="H29" s="228"/>
    </row>
    <row r="30" spans="4:8" ht="33" customHeight="1" x14ac:dyDescent="0.25">
      <c r="D30" s="484"/>
      <c r="E30" s="485"/>
      <c r="F30" s="478"/>
      <c r="G30" s="478"/>
      <c r="H30" s="228"/>
    </row>
    <row r="31" spans="4:8" ht="28.5" customHeight="1" x14ac:dyDescent="0.25">
      <c r="D31" s="499"/>
      <c r="E31" s="500"/>
      <c r="F31" s="498"/>
      <c r="G31" s="497"/>
      <c r="H31" s="228"/>
    </row>
    <row r="32" spans="4:8" ht="29.25" customHeight="1" x14ac:dyDescent="0.25">
      <c r="D32" s="501"/>
      <c r="E32" s="502"/>
      <c r="F32" s="507"/>
      <c r="G32" s="507"/>
      <c r="H32" s="228"/>
    </row>
    <row r="33" spans="4:8" ht="33.75" customHeight="1" x14ac:dyDescent="0.25">
      <c r="D33" s="503"/>
      <c r="E33" s="504"/>
      <c r="F33" s="507"/>
      <c r="G33" s="507"/>
      <c r="H33" s="228"/>
    </row>
    <row r="34" spans="4:8" ht="33.75" customHeight="1" x14ac:dyDescent="0.25">
      <c r="D34" s="499"/>
      <c r="E34" s="500"/>
      <c r="F34" s="498"/>
      <c r="G34" s="497"/>
      <c r="H34" s="228"/>
    </row>
    <row r="35" spans="4:8" ht="33.75" customHeight="1" x14ac:dyDescent="0.25">
      <c r="D35" s="501"/>
      <c r="E35" s="502"/>
      <c r="F35" s="498"/>
      <c r="G35" s="497"/>
      <c r="H35" s="228"/>
    </row>
    <row r="36" spans="4:8" ht="33.75" customHeight="1" x14ac:dyDescent="0.25">
      <c r="D36" s="501"/>
      <c r="E36" s="502"/>
      <c r="F36" s="513"/>
      <c r="G36" s="514"/>
      <c r="H36" s="228"/>
    </row>
    <row r="37" spans="4:8" x14ac:dyDescent="0.25">
      <c r="D37" s="479"/>
      <c r="E37" s="479"/>
      <c r="F37" s="478"/>
      <c r="G37" s="478"/>
      <c r="H37" s="228"/>
    </row>
    <row r="38" spans="4:8" x14ac:dyDescent="0.25">
      <c r="D38" s="479"/>
      <c r="E38" s="479"/>
      <c r="F38" s="478"/>
      <c r="G38" s="478"/>
      <c r="H38" s="228"/>
    </row>
    <row r="39" spans="4:8" x14ac:dyDescent="0.25">
      <c r="D39" s="479"/>
      <c r="E39" s="479"/>
      <c r="F39" s="478"/>
      <c r="G39" s="478"/>
      <c r="H39" s="228"/>
    </row>
    <row r="40" spans="4:8" ht="15" customHeight="1" x14ac:dyDescent="0.25">
      <c r="D40" s="487"/>
      <c r="E40" s="487"/>
      <c r="F40" s="487"/>
      <c r="G40" s="487"/>
      <c r="H40" s="478"/>
    </row>
    <row r="41" spans="4:8" x14ac:dyDescent="0.25">
      <c r="D41" s="487"/>
      <c r="E41" s="487"/>
      <c r="F41" s="487"/>
      <c r="G41" s="487"/>
      <c r="H41" s="478"/>
    </row>
    <row r="42" spans="4:8" x14ac:dyDescent="0.25">
      <c r="D42" s="487"/>
      <c r="E42" s="487"/>
      <c r="F42" s="477"/>
      <c r="G42" s="477"/>
      <c r="H42" s="228"/>
    </row>
    <row r="43" spans="4:8" ht="50.25" customHeight="1" x14ac:dyDescent="0.25">
      <c r="D43" s="487"/>
      <c r="E43" s="487"/>
      <c r="F43" s="477"/>
      <c r="G43" s="477"/>
      <c r="H43" s="228"/>
    </row>
    <row r="44" spans="4:8" x14ac:dyDescent="0.25">
      <c r="F44" t="s">
        <v>557</v>
      </c>
    </row>
    <row r="111" spans="1:3" x14ac:dyDescent="0.25">
      <c r="A111" s="511" t="s">
        <v>468</v>
      </c>
      <c r="B111" s="511"/>
      <c r="C111" s="511"/>
    </row>
    <row r="113" spans="1:3" x14ac:dyDescent="0.25">
      <c r="A113" s="138" t="s">
        <v>358</v>
      </c>
      <c r="B113" s="138" t="s">
        <v>345</v>
      </c>
      <c r="C113" s="138" t="s">
        <v>369</v>
      </c>
    </row>
    <row r="114" spans="1:3" ht="75" x14ac:dyDescent="0.25">
      <c r="A114" s="138" t="s">
        <v>346</v>
      </c>
      <c r="B114" s="138" t="s">
        <v>359</v>
      </c>
      <c r="C114" s="167" t="s">
        <v>364</v>
      </c>
    </row>
    <row r="115" spans="1:3" ht="45" x14ac:dyDescent="0.25">
      <c r="A115" s="138" t="s">
        <v>347</v>
      </c>
      <c r="B115" s="138" t="s">
        <v>360</v>
      </c>
      <c r="C115" s="167" t="s">
        <v>365</v>
      </c>
    </row>
    <row r="116" spans="1:3" ht="75" x14ac:dyDescent="0.25">
      <c r="A116" s="138" t="s">
        <v>348</v>
      </c>
      <c r="B116" s="138" t="s">
        <v>361</v>
      </c>
      <c r="C116" s="167" t="s">
        <v>366</v>
      </c>
    </row>
    <row r="117" spans="1:3" ht="75" x14ac:dyDescent="0.25">
      <c r="A117" s="138" t="s">
        <v>349</v>
      </c>
      <c r="B117" s="138" t="s">
        <v>362</v>
      </c>
      <c r="C117" s="167" t="s">
        <v>367</v>
      </c>
    </row>
    <row r="118" spans="1:3" ht="90" x14ac:dyDescent="0.25">
      <c r="A118" s="138" t="s">
        <v>356</v>
      </c>
      <c r="C118" s="167" t="s">
        <v>368</v>
      </c>
    </row>
    <row r="119" spans="1:3" x14ac:dyDescent="0.25">
      <c r="A119" s="138" t="s">
        <v>357</v>
      </c>
    </row>
    <row r="120" spans="1:3" x14ac:dyDescent="0.25">
      <c r="A120" s="138" t="s">
        <v>350</v>
      </c>
    </row>
    <row r="121" spans="1:3" x14ac:dyDescent="0.25">
      <c r="A121" s="138" t="s">
        <v>351</v>
      </c>
    </row>
    <row r="122" spans="1:3" x14ac:dyDescent="0.25">
      <c r="A122" s="138" t="s">
        <v>352</v>
      </c>
    </row>
    <row r="123" spans="1:3" x14ac:dyDescent="0.25">
      <c r="A123" s="138" t="s">
        <v>353</v>
      </c>
    </row>
    <row r="124" spans="1:3" x14ac:dyDescent="0.25">
      <c r="A124" s="138" t="s">
        <v>354</v>
      </c>
    </row>
    <row r="125" spans="1:3" x14ac:dyDescent="0.25">
      <c r="A125" s="138" t="s">
        <v>355</v>
      </c>
    </row>
    <row r="128" spans="1:3" x14ac:dyDescent="0.25">
      <c r="A128" s="138" t="s">
        <v>549</v>
      </c>
    </row>
    <row r="129" spans="1:1" x14ac:dyDescent="0.25">
      <c r="A129" s="138" t="s">
        <v>550</v>
      </c>
    </row>
  </sheetData>
  <mergeCells count="55">
    <mergeCell ref="D8:I8"/>
    <mergeCell ref="D16:H16"/>
    <mergeCell ref="E2:H2"/>
    <mergeCell ref="A8:C8"/>
    <mergeCell ref="E4:F4"/>
    <mergeCell ref="E3:F3"/>
    <mergeCell ref="G3:H3"/>
    <mergeCell ref="G4:H4"/>
    <mergeCell ref="A7:I7"/>
    <mergeCell ref="A10:A13"/>
    <mergeCell ref="B10:B13"/>
    <mergeCell ref="D10:D13"/>
    <mergeCell ref="E10:E13"/>
    <mergeCell ref="F10:F13"/>
    <mergeCell ref="G10:G13"/>
    <mergeCell ref="A16:B16"/>
    <mergeCell ref="A111:C111"/>
    <mergeCell ref="F35:G35"/>
    <mergeCell ref="F32:G32"/>
    <mergeCell ref="F33:G33"/>
    <mergeCell ref="F24:G24"/>
    <mergeCell ref="F43:G43"/>
    <mergeCell ref="F27:G27"/>
    <mergeCell ref="D29:E30"/>
    <mergeCell ref="F29:G29"/>
    <mergeCell ref="F30:G30"/>
    <mergeCell ref="F34:G34"/>
    <mergeCell ref="D34:E36"/>
    <mergeCell ref="F40:G41"/>
    <mergeCell ref="F36:G36"/>
    <mergeCell ref="F37:G37"/>
    <mergeCell ref="F38:G38"/>
    <mergeCell ref="H10:H13"/>
    <mergeCell ref="F18:G18"/>
    <mergeCell ref="F23:G23"/>
    <mergeCell ref="F19:G19"/>
    <mergeCell ref="F20:G20"/>
    <mergeCell ref="F21:G21"/>
    <mergeCell ref="F22:G22"/>
    <mergeCell ref="I10:I13"/>
    <mergeCell ref="F42:G42"/>
    <mergeCell ref="F39:G39"/>
    <mergeCell ref="D37:E39"/>
    <mergeCell ref="D22:E24"/>
    <mergeCell ref="D17:E17"/>
    <mergeCell ref="F17:G17"/>
    <mergeCell ref="H40:H41"/>
    <mergeCell ref="D40:E43"/>
    <mergeCell ref="F25:G25"/>
    <mergeCell ref="F26:G26"/>
    <mergeCell ref="D25:E28"/>
    <mergeCell ref="F28:G28"/>
    <mergeCell ref="F31:G31"/>
    <mergeCell ref="D31:E33"/>
    <mergeCell ref="D18:E21"/>
  </mergeCells>
  <dataValidations count="4">
    <dataValidation type="list" allowBlank="1" showInputMessage="1" showErrorMessage="1" sqref="H18:H36" xr:uid="{CC37580C-1786-45E8-96A2-12D0647523B3}">
      <formula1>$A$128:$A$129</formula1>
    </dataValidation>
    <dataValidation type="list" allowBlank="1" showInputMessage="1" showErrorMessage="1" sqref="A10 A14" xr:uid="{75C63179-4CC0-4DE1-8413-CB11E097EDE0}">
      <formula1>$A$114:$A$125</formula1>
    </dataValidation>
    <dataValidation type="list" allowBlank="1" showInputMessage="1" showErrorMessage="1" sqref="B10 B14" xr:uid="{119E3A8E-C30E-4FB5-B61B-FDEFA0556B47}">
      <formula1>$B$114:$B$117</formula1>
    </dataValidation>
    <dataValidation type="list" allowBlank="1" showInputMessage="1" showErrorMessage="1" sqref="C10:C14" xr:uid="{DE8D7FCD-EDB2-40D6-98FB-C7C4E7FC50CF}">
      <formula1>$C$114:$C$118</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M248"/>
  <sheetViews>
    <sheetView zoomScale="50" zoomScaleNormal="50" workbookViewId="0">
      <selection activeCell="B2" sqref="B2:AT61"/>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1" max="46" width="5.7109375" customWidth="1"/>
  </cols>
  <sheetData>
    <row r="1" spans="1:9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row>
    <row r="2" spans="1:91" ht="18" customHeight="1" x14ac:dyDescent="0.25">
      <c r="A2" s="83"/>
      <c r="B2" s="1234" t="s">
        <v>160</v>
      </c>
      <c r="C2" s="1235"/>
      <c r="D2" s="1235"/>
      <c r="E2" s="1235"/>
      <c r="F2" s="1235"/>
      <c r="G2" s="1235"/>
      <c r="H2" s="1235"/>
      <c r="I2" s="1235"/>
      <c r="J2" s="1176" t="s">
        <v>2</v>
      </c>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3"/>
      <c r="CK2" s="83"/>
      <c r="CL2" s="83"/>
      <c r="CM2" s="83"/>
    </row>
    <row r="3" spans="1:91" ht="18.75" customHeight="1" x14ac:dyDescent="0.25">
      <c r="A3" s="83"/>
      <c r="B3" s="1235"/>
      <c r="C3" s="1235"/>
      <c r="D3" s="1235"/>
      <c r="E3" s="1235"/>
      <c r="F3" s="1235"/>
      <c r="G3" s="1235"/>
      <c r="H3" s="1235"/>
      <c r="I3" s="1235"/>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row>
    <row r="4" spans="1:91" ht="15" customHeight="1" x14ac:dyDescent="0.25">
      <c r="A4" s="83"/>
      <c r="B4" s="1235"/>
      <c r="C4" s="1235"/>
      <c r="D4" s="1235"/>
      <c r="E4" s="1235"/>
      <c r="F4" s="1235"/>
      <c r="G4" s="1235"/>
      <c r="H4" s="1235"/>
      <c r="I4" s="1235"/>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row>
    <row r="5" spans="1:91" ht="15.75" thickBot="1" x14ac:dyDescent="0.3">
      <c r="A5" s="83"/>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row>
    <row r="6" spans="1:91" ht="15" customHeight="1" x14ac:dyDescent="0.25">
      <c r="A6" s="83"/>
      <c r="B6" s="1123" t="s">
        <v>4</v>
      </c>
      <c r="C6" s="1123"/>
      <c r="D6" s="1124"/>
      <c r="E6" s="1218" t="s">
        <v>116</v>
      </c>
      <c r="F6" s="1219"/>
      <c r="G6" s="1219"/>
      <c r="H6" s="1219"/>
      <c r="I6" s="1236"/>
      <c r="J6" s="46" t="str">
        <f ca="1">IF(AND('Riesgos de gestión'!$Y$10="Muy Alta",'Riesgos de gestión'!$AA$10="Leve"),CONCATENATE("R1C",'Riesgos de gestión'!$O$10),"")</f>
        <v/>
      </c>
      <c r="K6" s="47" t="str">
        <f>IF(AND('Riesgos de gestión'!$Y$11="Muy Alta",'Riesgos de gestión'!$AA$11="Leve"),CONCATENATE("R1C",'Riesgos de gestión'!$O$11),"")</f>
        <v/>
      </c>
      <c r="L6" s="47" t="str">
        <f>IF(AND('Riesgos de gestión'!$Y$12="Muy Alta",'Riesgos de gestión'!$AA$12="Leve"),CONCATENATE("R1C",'Riesgos de gestión'!$O$12),"")</f>
        <v/>
      </c>
      <c r="M6" s="47" t="str">
        <f>IF(AND('Riesgos de gestión'!$Y$13="Muy Alta",'Riesgos de gestión'!$AA$13="Leve"),CONCATENATE("R1C",'Riesgos de gestión'!$O$13),"")</f>
        <v/>
      </c>
      <c r="N6" s="47" t="str">
        <f>IF(AND('Riesgos de gestión'!$Y$14="Muy Alta",'Riesgos de gestión'!$AA$14="Leve"),CONCATENATE("R1C",'Riesgos de gestión'!$O$14),"")</f>
        <v/>
      </c>
      <c r="O6" s="48" t="str">
        <f>IF(AND('Riesgos de gestión'!$Y$15="Muy Alta",'Riesgos de gestión'!$AA$15="Leve"),CONCATENATE("R1C",'Riesgos de gestión'!$O$15),"")</f>
        <v/>
      </c>
      <c r="P6" s="46" t="str">
        <f ca="1">IF(AND('Riesgos de gestión'!$Y$10="Muy Alta",'Riesgos de gestión'!$AA$10="Menor"),CONCATENATE("R1C",'Riesgos de gestión'!$O$10),"")</f>
        <v/>
      </c>
      <c r="Q6" s="47" t="str">
        <f>IF(AND('Riesgos de gestión'!$Y$11="Muy Alta",'Riesgos de gestión'!$AA$11="Menor"),CONCATENATE("R1C",'Riesgos de gestión'!$O$11),"")</f>
        <v/>
      </c>
      <c r="R6" s="47" t="str">
        <f>IF(AND('Riesgos de gestión'!$Y$12="Muy Alta",'Riesgos de gestión'!$AA$12="Menor"),CONCATENATE("R1C",'Riesgos de gestión'!$O$12),"")</f>
        <v/>
      </c>
      <c r="S6" s="47" t="str">
        <f>IF(AND('Riesgos de gestión'!$Y$13="Muy Alta",'Riesgos de gestión'!$AA$13="Menor"),CONCATENATE("R1C",'Riesgos de gestión'!$O$13),"")</f>
        <v/>
      </c>
      <c r="T6" s="47" t="str">
        <f>IF(AND('Riesgos de gestión'!$Y$14="Muy Alta",'Riesgos de gestión'!$AA$14="Menor"),CONCATENATE("R1C",'Riesgos de gestión'!$O$14),"")</f>
        <v/>
      </c>
      <c r="U6" s="48" t="str">
        <f>IF(AND('Riesgos de gestión'!$Y$15="Muy Alta",'Riesgos de gestión'!$AA$15="Menor"),CONCATENATE("R1C",'Riesgos de gestión'!$O$15),"")</f>
        <v/>
      </c>
      <c r="V6" s="46" t="str">
        <f ca="1">IF(AND('Riesgos de gestión'!$Y$10="Muy Alta",'Riesgos de gestión'!$AA$10="Moderado"),CONCATENATE("R1C",'Riesgos de gestión'!$O$10),"")</f>
        <v/>
      </c>
      <c r="W6" s="47" t="str">
        <f>IF(AND('Riesgos de gestión'!$Y$11="Muy Alta",'Riesgos de gestión'!$AA$11="Moderado"),CONCATENATE("R1C",'Riesgos de gestión'!$O$11),"")</f>
        <v/>
      </c>
      <c r="X6" s="47" t="str">
        <f>IF(AND('Riesgos de gestión'!$Y$12="Muy Alta",'Riesgos de gestión'!$AA$12="Moderado"),CONCATENATE("R1C",'Riesgos de gestión'!$O$12),"")</f>
        <v/>
      </c>
      <c r="Y6" s="47" t="str">
        <f>IF(AND('Riesgos de gestión'!$Y$13="Muy Alta",'Riesgos de gestión'!$AA$13="Moderado"),CONCATENATE("R1C",'Riesgos de gestión'!$O$13),"")</f>
        <v/>
      </c>
      <c r="Z6" s="47" t="str">
        <f>IF(AND('Riesgos de gestión'!$Y$14="Muy Alta",'Riesgos de gestión'!$AA$14="Moderado"),CONCATENATE("R1C",'Riesgos de gestión'!$O$14),"")</f>
        <v/>
      </c>
      <c r="AA6" s="48" t="str">
        <f>IF(AND('Riesgos de gestión'!$Y$15="Muy Alta",'Riesgos de gestión'!$AA$15="Moderado"),CONCATENATE("R1C",'Riesgos de gestión'!$O$15),"")</f>
        <v/>
      </c>
      <c r="AB6" s="46" t="str">
        <f ca="1">IF(AND('Riesgos de gestión'!$Y$10="Muy Alta",'Riesgos de gestión'!$AA$10="Mayor"),CONCATENATE("R1C",'Riesgos de gestión'!$O$10),"")</f>
        <v/>
      </c>
      <c r="AC6" s="47" t="str">
        <f>IF(AND('Riesgos de gestión'!$Y$11="Muy Alta",'Riesgos de gestión'!$AA$11="Mayor"),CONCATENATE("R1C",'Riesgos de gestión'!$O$11),"")</f>
        <v/>
      </c>
      <c r="AD6" s="47" t="str">
        <f>IF(AND('Riesgos de gestión'!$Y$12="Muy Alta",'Riesgos de gestión'!$AA$12="Mayor"),CONCATENATE("R1C",'Riesgos de gestión'!$O$12),"")</f>
        <v/>
      </c>
      <c r="AE6" s="47" t="str">
        <f>IF(AND('Riesgos de gestión'!$Y$13="Muy Alta",'Riesgos de gestión'!$AA$13="Mayor"),CONCATENATE("R1C",'Riesgos de gestión'!$O$13),"")</f>
        <v/>
      </c>
      <c r="AF6" s="47" t="str">
        <f>IF(AND('Riesgos de gestión'!$Y$14="Muy Alta",'Riesgos de gestión'!$AA$14="Mayor"),CONCATENATE("R1C",'Riesgos de gestión'!$O$14),"")</f>
        <v/>
      </c>
      <c r="AG6" s="48" t="str">
        <f>IF(AND('Riesgos de gestión'!$Y$15="Muy Alta",'Riesgos de gestión'!$AA$15="Mayor"),CONCATENATE("R1C",'Riesgos de gestión'!$O$15),"")</f>
        <v/>
      </c>
      <c r="AH6" s="49" t="str">
        <f ca="1">IF(AND('Riesgos de gestión'!$Y$10="Muy Alta",'Riesgos de gestión'!$AA$10="Catastrófico"),CONCATENATE("R1C",'Riesgos de gestión'!$O$10),"")</f>
        <v/>
      </c>
      <c r="AI6" s="50" t="str">
        <f>IF(AND('Riesgos de gestión'!$Y$11="Muy Alta",'Riesgos de gestión'!$AA$11="Catastrófico"),CONCATENATE("R1C",'Riesgos de gestión'!$O$11),"")</f>
        <v/>
      </c>
      <c r="AJ6" s="50" t="str">
        <f>IF(AND('Riesgos de gestión'!$Y$12="Muy Alta",'Riesgos de gestión'!$AA$12="Catastrófico"),CONCATENATE("R1C",'Riesgos de gestión'!$O$12),"")</f>
        <v/>
      </c>
      <c r="AK6" s="50" t="str">
        <f>IF(AND('Riesgos de gestión'!$Y$13="Muy Alta",'Riesgos de gestión'!$AA$13="Catastrófico"),CONCATENATE("R1C",'Riesgos de gestión'!$O$13),"")</f>
        <v/>
      </c>
      <c r="AL6" s="50" t="str">
        <f>IF(AND('Riesgos de gestión'!$Y$14="Muy Alta",'Riesgos de gestión'!$AA$14="Catastrófico"),CONCATENATE("R1C",'Riesgos de gestión'!$O$14),"")</f>
        <v/>
      </c>
      <c r="AM6" s="51" t="str">
        <f>IF(AND('Riesgos de gestión'!$Y$15="Muy Alta",'Riesgos de gestión'!$AA$15="Catastrófico"),CONCATENATE("R1C",'Riesgos de gestión'!$O$15),"")</f>
        <v/>
      </c>
      <c r="AN6" s="83"/>
      <c r="AO6" s="1225" t="s">
        <v>79</v>
      </c>
      <c r="AP6" s="1226"/>
      <c r="AQ6" s="1226"/>
      <c r="AR6" s="1226"/>
      <c r="AS6" s="1226"/>
      <c r="AT6" s="1227"/>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row>
    <row r="7" spans="1:91" ht="15" customHeight="1" x14ac:dyDescent="0.25">
      <c r="A7" s="83"/>
      <c r="B7" s="1123"/>
      <c r="C7" s="1123"/>
      <c r="D7" s="1124"/>
      <c r="E7" s="1222"/>
      <c r="F7" s="1221"/>
      <c r="G7" s="1221"/>
      <c r="H7" s="1221"/>
      <c r="I7" s="1237"/>
      <c r="J7" s="52" t="str">
        <f>IF(AND('Riesgos de gestión'!$Y$16="Muy Alta",'Riesgos de gestión'!$AA$16="Leve"),CONCATENATE("R2C",'Riesgos de gestión'!$O$16),"")</f>
        <v/>
      </c>
      <c r="K7" s="53" t="str">
        <f>IF(AND('Riesgos de gestión'!$Y$17="Muy Alta",'Riesgos de gestión'!$AA$17="Leve"),CONCATENATE("R2C",'Riesgos de gestión'!$O$17),"")</f>
        <v/>
      </c>
      <c r="L7" s="53" t="str">
        <f>IF(AND('Riesgos de gestión'!$Y$18="Muy Alta",'Riesgos de gestión'!$AA$18="Leve"),CONCATENATE("R2C",'Riesgos de gestión'!$O$18),"")</f>
        <v/>
      </c>
      <c r="M7" s="53" t="str">
        <f>IF(AND('Riesgos de gestión'!$Y$19="Muy Alta",'Riesgos de gestión'!$AA$19="Leve"),CONCATENATE("R2C",'Riesgos de gestión'!$O$19),"")</f>
        <v/>
      </c>
      <c r="N7" s="53" t="str">
        <f>IF(AND('Riesgos de gestión'!$Y$20="Muy Alta",'Riesgos de gestión'!$AA$20="Leve"),CONCATENATE("R2C",'Riesgos de gestión'!$O$20),"")</f>
        <v/>
      </c>
      <c r="O7" s="54" t="str">
        <f>IF(AND('Riesgos de gestión'!$Y$21="Muy Alta",'Riesgos de gestión'!$AA$21="Leve"),CONCATENATE("R2C",'Riesgos de gestión'!$O$21),"")</f>
        <v/>
      </c>
      <c r="P7" s="52" t="str">
        <f>IF(AND('Riesgos de gestión'!$Y$16="Muy Alta",'Riesgos de gestión'!$AA$16="Menor"),CONCATENATE("R2C",'Riesgos de gestión'!$O$16),"")</f>
        <v/>
      </c>
      <c r="Q7" s="53" t="str">
        <f>IF(AND('Riesgos de gestión'!$Y$17="Muy Alta",'Riesgos de gestión'!$AA$17="Menor"),CONCATENATE("R2C",'Riesgos de gestión'!$O$17),"")</f>
        <v/>
      </c>
      <c r="R7" s="53" t="str">
        <f>IF(AND('Riesgos de gestión'!$Y$18="Muy Alta",'Riesgos de gestión'!$AA$18="Menor"),CONCATENATE("R2C",'Riesgos de gestión'!$O$18),"")</f>
        <v/>
      </c>
      <c r="S7" s="53" t="str">
        <f>IF(AND('Riesgos de gestión'!$Y$19="Muy Alta",'Riesgos de gestión'!$AA$19="Menor"),CONCATENATE("R2C",'Riesgos de gestión'!$O$19),"")</f>
        <v/>
      </c>
      <c r="T7" s="53" t="str">
        <f>IF(AND('Riesgos de gestión'!$Y$20="Muy Alta",'Riesgos de gestión'!$AA$20="Menor"),CONCATENATE("R2C",'Riesgos de gestión'!$O$20),"")</f>
        <v/>
      </c>
      <c r="U7" s="54" t="str">
        <f>IF(AND('Riesgos de gestión'!$Y$21="Muy Alta",'Riesgos de gestión'!$AA$21="Menor"),CONCATENATE("R2C",'Riesgos de gestión'!$O$21),"")</f>
        <v/>
      </c>
      <c r="V7" s="52" t="str">
        <f>IF(AND('Riesgos de gestión'!$Y$16="Muy Alta",'Riesgos de gestión'!$AA$16="Moderado"),CONCATENATE("R2C",'Riesgos de gestión'!$O$16),"")</f>
        <v/>
      </c>
      <c r="W7" s="53" t="str">
        <f>IF(AND('Riesgos de gestión'!$Y$17="Muy Alta",'Riesgos de gestión'!$AA$17="Moderado"),CONCATENATE("R2C",'Riesgos de gestión'!$O$17),"")</f>
        <v/>
      </c>
      <c r="X7" s="53" t="str">
        <f>IF(AND('Riesgos de gestión'!$Y$18="Muy Alta",'Riesgos de gestión'!$AA$18="Moderado"),CONCATENATE("R2C",'Riesgos de gestión'!$O$18),"")</f>
        <v/>
      </c>
      <c r="Y7" s="53" t="str">
        <f>IF(AND('Riesgos de gestión'!$Y$19="Muy Alta",'Riesgos de gestión'!$AA$19="Moderado"),CONCATENATE("R2C",'Riesgos de gestión'!$O$19),"")</f>
        <v/>
      </c>
      <c r="Z7" s="53" t="str">
        <f>IF(AND('Riesgos de gestión'!$Y$20="Muy Alta",'Riesgos de gestión'!$AA$20="Moderado"),CONCATENATE("R2C",'Riesgos de gestión'!$O$20),"")</f>
        <v/>
      </c>
      <c r="AA7" s="54" t="str">
        <f>IF(AND('Riesgos de gestión'!$Y$21="Muy Alta",'Riesgos de gestión'!$AA$21="Moderado"),CONCATENATE("R2C",'Riesgos de gestión'!$O$21),"")</f>
        <v/>
      </c>
      <c r="AB7" s="52" t="str">
        <f>IF(AND('Riesgos de gestión'!$Y$16="Muy Alta",'Riesgos de gestión'!$AA$16="Mayor"),CONCATENATE("R2C",'Riesgos de gestión'!$O$16),"")</f>
        <v/>
      </c>
      <c r="AC7" s="53" t="str">
        <f>IF(AND('Riesgos de gestión'!$Y$17="Muy Alta",'Riesgos de gestión'!$AA$17="Mayor"),CONCATENATE("R2C",'Riesgos de gestión'!$O$17),"")</f>
        <v/>
      </c>
      <c r="AD7" s="53" t="str">
        <f>IF(AND('Riesgos de gestión'!$Y$18="Muy Alta",'Riesgos de gestión'!$AA$18="Mayor"),CONCATENATE("R2C",'Riesgos de gestión'!$O$18),"")</f>
        <v/>
      </c>
      <c r="AE7" s="53" t="str">
        <f>IF(AND('Riesgos de gestión'!$Y$19="Muy Alta",'Riesgos de gestión'!$AA$19="Mayor"),CONCATENATE("R2C",'Riesgos de gestión'!$O$19),"")</f>
        <v/>
      </c>
      <c r="AF7" s="53" t="str">
        <f>IF(AND('Riesgos de gestión'!$Y$20="Muy Alta",'Riesgos de gestión'!$AA$20="Mayor"),CONCATENATE("R2C",'Riesgos de gestión'!$O$20),"")</f>
        <v/>
      </c>
      <c r="AG7" s="54" t="str">
        <f>IF(AND('Riesgos de gestión'!$Y$21="Muy Alta",'Riesgos de gestión'!$AA$21="Mayor"),CONCATENATE("R2C",'Riesgos de gestión'!$O$21),"")</f>
        <v/>
      </c>
      <c r="AH7" s="55" t="str">
        <f>IF(AND('Riesgos de gestión'!$Y$16="Muy Alta",'Riesgos de gestión'!$AA$16="Catastrófico"),CONCATENATE("R2C",'Riesgos de gestión'!$O$16),"")</f>
        <v/>
      </c>
      <c r="AI7" s="56" t="str">
        <f>IF(AND('Riesgos de gestión'!$Y$17="Muy Alta",'Riesgos de gestión'!$AA$17="Catastrófico"),CONCATENATE("R2C",'Riesgos de gestión'!$O$17),"")</f>
        <v/>
      </c>
      <c r="AJ7" s="56" t="str">
        <f>IF(AND('Riesgos de gestión'!$Y$18="Muy Alta",'Riesgos de gestión'!$AA$18="Catastrófico"),CONCATENATE("R2C",'Riesgos de gestión'!$O$18),"")</f>
        <v/>
      </c>
      <c r="AK7" s="56" t="str">
        <f>IF(AND('Riesgos de gestión'!$Y$19="Muy Alta",'Riesgos de gestión'!$AA$19="Catastrófico"),CONCATENATE("R2C",'Riesgos de gestión'!$O$19),"")</f>
        <v/>
      </c>
      <c r="AL7" s="56" t="str">
        <f>IF(AND('Riesgos de gestión'!$Y$20="Muy Alta",'Riesgos de gestión'!$AA$20="Catastrófico"),CONCATENATE("R2C",'Riesgos de gestión'!$O$20),"")</f>
        <v/>
      </c>
      <c r="AM7" s="57" t="str">
        <f>IF(AND('Riesgos de gestión'!$Y$21="Muy Alta",'Riesgos de gestión'!$AA$21="Catastrófico"),CONCATENATE("R2C",'Riesgos de gestión'!$O$21),"")</f>
        <v/>
      </c>
      <c r="AN7" s="83"/>
      <c r="AO7" s="1228"/>
      <c r="AP7" s="1229"/>
      <c r="AQ7" s="1229"/>
      <c r="AR7" s="1229"/>
      <c r="AS7" s="1229"/>
      <c r="AT7" s="1230"/>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row>
    <row r="8" spans="1:91" ht="15" customHeight="1" x14ac:dyDescent="0.25">
      <c r="A8" s="83"/>
      <c r="B8" s="1123"/>
      <c r="C8" s="1123"/>
      <c r="D8" s="1124"/>
      <c r="E8" s="1222"/>
      <c r="F8" s="1221"/>
      <c r="G8" s="1221"/>
      <c r="H8" s="1221"/>
      <c r="I8" s="1237"/>
      <c r="J8" s="52" t="str">
        <f>IF(AND('Riesgos de gestión'!$Y$22="Muy Alta",'Riesgos de gestión'!$AA$22="Leve"),CONCATENATE("R3C",'Riesgos de gestión'!$O$22),"")</f>
        <v/>
      </c>
      <c r="K8" s="53" t="str">
        <f>IF(AND('Riesgos de gestión'!$Y$23="Muy Alta",'Riesgos de gestión'!$AA$23="Leve"),CONCATENATE("R3C",'Riesgos de gestión'!$O$23),"")</f>
        <v/>
      </c>
      <c r="L8" s="53" t="str">
        <f>IF(AND('Riesgos de gestión'!$Y$24="Muy Alta",'Riesgos de gestión'!$AA$24="Leve"),CONCATENATE("R3C",'Riesgos de gestión'!$O$24),"")</f>
        <v/>
      </c>
      <c r="M8" s="53" t="str">
        <f>IF(AND('Riesgos de gestión'!$Y$25="Muy Alta",'Riesgos de gestión'!$AA$25="Leve"),CONCATENATE("R3C",'Riesgos de gestión'!$O$25),"")</f>
        <v/>
      </c>
      <c r="N8" s="53" t="str">
        <f>IF(AND('Riesgos de gestión'!$Y$26="Muy Alta",'Riesgos de gestión'!$AA$26="Leve"),CONCATENATE("R3C",'Riesgos de gestión'!$O$26),"")</f>
        <v/>
      </c>
      <c r="O8" s="54" t="str">
        <f>IF(AND('Riesgos de gestión'!$Y$27="Muy Alta",'Riesgos de gestión'!$AA$27="Leve"),CONCATENATE("R3C",'Riesgos de gestión'!$O$27),"")</f>
        <v/>
      </c>
      <c r="P8" s="52" t="str">
        <f>IF(AND('Riesgos de gestión'!$Y$22="Muy Alta",'Riesgos de gestión'!$AA$22="Menor"),CONCATENATE("R3C",'Riesgos de gestión'!$O$22),"")</f>
        <v/>
      </c>
      <c r="Q8" s="53" t="str">
        <f>IF(AND('Riesgos de gestión'!$Y$23="Muy Alta",'Riesgos de gestión'!$AA$23="Menor"),CONCATENATE("R3C",'Riesgos de gestión'!$O$23),"")</f>
        <v/>
      </c>
      <c r="R8" s="53" t="str">
        <f>IF(AND('Riesgos de gestión'!$Y$24="Muy Alta",'Riesgos de gestión'!$AA$24="Menor"),CONCATENATE("R3C",'Riesgos de gestión'!$O$24),"")</f>
        <v/>
      </c>
      <c r="S8" s="53" t="str">
        <f>IF(AND('Riesgos de gestión'!$Y$25="Muy Alta",'Riesgos de gestión'!$AA$25="Menor"),CONCATENATE("R3C",'Riesgos de gestión'!$O$25),"")</f>
        <v/>
      </c>
      <c r="T8" s="53" t="str">
        <f>IF(AND('Riesgos de gestión'!$Y$26="Muy Alta",'Riesgos de gestión'!$AA$26="Menor"),CONCATENATE("R3C",'Riesgos de gestión'!$O$26),"")</f>
        <v/>
      </c>
      <c r="U8" s="54" t="str">
        <f>IF(AND('Riesgos de gestión'!$Y$27="Muy Alta",'Riesgos de gestión'!$AA$27="Menor"),CONCATENATE("R3C",'Riesgos de gestión'!$O$27),"")</f>
        <v/>
      </c>
      <c r="V8" s="52" t="str">
        <f>IF(AND('Riesgos de gestión'!$Y$22="Muy Alta",'Riesgos de gestión'!$AA$22="Moderado"),CONCATENATE("R3C",'Riesgos de gestión'!$O$22),"")</f>
        <v/>
      </c>
      <c r="W8" s="53" t="str">
        <f>IF(AND('Riesgos de gestión'!$Y$23="Muy Alta",'Riesgos de gestión'!$AA$23="Moderado"),CONCATENATE("R3C",'Riesgos de gestión'!$O$23),"")</f>
        <v/>
      </c>
      <c r="X8" s="53" t="str">
        <f>IF(AND('Riesgos de gestión'!$Y$24="Muy Alta",'Riesgos de gestión'!$AA$24="Moderado"),CONCATENATE("R3C",'Riesgos de gestión'!$O$24),"")</f>
        <v/>
      </c>
      <c r="Y8" s="53" t="str">
        <f>IF(AND('Riesgos de gestión'!$Y$25="Muy Alta",'Riesgos de gestión'!$AA$25="Moderado"),CONCATENATE("R3C",'Riesgos de gestión'!$O$25),"")</f>
        <v/>
      </c>
      <c r="Z8" s="53" t="str">
        <f>IF(AND('Riesgos de gestión'!$Y$26="Muy Alta",'Riesgos de gestión'!$AA$26="Moderado"),CONCATENATE("R3C",'Riesgos de gestión'!$O$26),"")</f>
        <v/>
      </c>
      <c r="AA8" s="54" t="str">
        <f>IF(AND('Riesgos de gestión'!$Y$27="Muy Alta",'Riesgos de gestión'!$AA$27="Moderado"),CONCATENATE("R3C",'Riesgos de gestión'!$O$27),"")</f>
        <v/>
      </c>
      <c r="AB8" s="52" t="str">
        <f>IF(AND('Riesgos de gestión'!$Y$22="Muy Alta",'Riesgos de gestión'!$AA$22="Mayor"),CONCATENATE("R3C",'Riesgos de gestión'!$O$22),"")</f>
        <v/>
      </c>
      <c r="AC8" s="53" t="str">
        <f>IF(AND('Riesgos de gestión'!$Y$23="Muy Alta",'Riesgos de gestión'!$AA$23="Mayor"),CONCATENATE("R3C",'Riesgos de gestión'!$O$23),"")</f>
        <v/>
      </c>
      <c r="AD8" s="53" t="str">
        <f>IF(AND('Riesgos de gestión'!$Y$24="Muy Alta",'Riesgos de gestión'!$AA$24="Mayor"),CONCATENATE("R3C",'Riesgos de gestión'!$O$24),"")</f>
        <v/>
      </c>
      <c r="AE8" s="53" t="str">
        <f>IF(AND('Riesgos de gestión'!$Y$25="Muy Alta",'Riesgos de gestión'!$AA$25="Mayor"),CONCATENATE("R3C",'Riesgos de gestión'!$O$25),"")</f>
        <v/>
      </c>
      <c r="AF8" s="53" t="str">
        <f>IF(AND('Riesgos de gestión'!$Y$26="Muy Alta",'Riesgos de gestión'!$AA$26="Mayor"),CONCATENATE("R3C",'Riesgos de gestión'!$O$26),"")</f>
        <v/>
      </c>
      <c r="AG8" s="54" t="str">
        <f>IF(AND('Riesgos de gestión'!$Y$27="Muy Alta",'Riesgos de gestión'!$AA$27="Mayor"),CONCATENATE("R3C",'Riesgos de gestión'!$O$27),"")</f>
        <v/>
      </c>
      <c r="AH8" s="55" t="str">
        <f>IF(AND('Riesgos de gestión'!$Y$22="Muy Alta",'Riesgos de gestión'!$AA$22="Catastrófico"),CONCATENATE("R3C",'Riesgos de gestión'!$O$22),"")</f>
        <v/>
      </c>
      <c r="AI8" s="56" t="str">
        <f>IF(AND('Riesgos de gestión'!$Y$23="Muy Alta",'Riesgos de gestión'!$AA$23="Catastrófico"),CONCATENATE("R3C",'Riesgos de gestión'!$O$23),"")</f>
        <v/>
      </c>
      <c r="AJ8" s="56" t="str">
        <f>IF(AND('Riesgos de gestión'!$Y$24="Muy Alta",'Riesgos de gestión'!$AA$24="Catastrófico"),CONCATENATE("R3C",'Riesgos de gestión'!$O$24),"")</f>
        <v/>
      </c>
      <c r="AK8" s="56" t="str">
        <f>IF(AND('Riesgos de gestión'!$Y$25="Muy Alta",'Riesgos de gestión'!$AA$25="Catastrófico"),CONCATENATE("R3C",'Riesgos de gestión'!$O$25),"")</f>
        <v/>
      </c>
      <c r="AL8" s="56" t="str">
        <f>IF(AND('Riesgos de gestión'!$Y$26="Muy Alta",'Riesgos de gestión'!$AA$26="Catastrófico"),CONCATENATE("R3C",'Riesgos de gestión'!$O$26),"")</f>
        <v/>
      </c>
      <c r="AM8" s="57" t="str">
        <f>IF(AND('Riesgos de gestión'!$Y$27="Muy Alta",'Riesgos de gestión'!$AA$27="Catastrófico"),CONCATENATE("R3C",'Riesgos de gestión'!$O$27),"")</f>
        <v/>
      </c>
      <c r="AN8" s="83"/>
      <c r="AO8" s="1228"/>
      <c r="AP8" s="1229"/>
      <c r="AQ8" s="1229"/>
      <c r="AR8" s="1229"/>
      <c r="AS8" s="1229"/>
      <c r="AT8" s="1230"/>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row>
    <row r="9" spans="1:91" ht="15" customHeight="1" x14ac:dyDescent="0.25">
      <c r="A9" s="83"/>
      <c r="B9" s="1123"/>
      <c r="C9" s="1123"/>
      <c r="D9" s="1124"/>
      <c r="E9" s="1222"/>
      <c r="F9" s="1221"/>
      <c r="G9" s="1221"/>
      <c r="H9" s="1221"/>
      <c r="I9" s="1237"/>
      <c r="J9" s="52" t="str">
        <f>IF(AND('Riesgos de gestión'!$Y$28="Muy Alta",'Riesgos de gestión'!$AA$28="Leve"),CONCATENATE("R4C",'Riesgos de gestión'!$O$28),"")</f>
        <v/>
      </c>
      <c r="K9" s="53" t="str">
        <f>IF(AND('Riesgos de gestión'!$Y$29="Muy Alta",'Riesgos de gestión'!$AA$29="Leve"),CONCATENATE("R4C",'Riesgos de gestión'!$O$29),"")</f>
        <v/>
      </c>
      <c r="L9" s="53" t="str">
        <f>IF(AND('Riesgos de gestión'!$Y$30="Muy Alta",'Riesgos de gestión'!$AA$30="Leve"),CONCATENATE("R4C",'Riesgos de gestión'!$O$30),"")</f>
        <v/>
      </c>
      <c r="M9" s="53" t="str">
        <f>IF(AND('Riesgos de gestión'!$Y$31="Muy Alta",'Riesgos de gestión'!$AA$31="Leve"),CONCATENATE("R4C",'Riesgos de gestión'!$O$31),"")</f>
        <v/>
      </c>
      <c r="N9" s="53" t="str">
        <f>IF(AND('Riesgos de gestión'!$Y$32="Muy Alta",'Riesgos de gestión'!$AA$32="Leve"),CONCATENATE("R4C",'Riesgos de gestión'!$O$32),"")</f>
        <v/>
      </c>
      <c r="O9" s="54" t="str">
        <f>IF(AND('Riesgos de gestión'!$Y$33="Muy Alta",'Riesgos de gestión'!$AA$33="Leve"),CONCATENATE("R4C",'Riesgos de gestión'!$O$33),"")</f>
        <v/>
      </c>
      <c r="P9" s="52" t="str">
        <f>IF(AND('Riesgos de gestión'!$Y$28="Muy Alta",'Riesgos de gestión'!$AA$28="Menor"),CONCATENATE("R4C",'Riesgos de gestión'!$O$28),"")</f>
        <v/>
      </c>
      <c r="Q9" s="53" t="str">
        <f>IF(AND('Riesgos de gestión'!$Y$29="Muy Alta",'Riesgos de gestión'!$AA$29="Menor"),CONCATENATE("R4C",'Riesgos de gestión'!$O$29),"")</f>
        <v/>
      </c>
      <c r="R9" s="53" t="str">
        <f>IF(AND('Riesgos de gestión'!$Y$30="Muy Alta",'Riesgos de gestión'!$AA$30="Menor"),CONCATENATE("R4C",'Riesgos de gestión'!$O$30),"")</f>
        <v/>
      </c>
      <c r="S9" s="53" t="str">
        <f>IF(AND('Riesgos de gestión'!$Y$31="Muy Alta",'Riesgos de gestión'!$AA$31="Menor"),CONCATENATE("R4C",'Riesgos de gestión'!$O$31),"")</f>
        <v/>
      </c>
      <c r="T9" s="53" t="str">
        <f>IF(AND('Riesgos de gestión'!$Y$32="Muy Alta",'Riesgos de gestión'!$AA$32="Menor"),CONCATENATE("R4C",'Riesgos de gestión'!$O$32),"")</f>
        <v/>
      </c>
      <c r="U9" s="54" t="str">
        <f>IF(AND('Riesgos de gestión'!$Y$33="Muy Alta",'Riesgos de gestión'!$AA$33="Menor"),CONCATENATE("R4C",'Riesgos de gestión'!$O$33),"")</f>
        <v/>
      </c>
      <c r="V9" s="52" t="str">
        <f>IF(AND('Riesgos de gestión'!$Y$28="Muy Alta",'Riesgos de gestión'!$AA$28="Moderado"),CONCATENATE("R4C",'Riesgos de gestión'!$O$28),"")</f>
        <v/>
      </c>
      <c r="W9" s="53" t="str">
        <f>IF(AND('Riesgos de gestión'!$Y$29="Muy Alta",'Riesgos de gestión'!$AA$29="Moderado"),CONCATENATE("R4C",'Riesgos de gestión'!$O$29),"")</f>
        <v/>
      </c>
      <c r="X9" s="53" t="str">
        <f>IF(AND('Riesgos de gestión'!$Y$30="Muy Alta",'Riesgos de gestión'!$AA$30="Moderado"),CONCATENATE("R4C",'Riesgos de gestión'!$O$30),"")</f>
        <v/>
      </c>
      <c r="Y9" s="53" t="str">
        <f>IF(AND('Riesgos de gestión'!$Y$31="Muy Alta",'Riesgos de gestión'!$AA$31="Moderado"),CONCATENATE("R4C",'Riesgos de gestión'!$O$31),"")</f>
        <v/>
      </c>
      <c r="Z9" s="53" t="str">
        <f>IF(AND('Riesgos de gestión'!$Y$32="Muy Alta",'Riesgos de gestión'!$AA$32="Moderado"),CONCATENATE("R4C",'Riesgos de gestión'!$O$32),"")</f>
        <v/>
      </c>
      <c r="AA9" s="54" t="str">
        <f>IF(AND('Riesgos de gestión'!$Y$33="Muy Alta",'Riesgos de gestión'!$AA$33="Moderado"),CONCATENATE("R4C",'Riesgos de gestión'!$O$33),"")</f>
        <v/>
      </c>
      <c r="AB9" s="52" t="str">
        <f>IF(AND('Riesgos de gestión'!$Y$28="Muy Alta",'Riesgos de gestión'!$AA$28="Mayor"),CONCATENATE("R4C",'Riesgos de gestión'!$O$28),"")</f>
        <v/>
      </c>
      <c r="AC9" s="53" t="str">
        <f>IF(AND('Riesgos de gestión'!$Y$29="Muy Alta",'Riesgos de gestión'!$AA$29="Mayor"),CONCATENATE("R4C",'Riesgos de gestión'!$O$29),"")</f>
        <v/>
      </c>
      <c r="AD9" s="53" t="str">
        <f>IF(AND('Riesgos de gestión'!$Y$30="Muy Alta",'Riesgos de gestión'!$AA$30="Mayor"),CONCATENATE("R4C",'Riesgos de gestión'!$O$30),"")</f>
        <v/>
      </c>
      <c r="AE9" s="53" t="str">
        <f>IF(AND('Riesgos de gestión'!$Y$31="Muy Alta",'Riesgos de gestión'!$AA$31="Mayor"),CONCATENATE("R4C",'Riesgos de gestión'!$O$31),"")</f>
        <v/>
      </c>
      <c r="AF9" s="53" t="str">
        <f>IF(AND('Riesgos de gestión'!$Y$32="Muy Alta",'Riesgos de gestión'!$AA$32="Mayor"),CONCATENATE("R4C",'Riesgos de gestión'!$O$32),"")</f>
        <v/>
      </c>
      <c r="AG9" s="54" t="str">
        <f>IF(AND('Riesgos de gestión'!$Y$33="Muy Alta",'Riesgos de gestión'!$AA$33="Mayor"),CONCATENATE("R4C",'Riesgos de gestión'!$O$33),"")</f>
        <v/>
      </c>
      <c r="AH9" s="55" t="str">
        <f>IF(AND('Riesgos de gestión'!$Y$28="Muy Alta",'Riesgos de gestión'!$AA$28="Catastrófico"),CONCATENATE("R4C",'Riesgos de gestión'!$O$28),"")</f>
        <v/>
      </c>
      <c r="AI9" s="56" t="str">
        <f>IF(AND('Riesgos de gestión'!$Y$29="Muy Alta",'Riesgos de gestión'!$AA$29="Catastrófico"),CONCATENATE("R4C",'Riesgos de gestión'!$O$29),"")</f>
        <v/>
      </c>
      <c r="AJ9" s="56" t="str">
        <f>IF(AND('Riesgos de gestión'!$Y$30="Muy Alta",'Riesgos de gestión'!$AA$30="Catastrófico"),CONCATENATE("R4C",'Riesgos de gestión'!$O$30),"")</f>
        <v/>
      </c>
      <c r="AK9" s="56" t="str">
        <f>IF(AND('Riesgos de gestión'!$Y$31="Muy Alta",'Riesgos de gestión'!$AA$31="Catastrófico"),CONCATENATE("R4C",'Riesgos de gestión'!$O$31),"")</f>
        <v/>
      </c>
      <c r="AL9" s="56" t="str">
        <f>IF(AND('Riesgos de gestión'!$Y$32="Muy Alta",'Riesgos de gestión'!$AA$32="Catastrófico"),CONCATENATE("R4C",'Riesgos de gestión'!$O$32),"")</f>
        <v/>
      </c>
      <c r="AM9" s="57" t="str">
        <f>IF(AND('Riesgos de gestión'!$Y$33="Muy Alta",'Riesgos de gestión'!$AA$33="Catastrófico"),CONCATENATE("R4C",'Riesgos de gestión'!$O$33),"")</f>
        <v/>
      </c>
      <c r="AN9" s="83"/>
      <c r="AO9" s="1228"/>
      <c r="AP9" s="1229"/>
      <c r="AQ9" s="1229"/>
      <c r="AR9" s="1229"/>
      <c r="AS9" s="1229"/>
      <c r="AT9" s="1230"/>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row>
    <row r="10" spans="1:91" ht="15" customHeight="1" x14ac:dyDescent="0.25">
      <c r="A10" s="83"/>
      <c r="B10" s="1123"/>
      <c r="C10" s="1123"/>
      <c r="D10" s="1124"/>
      <c r="E10" s="1222"/>
      <c r="F10" s="1221"/>
      <c r="G10" s="1221"/>
      <c r="H10" s="1221"/>
      <c r="I10" s="1237"/>
      <c r="J10" s="52" t="str">
        <f>IF(AND('Riesgos de gestión'!$Y$34="Muy Alta",'Riesgos de gestión'!$AA$34="Leve"),CONCATENATE("R5C",'Riesgos de gestión'!$O$34),"")</f>
        <v/>
      </c>
      <c r="K10" s="53" t="str">
        <f>IF(AND('Riesgos de gestión'!$Y$35="Muy Alta",'Riesgos de gestión'!$AA$35="Leve"),CONCATENATE("R5C",'Riesgos de gestión'!$O$35),"")</f>
        <v/>
      </c>
      <c r="L10" s="53" t="str">
        <f>IF(AND('Riesgos de gestión'!$Y$36="Muy Alta",'Riesgos de gestión'!$AA$36="Leve"),CONCATENATE("R5C",'Riesgos de gestión'!$O$36),"")</f>
        <v/>
      </c>
      <c r="M10" s="53" t="str">
        <f>IF(AND('Riesgos de gestión'!$Y$37="Muy Alta",'Riesgos de gestión'!$AA$37="Leve"),CONCATENATE("R5C",'Riesgos de gestión'!$O$37),"")</f>
        <v/>
      </c>
      <c r="N10" s="53" t="str">
        <f>IF(AND('Riesgos de gestión'!$Y$38="Muy Alta",'Riesgos de gestión'!$AA$38="Leve"),CONCATENATE("R5C",'Riesgos de gestión'!$O$38),"")</f>
        <v/>
      </c>
      <c r="O10" s="54" t="str">
        <f>IF(AND('Riesgos de gestión'!$Y$39="Muy Alta",'Riesgos de gestión'!$AA$39="Leve"),CONCATENATE("R5C",'Riesgos de gestión'!$O$39),"")</f>
        <v/>
      </c>
      <c r="P10" s="52" t="str">
        <f>IF(AND('Riesgos de gestión'!$Y$34="Muy Alta",'Riesgos de gestión'!$AA$34="Menor"),CONCATENATE("R5C",'Riesgos de gestión'!$O$34),"")</f>
        <v/>
      </c>
      <c r="Q10" s="53" t="str">
        <f>IF(AND('Riesgos de gestión'!$Y$35="Muy Alta",'Riesgos de gestión'!$AA$35="Menor"),CONCATENATE("R5C",'Riesgos de gestión'!$O$35),"")</f>
        <v/>
      </c>
      <c r="R10" s="53" t="str">
        <f>IF(AND('Riesgos de gestión'!$Y$36="Muy Alta",'Riesgos de gestión'!$AA$36="Menor"),CONCATENATE("R5C",'Riesgos de gestión'!$O$36),"")</f>
        <v/>
      </c>
      <c r="S10" s="53" t="str">
        <f>IF(AND('Riesgos de gestión'!$Y$37="Muy Alta",'Riesgos de gestión'!$AA$37="Menor"),CONCATENATE("R5C",'Riesgos de gestión'!$O$37),"")</f>
        <v/>
      </c>
      <c r="T10" s="53" t="str">
        <f>IF(AND('Riesgos de gestión'!$Y$38="Muy Alta",'Riesgos de gestión'!$AA$38="Menor"),CONCATENATE("R5C",'Riesgos de gestión'!$O$38),"")</f>
        <v/>
      </c>
      <c r="U10" s="54" t="str">
        <f>IF(AND('Riesgos de gestión'!$Y$39="Muy Alta",'Riesgos de gestión'!$AA$39="Menor"),CONCATENATE("R5C",'Riesgos de gestión'!$O$39),"")</f>
        <v/>
      </c>
      <c r="V10" s="52" t="str">
        <f>IF(AND('Riesgos de gestión'!$Y$34="Muy Alta",'Riesgos de gestión'!$AA$34="Moderado"),CONCATENATE("R5C",'Riesgos de gestión'!$O$34),"")</f>
        <v/>
      </c>
      <c r="W10" s="53" t="str">
        <f>IF(AND('Riesgos de gestión'!$Y$35="Muy Alta",'Riesgos de gestión'!$AA$35="Moderado"),CONCATENATE("R5C",'Riesgos de gestión'!$O$35),"")</f>
        <v/>
      </c>
      <c r="X10" s="53" t="str">
        <f>IF(AND('Riesgos de gestión'!$Y$36="Muy Alta",'Riesgos de gestión'!$AA$36="Moderado"),CONCATENATE("R5C",'Riesgos de gestión'!$O$36),"")</f>
        <v/>
      </c>
      <c r="Y10" s="53" t="str">
        <f>IF(AND('Riesgos de gestión'!$Y$37="Muy Alta",'Riesgos de gestión'!$AA$37="Moderado"),CONCATENATE("R5C",'Riesgos de gestión'!$O$37),"")</f>
        <v/>
      </c>
      <c r="Z10" s="53" t="str">
        <f>IF(AND('Riesgos de gestión'!$Y$38="Muy Alta",'Riesgos de gestión'!$AA$38="Moderado"),CONCATENATE("R5C",'Riesgos de gestión'!$O$38),"")</f>
        <v/>
      </c>
      <c r="AA10" s="54" t="str">
        <f>IF(AND('Riesgos de gestión'!$Y$39="Muy Alta",'Riesgos de gestión'!$AA$39="Moderado"),CONCATENATE("R5C",'Riesgos de gestión'!$O$39),"")</f>
        <v/>
      </c>
      <c r="AB10" s="52" t="str">
        <f>IF(AND('Riesgos de gestión'!$Y$34="Muy Alta",'Riesgos de gestión'!$AA$34="Mayor"),CONCATENATE("R5C",'Riesgos de gestión'!$O$34),"")</f>
        <v/>
      </c>
      <c r="AC10" s="53" t="str">
        <f>IF(AND('Riesgos de gestión'!$Y$35="Muy Alta",'Riesgos de gestión'!$AA$35="Mayor"),CONCATENATE("R5C",'Riesgos de gestión'!$O$35),"")</f>
        <v/>
      </c>
      <c r="AD10" s="53" t="str">
        <f>IF(AND('Riesgos de gestión'!$Y$36="Muy Alta",'Riesgos de gestión'!$AA$36="Mayor"),CONCATENATE("R5C",'Riesgos de gestión'!$O$36),"")</f>
        <v/>
      </c>
      <c r="AE10" s="53" t="str">
        <f>IF(AND('Riesgos de gestión'!$Y$37="Muy Alta",'Riesgos de gestión'!$AA$37="Mayor"),CONCATENATE("R5C",'Riesgos de gestión'!$O$37),"")</f>
        <v/>
      </c>
      <c r="AF10" s="53" t="str">
        <f>IF(AND('Riesgos de gestión'!$Y$38="Muy Alta",'Riesgos de gestión'!$AA$38="Mayor"),CONCATENATE("R5C",'Riesgos de gestión'!$O$38),"")</f>
        <v/>
      </c>
      <c r="AG10" s="54" t="str">
        <f>IF(AND('Riesgos de gestión'!$Y$39="Muy Alta",'Riesgos de gestión'!$AA$39="Mayor"),CONCATENATE("R5C",'Riesgos de gestión'!$O$39),"")</f>
        <v/>
      </c>
      <c r="AH10" s="55" t="str">
        <f>IF(AND('Riesgos de gestión'!$Y$34="Muy Alta",'Riesgos de gestión'!$AA$34="Catastrófico"),CONCATENATE("R5C",'Riesgos de gestión'!$O$34),"")</f>
        <v/>
      </c>
      <c r="AI10" s="56" t="str">
        <f>IF(AND('Riesgos de gestión'!$Y$35="Muy Alta",'Riesgos de gestión'!$AA$35="Catastrófico"),CONCATENATE("R5C",'Riesgos de gestión'!$O$35),"")</f>
        <v/>
      </c>
      <c r="AJ10" s="56" t="str">
        <f>IF(AND('Riesgos de gestión'!$Y$36="Muy Alta",'Riesgos de gestión'!$AA$36="Catastrófico"),CONCATENATE("R5C",'Riesgos de gestión'!$O$36),"")</f>
        <v/>
      </c>
      <c r="AK10" s="56" t="str">
        <f>IF(AND('Riesgos de gestión'!$Y$37="Muy Alta",'Riesgos de gestión'!$AA$37="Catastrófico"),CONCATENATE("R5C",'Riesgos de gestión'!$O$37),"")</f>
        <v/>
      </c>
      <c r="AL10" s="56" t="str">
        <f>IF(AND('Riesgos de gestión'!$Y$38="Muy Alta",'Riesgos de gestión'!$AA$38="Catastrófico"),CONCATENATE("R5C",'Riesgos de gestión'!$O$38),"")</f>
        <v/>
      </c>
      <c r="AM10" s="57" t="str">
        <f>IF(AND('Riesgos de gestión'!$Y$39="Muy Alta",'Riesgos de gestión'!$AA$39="Catastrófico"),CONCATENATE("R5C",'Riesgos de gestión'!$O$39),"")</f>
        <v/>
      </c>
      <c r="AN10" s="83"/>
      <c r="AO10" s="1228"/>
      <c r="AP10" s="1229"/>
      <c r="AQ10" s="1229"/>
      <c r="AR10" s="1229"/>
      <c r="AS10" s="1229"/>
      <c r="AT10" s="1230"/>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row>
    <row r="11" spans="1:91" ht="15" customHeight="1" x14ac:dyDescent="0.25">
      <c r="A11" s="83"/>
      <c r="B11" s="1123"/>
      <c r="C11" s="1123"/>
      <c r="D11" s="1124"/>
      <c r="E11" s="1222"/>
      <c r="F11" s="1221"/>
      <c r="G11" s="1221"/>
      <c r="H11" s="1221"/>
      <c r="I11" s="1237"/>
      <c r="J11" s="52" t="str">
        <f>IF(AND('Riesgos de gestión'!$Y$40="Muy Alta",'Riesgos de gestión'!$AA$40="Leve"),CONCATENATE("R6C",'Riesgos de gestión'!$O$40),"")</f>
        <v/>
      </c>
      <c r="K11" s="53" t="str">
        <f>IF(AND('Riesgos de gestión'!$Y$41="Muy Alta",'Riesgos de gestión'!$AA$41="Leve"),CONCATENATE("R6C",'Riesgos de gestión'!$O$41),"")</f>
        <v/>
      </c>
      <c r="L11" s="53" t="str">
        <f>IF(AND('Riesgos de gestión'!$Y$42="Muy Alta",'Riesgos de gestión'!$AA$42="Leve"),CONCATENATE("R6C",'Riesgos de gestión'!$O$42),"")</f>
        <v/>
      </c>
      <c r="M11" s="53" t="str">
        <f>IF(AND('Riesgos de gestión'!$Y$43="Muy Alta",'Riesgos de gestión'!$AA$43="Leve"),CONCATENATE("R6C",'Riesgos de gestión'!$O$43),"")</f>
        <v/>
      </c>
      <c r="N11" s="53" t="str">
        <f>IF(AND('Riesgos de gestión'!$Y$44="Muy Alta",'Riesgos de gestión'!$AA$44="Leve"),CONCATENATE("R6C",'Riesgos de gestión'!$O$44),"")</f>
        <v/>
      </c>
      <c r="O11" s="54" t="str">
        <f>IF(AND('Riesgos de gestión'!$Y$45="Muy Alta",'Riesgos de gestión'!$AA$45="Leve"),CONCATENATE("R6C",'Riesgos de gestión'!$O$45),"")</f>
        <v/>
      </c>
      <c r="P11" s="52" t="str">
        <f>IF(AND('Riesgos de gestión'!$Y$40="Muy Alta",'Riesgos de gestión'!$AA$40="Menor"),CONCATENATE("R6C",'Riesgos de gestión'!$O$40),"")</f>
        <v/>
      </c>
      <c r="Q11" s="53" t="str">
        <f>IF(AND('Riesgos de gestión'!$Y$41="Muy Alta",'Riesgos de gestión'!$AA$41="Menor"),CONCATENATE("R6C",'Riesgos de gestión'!$O$41),"")</f>
        <v/>
      </c>
      <c r="R11" s="53" t="str">
        <f>IF(AND('Riesgos de gestión'!$Y$42="Muy Alta",'Riesgos de gestión'!$AA$42="Menor"),CONCATENATE("R6C",'Riesgos de gestión'!$O$42),"")</f>
        <v/>
      </c>
      <c r="S11" s="53" t="str">
        <f>IF(AND('Riesgos de gestión'!$Y$43="Muy Alta",'Riesgos de gestión'!$AA$43="Menor"),CONCATENATE("R6C",'Riesgos de gestión'!$O$43),"")</f>
        <v/>
      </c>
      <c r="T11" s="53" t="str">
        <f>IF(AND('Riesgos de gestión'!$Y$44="Muy Alta",'Riesgos de gestión'!$AA$44="Menor"),CONCATENATE("R6C",'Riesgos de gestión'!$O$44),"")</f>
        <v/>
      </c>
      <c r="U11" s="54" t="str">
        <f>IF(AND('Riesgos de gestión'!$Y$45="Muy Alta",'Riesgos de gestión'!$AA$45="Menor"),CONCATENATE("R6C",'Riesgos de gestión'!$O$45),"")</f>
        <v/>
      </c>
      <c r="V11" s="52" t="str">
        <f>IF(AND('Riesgos de gestión'!$Y$40="Muy Alta",'Riesgos de gestión'!$AA$40="Moderado"),CONCATENATE("R6C",'Riesgos de gestión'!$O$40),"")</f>
        <v/>
      </c>
      <c r="W11" s="53" t="str">
        <f>IF(AND('Riesgos de gestión'!$Y$41="Muy Alta",'Riesgos de gestión'!$AA$41="Moderado"),CONCATENATE("R6C",'Riesgos de gestión'!$O$41),"")</f>
        <v/>
      </c>
      <c r="X11" s="53" t="str">
        <f>IF(AND('Riesgos de gestión'!$Y$42="Muy Alta",'Riesgos de gestión'!$AA$42="Moderado"),CONCATENATE("R6C",'Riesgos de gestión'!$O$42),"")</f>
        <v/>
      </c>
      <c r="Y11" s="53" t="str">
        <f>IF(AND('Riesgos de gestión'!$Y$43="Muy Alta",'Riesgos de gestión'!$AA$43="Moderado"),CONCATENATE("R6C",'Riesgos de gestión'!$O$43),"")</f>
        <v/>
      </c>
      <c r="Z11" s="53" t="str">
        <f>IF(AND('Riesgos de gestión'!$Y$44="Muy Alta",'Riesgos de gestión'!$AA$44="Moderado"),CONCATENATE("R6C",'Riesgos de gestión'!$O$44),"")</f>
        <v/>
      </c>
      <c r="AA11" s="54" t="str">
        <f>IF(AND('Riesgos de gestión'!$Y$45="Muy Alta",'Riesgos de gestión'!$AA$45="Moderado"),CONCATENATE("R6C",'Riesgos de gestión'!$O$45),"")</f>
        <v/>
      </c>
      <c r="AB11" s="52" t="str">
        <f>IF(AND('Riesgos de gestión'!$Y$40="Muy Alta",'Riesgos de gestión'!$AA$40="Mayor"),CONCATENATE("R6C",'Riesgos de gestión'!$O$40),"")</f>
        <v/>
      </c>
      <c r="AC11" s="53" t="str">
        <f>IF(AND('Riesgos de gestión'!$Y$41="Muy Alta",'Riesgos de gestión'!$AA$41="Mayor"),CONCATENATE("R6C",'Riesgos de gestión'!$O$41),"")</f>
        <v/>
      </c>
      <c r="AD11" s="53" t="str">
        <f>IF(AND('Riesgos de gestión'!$Y$42="Muy Alta",'Riesgos de gestión'!$AA$42="Mayor"),CONCATENATE("R6C",'Riesgos de gestión'!$O$42),"")</f>
        <v/>
      </c>
      <c r="AE11" s="53" t="str">
        <f>IF(AND('Riesgos de gestión'!$Y$43="Muy Alta",'Riesgos de gestión'!$AA$43="Mayor"),CONCATENATE("R6C",'Riesgos de gestión'!$O$43),"")</f>
        <v/>
      </c>
      <c r="AF11" s="53" t="str">
        <f>IF(AND('Riesgos de gestión'!$Y$44="Muy Alta",'Riesgos de gestión'!$AA$44="Mayor"),CONCATENATE("R6C",'Riesgos de gestión'!$O$44),"")</f>
        <v/>
      </c>
      <c r="AG11" s="54" t="str">
        <f>IF(AND('Riesgos de gestión'!$Y$45="Muy Alta",'Riesgos de gestión'!$AA$45="Mayor"),CONCATENATE("R6C",'Riesgos de gestión'!$O$45),"")</f>
        <v/>
      </c>
      <c r="AH11" s="55" t="str">
        <f>IF(AND('Riesgos de gestión'!$Y$40="Muy Alta",'Riesgos de gestión'!$AA$40="Catastrófico"),CONCATENATE("R6C",'Riesgos de gestión'!$O$40),"")</f>
        <v/>
      </c>
      <c r="AI11" s="56" t="str">
        <f>IF(AND('Riesgos de gestión'!$Y$41="Muy Alta",'Riesgos de gestión'!$AA$41="Catastrófico"),CONCATENATE("R6C",'Riesgos de gestión'!$O$41),"")</f>
        <v/>
      </c>
      <c r="AJ11" s="56" t="str">
        <f>IF(AND('Riesgos de gestión'!$Y$42="Muy Alta",'Riesgos de gestión'!$AA$42="Catastrófico"),CONCATENATE("R6C",'Riesgos de gestión'!$O$42),"")</f>
        <v/>
      </c>
      <c r="AK11" s="56" t="str">
        <f>IF(AND('Riesgos de gestión'!$Y$43="Muy Alta",'Riesgos de gestión'!$AA$43="Catastrófico"),CONCATENATE("R6C",'Riesgos de gestión'!$O$43),"")</f>
        <v/>
      </c>
      <c r="AL11" s="56" t="str">
        <f>IF(AND('Riesgos de gestión'!$Y$44="Muy Alta",'Riesgos de gestión'!$AA$44="Catastrófico"),CONCATENATE("R6C",'Riesgos de gestión'!$O$44),"")</f>
        <v/>
      </c>
      <c r="AM11" s="57" t="str">
        <f>IF(AND('Riesgos de gestión'!$Y$45="Muy Alta",'Riesgos de gestión'!$AA$45="Catastrófico"),CONCATENATE("R6C",'Riesgos de gestión'!$O$45),"")</f>
        <v/>
      </c>
      <c r="AN11" s="83"/>
      <c r="AO11" s="1228"/>
      <c r="AP11" s="1229"/>
      <c r="AQ11" s="1229"/>
      <c r="AR11" s="1229"/>
      <c r="AS11" s="1229"/>
      <c r="AT11" s="1230"/>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row>
    <row r="12" spans="1:91" ht="15" customHeight="1" x14ac:dyDescent="0.25">
      <c r="A12" s="83"/>
      <c r="B12" s="1123"/>
      <c r="C12" s="1123"/>
      <c r="D12" s="1124"/>
      <c r="E12" s="1222"/>
      <c r="F12" s="1221"/>
      <c r="G12" s="1221"/>
      <c r="H12" s="1221"/>
      <c r="I12" s="1237"/>
      <c r="J12" s="52" t="str">
        <f>IF(AND('Riesgos de gestión'!$Y$46="Muy Alta",'Riesgos de gestión'!$AA$46="Leve"),CONCATENATE("R7C",'Riesgos de gestión'!$O$46),"")</f>
        <v/>
      </c>
      <c r="K12" s="53" t="str">
        <f>IF(AND('Riesgos de gestión'!$Y$47="Muy Alta",'Riesgos de gestión'!$AA$47="Leve"),CONCATENATE("R7C",'Riesgos de gestión'!$O$47),"")</f>
        <v/>
      </c>
      <c r="L12" s="53" t="str">
        <f>IF(AND('Riesgos de gestión'!$Y$48="Muy Alta",'Riesgos de gestión'!$AA$48="Leve"),CONCATENATE("R7C",'Riesgos de gestión'!$O$48),"")</f>
        <v/>
      </c>
      <c r="M12" s="53" t="str">
        <f>IF(AND('Riesgos de gestión'!$Y$49="Muy Alta",'Riesgos de gestión'!$AA$49="Leve"),CONCATENATE("R7C",'Riesgos de gestión'!$O$49),"")</f>
        <v/>
      </c>
      <c r="N12" s="53" t="str">
        <f>IF(AND('Riesgos de gestión'!$Y$50="Muy Alta",'Riesgos de gestión'!$AA$50="Leve"),CONCATENATE("R7C",'Riesgos de gestión'!$O$50),"")</f>
        <v/>
      </c>
      <c r="O12" s="54" t="str">
        <f>IF(AND('Riesgos de gestión'!$Y$51="Muy Alta",'Riesgos de gestión'!$AA$51="Leve"),CONCATENATE("R7C",'Riesgos de gestión'!$O$51),"")</f>
        <v/>
      </c>
      <c r="P12" s="52" t="str">
        <f>IF(AND('Riesgos de gestión'!$Y$46="Muy Alta",'Riesgos de gestión'!$AA$46="Menor"),CONCATENATE("R7C",'Riesgos de gestión'!$O$46),"")</f>
        <v/>
      </c>
      <c r="Q12" s="53" t="str">
        <f>IF(AND('Riesgos de gestión'!$Y$47="Muy Alta",'Riesgos de gestión'!$AA$47="Menor"),CONCATENATE("R7C",'Riesgos de gestión'!$O$47),"")</f>
        <v/>
      </c>
      <c r="R12" s="53" t="str">
        <f>IF(AND('Riesgos de gestión'!$Y$48="Muy Alta",'Riesgos de gestión'!$AA$48="Menor"),CONCATENATE("R7C",'Riesgos de gestión'!$O$48),"")</f>
        <v/>
      </c>
      <c r="S12" s="53" t="str">
        <f>IF(AND('Riesgos de gestión'!$Y$49="Muy Alta",'Riesgos de gestión'!$AA$49="Menor"),CONCATENATE("R7C",'Riesgos de gestión'!$O$49),"")</f>
        <v/>
      </c>
      <c r="T12" s="53" t="str">
        <f>IF(AND('Riesgos de gestión'!$Y$50="Muy Alta",'Riesgos de gestión'!$AA$50="Menor"),CONCATENATE("R7C",'Riesgos de gestión'!$O$50),"")</f>
        <v/>
      </c>
      <c r="U12" s="54" t="str">
        <f>IF(AND('Riesgos de gestión'!$Y$51="Muy Alta",'Riesgos de gestión'!$AA$51="Menor"),CONCATENATE("R7C",'Riesgos de gestión'!$O$51),"")</f>
        <v/>
      </c>
      <c r="V12" s="52" t="str">
        <f>IF(AND('Riesgos de gestión'!$Y$46="Muy Alta",'Riesgos de gestión'!$AA$46="Moderado"),CONCATENATE("R7C",'Riesgos de gestión'!$O$46),"")</f>
        <v/>
      </c>
      <c r="W12" s="53" t="str">
        <f>IF(AND('Riesgos de gestión'!$Y$47="Muy Alta",'Riesgos de gestión'!$AA$47="Moderado"),CONCATENATE("R7C",'Riesgos de gestión'!$O$47),"")</f>
        <v/>
      </c>
      <c r="X12" s="53" t="str">
        <f>IF(AND('Riesgos de gestión'!$Y$48="Muy Alta",'Riesgos de gestión'!$AA$48="Moderado"),CONCATENATE("R7C",'Riesgos de gestión'!$O$48),"")</f>
        <v/>
      </c>
      <c r="Y12" s="53" t="str">
        <f>IF(AND('Riesgos de gestión'!$Y$49="Muy Alta",'Riesgos de gestión'!$AA$49="Moderado"),CONCATENATE("R7C",'Riesgos de gestión'!$O$49),"")</f>
        <v/>
      </c>
      <c r="Z12" s="53" t="str">
        <f>IF(AND('Riesgos de gestión'!$Y$50="Muy Alta",'Riesgos de gestión'!$AA$50="Moderado"),CONCATENATE("R7C",'Riesgos de gestión'!$O$50),"")</f>
        <v/>
      </c>
      <c r="AA12" s="54" t="str">
        <f>IF(AND('Riesgos de gestión'!$Y$51="Muy Alta",'Riesgos de gestión'!$AA$51="Moderado"),CONCATENATE("R7C",'Riesgos de gestión'!$O$51),"")</f>
        <v/>
      </c>
      <c r="AB12" s="52" t="str">
        <f>IF(AND('Riesgos de gestión'!$Y$46="Muy Alta",'Riesgos de gestión'!$AA$46="Mayor"),CONCATENATE("R7C",'Riesgos de gestión'!$O$46),"")</f>
        <v/>
      </c>
      <c r="AC12" s="53" t="str">
        <f>IF(AND('Riesgos de gestión'!$Y$47="Muy Alta",'Riesgos de gestión'!$AA$47="Mayor"),CONCATENATE("R7C",'Riesgos de gestión'!$O$47),"")</f>
        <v/>
      </c>
      <c r="AD12" s="53" t="str">
        <f>IF(AND('Riesgos de gestión'!$Y$48="Muy Alta",'Riesgos de gestión'!$AA$48="Mayor"),CONCATENATE("R7C",'Riesgos de gestión'!$O$48),"")</f>
        <v/>
      </c>
      <c r="AE12" s="53" t="str">
        <f>IF(AND('Riesgos de gestión'!$Y$49="Muy Alta",'Riesgos de gestión'!$AA$49="Mayor"),CONCATENATE("R7C",'Riesgos de gestión'!$O$49),"")</f>
        <v/>
      </c>
      <c r="AF12" s="53" t="str">
        <f>IF(AND('Riesgos de gestión'!$Y$50="Muy Alta",'Riesgos de gestión'!$AA$50="Mayor"),CONCATENATE("R7C",'Riesgos de gestión'!$O$50),"")</f>
        <v/>
      </c>
      <c r="AG12" s="54" t="str">
        <f>IF(AND('Riesgos de gestión'!$Y$51="Muy Alta",'Riesgos de gestión'!$AA$51="Mayor"),CONCATENATE("R7C",'Riesgos de gestión'!$O$51),"")</f>
        <v/>
      </c>
      <c r="AH12" s="55" t="str">
        <f>IF(AND('Riesgos de gestión'!$Y$46="Muy Alta",'Riesgos de gestión'!$AA$46="Catastrófico"),CONCATENATE("R7C",'Riesgos de gestión'!$O$46),"")</f>
        <v/>
      </c>
      <c r="AI12" s="56" t="str">
        <f>IF(AND('Riesgos de gestión'!$Y$47="Muy Alta",'Riesgos de gestión'!$AA$47="Catastrófico"),CONCATENATE("R7C",'Riesgos de gestión'!$O$47),"")</f>
        <v/>
      </c>
      <c r="AJ12" s="56" t="str">
        <f>IF(AND('Riesgos de gestión'!$Y$48="Muy Alta",'Riesgos de gestión'!$AA$48="Catastrófico"),CONCATENATE("R7C",'Riesgos de gestión'!$O$48),"")</f>
        <v/>
      </c>
      <c r="AK12" s="56" t="str">
        <f>IF(AND('Riesgos de gestión'!$Y$49="Muy Alta",'Riesgos de gestión'!$AA$49="Catastrófico"),CONCATENATE("R7C",'Riesgos de gestión'!$O$49),"")</f>
        <v/>
      </c>
      <c r="AL12" s="56" t="str">
        <f>IF(AND('Riesgos de gestión'!$Y$50="Muy Alta",'Riesgos de gestión'!$AA$50="Catastrófico"),CONCATENATE("R7C",'Riesgos de gestión'!$O$50),"")</f>
        <v/>
      </c>
      <c r="AM12" s="57" t="str">
        <f>IF(AND('Riesgos de gestión'!$Y$51="Muy Alta",'Riesgos de gestión'!$AA$51="Catastrófico"),CONCATENATE("R7C",'Riesgos de gestión'!$O$51),"")</f>
        <v/>
      </c>
      <c r="AN12" s="83"/>
      <c r="AO12" s="1228"/>
      <c r="AP12" s="1229"/>
      <c r="AQ12" s="1229"/>
      <c r="AR12" s="1229"/>
      <c r="AS12" s="1229"/>
      <c r="AT12" s="1230"/>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row>
    <row r="13" spans="1:91" ht="15" customHeight="1" x14ac:dyDescent="0.25">
      <c r="A13" s="83"/>
      <c r="B13" s="1123"/>
      <c r="C13" s="1123"/>
      <c r="D13" s="1124"/>
      <c r="E13" s="1222"/>
      <c r="F13" s="1221"/>
      <c r="G13" s="1221"/>
      <c r="H13" s="1221"/>
      <c r="I13" s="1237"/>
      <c r="J13" s="52" t="str">
        <f>IF(AND('Riesgos de gestión'!$Y$52="Muy Alta",'Riesgos de gestión'!$AA$52="Leve"),CONCATENATE("R8C",'Riesgos de gestión'!$O$52),"")</f>
        <v/>
      </c>
      <c r="K13" s="53" t="str">
        <f>IF(AND('Riesgos de gestión'!$Y$53="Muy Alta",'Riesgos de gestión'!$AA$53="Leve"),CONCATENATE("R8C",'Riesgos de gestión'!$O$53),"")</f>
        <v/>
      </c>
      <c r="L13" s="53" t="str">
        <f>IF(AND('Riesgos de gestión'!$Y$54="Muy Alta",'Riesgos de gestión'!$AA$54="Leve"),CONCATENATE("R8C",'Riesgos de gestión'!$O$54),"")</f>
        <v/>
      </c>
      <c r="M13" s="53" t="str">
        <f>IF(AND('Riesgos de gestión'!$Y$55="Muy Alta",'Riesgos de gestión'!$AA$55="Leve"),CONCATENATE("R8C",'Riesgos de gestión'!$O$55),"")</f>
        <v/>
      </c>
      <c r="N13" s="53" t="str">
        <f>IF(AND('Riesgos de gestión'!$Y$56="Muy Alta",'Riesgos de gestión'!$AA$56="Leve"),CONCATENATE("R8C",'Riesgos de gestión'!$O$56),"")</f>
        <v/>
      </c>
      <c r="O13" s="54" t="str">
        <f>IF(AND('Riesgos de gestión'!$Y$57="Muy Alta",'Riesgos de gestión'!$AA$57="Leve"),CONCATENATE("R8C",'Riesgos de gestión'!$O$57),"")</f>
        <v/>
      </c>
      <c r="P13" s="52" t="str">
        <f>IF(AND('Riesgos de gestión'!$Y$52="Muy Alta",'Riesgos de gestión'!$AA$52="Menor"),CONCATENATE("R8C",'Riesgos de gestión'!$O$52),"")</f>
        <v/>
      </c>
      <c r="Q13" s="53" t="str">
        <f>IF(AND('Riesgos de gestión'!$Y$53="Muy Alta",'Riesgos de gestión'!$AA$53="Menor"),CONCATENATE("R8C",'Riesgos de gestión'!$O$53),"")</f>
        <v/>
      </c>
      <c r="R13" s="53" t="str">
        <f>IF(AND('Riesgos de gestión'!$Y$54="Muy Alta",'Riesgos de gestión'!$AA$54="Menor"),CONCATENATE("R8C",'Riesgos de gestión'!$O$54),"")</f>
        <v/>
      </c>
      <c r="S13" s="53" t="str">
        <f>IF(AND('Riesgos de gestión'!$Y$55="Muy Alta",'Riesgos de gestión'!$AA$55="Menor"),CONCATENATE("R8C",'Riesgos de gestión'!$O$55),"")</f>
        <v/>
      </c>
      <c r="T13" s="53" t="str">
        <f>IF(AND('Riesgos de gestión'!$Y$56="Muy Alta",'Riesgos de gestión'!$AA$56="Menor"),CONCATENATE("R8C",'Riesgos de gestión'!$O$56),"")</f>
        <v/>
      </c>
      <c r="U13" s="54" t="str">
        <f>IF(AND('Riesgos de gestión'!$Y$57="Muy Alta",'Riesgos de gestión'!$AA$57="Menor"),CONCATENATE("R8C",'Riesgos de gestión'!$O$57),"")</f>
        <v/>
      </c>
      <c r="V13" s="52" t="str">
        <f>IF(AND('Riesgos de gestión'!$Y$52="Muy Alta",'Riesgos de gestión'!$AA$52="Moderado"),CONCATENATE("R8C",'Riesgos de gestión'!$O$52),"")</f>
        <v/>
      </c>
      <c r="W13" s="53" t="str">
        <f>IF(AND('Riesgos de gestión'!$Y$53="Muy Alta",'Riesgos de gestión'!$AA$53="Moderado"),CONCATENATE("R8C",'Riesgos de gestión'!$O$53),"")</f>
        <v/>
      </c>
      <c r="X13" s="53" t="str">
        <f>IF(AND('Riesgos de gestión'!$Y$54="Muy Alta",'Riesgos de gestión'!$AA$54="Moderado"),CONCATENATE("R8C",'Riesgos de gestión'!$O$54),"")</f>
        <v/>
      </c>
      <c r="Y13" s="53" t="str">
        <f>IF(AND('Riesgos de gestión'!$Y$55="Muy Alta",'Riesgos de gestión'!$AA$55="Moderado"),CONCATENATE("R8C",'Riesgos de gestión'!$O$55),"")</f>
        <v/>
      </c>
      <c r="Z13" s="53" t="str">
        <f>IF(AND('Riesgos de gestión'!$Y$56="Muy Alta",'Riesgos de gestión'!$AA$56="Moderado"),CONCATENATE("R8C",'Riesgos de gestión'!$O$56),"")</f>
        <v/>
      </c>
      <c r="AA13" s="54" t="str">
        <f>IF(AND('Riesgos de gestión'!$Y$57="Muy Alta",'Riesgos de gestión'!$AA$57="Moderado"),CONCATENATE("R8C",'Riesgos de gestión'!$O$57),"")</f>
        <v/>
      </c>
      <c r="AB13" s="52" t="str">
        <f>IF(AND('Riesgos de gestión'!$Y$52="Muy Alta",'Riesgos de gestión'!$AA$52="Mayor"),CONCATENATE("R8C",'Riesgos de gestión'!$O$52),"")</f>
        <v/>
      </c>
      <c r="AC13" s="53" t="str">
        <f>IF(AND('Riesgos de gestión'!$Y$53="Muy Alta",'Riesgos de gestión'!$AA$53="Mayor"),CONCATENATE("R8C",'Riesgos de gestión'!$O$53),"")</f>
        <v/>
      </c>
      <c r="AD13" s="53" t="str">
        <f>IF(AND('Riesgos de gestión'!$Y$54="Muy Alta",'Riesgos de gestión'!$AA$54="Mayor"),CONCATENATE("R8C",'Riesgos de gestión'!$O$54),"")</f>
        <v/>
      </c>
      <c r="AE13" s="53" t="str">
        <f>IF(AND('Riesgos de gestión'!$Y$55="Muy Alta",'Riesgos de gestión'!$AA$55="Mayor"),CONCATENATE("R8C",'Riesgos de gestión'!$O$55),"")</f>
        <v/>
      </c>
      <c r="AF13" s="53" t="str">
        <f>IF(AND('Riesgos de gestión'!$Y$56="Muy Alta",'Riesgos de gestión'!$AA$56="Mayor"),CONCATENATE("R8C",'Riesgos de gestión'!$O$56),"")</f>
        <v/>
      </c>
      <c r="AG13" s="54" t="str">
        <f>IF(AND('Riesgos de gestión'!$Y$57="Muy Alta",'Riesgos de gestión'!$AA$57="Mayor"),CONCATENATE("R8C",'Riesgos de gestión'!$O$57),"")</f>
        <v/>
      </c>
      <c r="AH13" s="55" t="str">
        <f>IF(AND('Riesgos de gestión'!$Y$52="Muy Alta",'Riesgos de gestión'!$AA$52="Catastrófico"),CONCATENATE("R8C",'Riesgos de gestión'!$O$52),"")</f>
        <v/>
      </c>
      <c r="AI13" s="56" t="str">
        <f>IF(AND('Riesgos de gestión'!$Y$53="Muy Alta",'Riesgos de gestión'!$AA$53="Catastrófico"),CONCATENATE("R8C",'Riesgos de gestión'!$O$53),"")</f>
        <v/>
      </c>
      <c r="AJ13" s="56" t="str">
        <f>IF(AND('Riesgos de gestión'!$Y$54="Muy Alta",'Riesgos de gestión'!$AA$54="Catastrófico"),CONCATENATE("R8C",'Riesgos de gestión'!$O$54),"")</f>
        <v/>
      </c>
      <c r="AK13" s="56" t="str">
        <f>IF(AND('Riesgos de gestión'!$Y$55="Muy Alta",'Riesgos de gestión'!$AA$55="Catastrófico"),CONCATENATE("R8C",'Riesgos de gestión'!$O$55),"")</f>
        <v/>
      </c>
      <c r="AL13" s="56" t="str">
        <f>IF(AND('Riesgos de gestión'!$Y$56="Muy Alta",'Riesgos de gestión'!$AA$56="Catastrófico"),CONCATENATE("R8C",'Riesgos de gestión'!$O$56),"")</f>
        <v/>
      </c>
      <c r="AM13" s="57" t="str">
        <f>IF(AND('Riesgos de gestión'!$Y$57="Muy Alta",'Riesgos de gestión'!$AA$57="Catastrófico"),CONCATENATE("R8C",'Riesgos de gestión'!$O$57),"")</f>
        <v/>
      </c>
      <c r="AN13" s="83"/>
      <c r="AO13" s="1228"/>
      <c r="AP13" s="1229"/>
      <c r="AQ13" s="1229"/>
      <c r="AR13" s="1229"/>
      <c r="AS13" s="1229"/>
      <c r="AT13" s="1230"/>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row>
    <row r="14" spans="1:91" ht="15" customHeight="1" x14ac:dyDescent="0.25">
      <c r="A14" s="83"/>
      <c r="B14" s="1123"/>
      <c r="C14" s="1123"/>
      <c r="D14" s="1124"/>
      <c r="E14" s="1222"/>
      <c r="F14" s="1221"/>
      <c r="G14" s="1221"/>
      <c r="H14" s="1221"/>
      <c r="I14" s="1237"/>
      <c r="J14" s="52" t="str">
        <f>IF(AND('Riesgos de gestión'!$Y$58="Muy Alta",'Riesgos de gestión'!$AA$58="Leve"),CONCATENATE("R9C",'Riesgos de gestión'!$O$58),"")</f>
        <v/>
      </c>
      <c r="K14" s="53" t="str">
        <f>IF(AND('Riesgos de gestión'!$Y$59="Muy Alta",'Riesgos de gestión'!$AA$59="Leve"),CONCATENATE("R9C",'Riesgos de gestión'!$O$59),"")</f>
        <v/>
      </c>
      <c r="L14" s="53" t="str">
        <f>IF(AND('Riesgos de gestión'!$Y$60="Muy Alta",'Riesgos de gestión'!$AA$60="Leve"),CONCATENATE("R9C",'Riesgos de gestión'!$O$60),"")</f>
        <v/>
      </c>
      <c r="M14" s="53" t="str">
        <f>IF(AND('Riesgos de gestión'!$Y$61="Muy Alta",'Riesgos de gestión'!$AA$61="Leve"),CONCATENATE("R9C",'Riesgos de gestión'!$O$61),"")</f>
        <v/>
      </c>
      <c r="N14" s="53" t="str">
        <f>IF(AND('Riesgos de gestión'!$Y$62="Muy Alta",'Riesgos de gestión'!$AA$62="Leve"),CONCATENATE("R9C",'Riesgos de gestión'!$O$62),"")</f>
        <v/>
      </c>
      <c r="O14" s="54" t="str">
        <f>IF(AND('Riesgos de gestión'!$Y$63="Muy Alta",'Riesgos de gestión'!$AA$63="Leve"),CONCATENATE("R9C",'Riesgos de gestión'!$O$63),"")</f>
        <v/>
      </c>
      <c r="P14" s="52" t="str">
        <f>IF(AND('Riesgos de gestión'!$Y$58="Muy Alta",'Riesgos de gestión'!$AA$58="Menor"),CONCATENATE("R9C",'Riesgos de gestión'!$O$58),"")</f>
        <v/>
      </c>
      <c r="Q14" s="53" t="str">
        <f>IF(AND('Riesgos de gestión'!$Y$59="Muy Alta",'Riesgos de gestión'!$AA$59="Menor"),CONCATENATE("R9C",'Riesgos de gestión'!$O$59),"")</f>
        <v/>
      </c>
      <c r="R14" s="53" t="str">
        <f>IF(AND('Riesgos de gestión'!$Y$60="Muy Alta",'Riesgos de gestión'!$AA$60="Menor"),CONCATENATE("R9C",'Riesgos de gestión'!$O$60),"")</f>
        <v/>
      </c>
      <c r="S14" s="53" t="str">
        <f>IF(AND('Riesgos de gestión'!$Y$61="Muy Alta",'Riesgos de gestión'!$AA$61="Menor"),CONCATENATE("R9C",'Riesgos de gestión'!$O$61),"")</f>
        <v/>
      </c>
      <c r="T14" s="53" t="str">
        <f>IF(AND('Riesgos de gestión'!$Y$62="Muy Alta",'Riesgos de gestión'!$AA$62="Menor"),CONCATENATE("R9C",'Riesgos de gestión'!$O$62),"")</f>
        <v/>
      </c>
      <c r="U14" s="54" t="str">
        <f>IF(AND('Riesgos de gestión'!$Y$63="Muy Alta",'Riesgos de gestión'!$AA$63="Menor"),CONCATENATE("R9C",'Riesgos de gestión'!$O$63),"")</f>
        <v/>
      </c>
      <c r="V14" s="52" t="str">
        <f>IF(AND('Riesgos de gestión'!$Y$58="Muy Alta",'Riesgos de gestión'!$AA$58="Moderado"),CONCATENATE("R9C",'Riesgos de gestión'!$O$58),"")</f>
        <v/>
      </c>
      <c r="W14" s="53" t="str">
        <f>IF(AND('Riesgos de gestión'!$Y$59="Muy Alta",'Riesgos de gestión'!$AA$59="Moderado"),CONCATENATE("R9C",'Riesgos de gestión'!$O$59),"")</f>
        <v/>
      </c>
      <c r="X14" s="53" t="str">
        <f>IF(AND('Riesgos de gestión'!$Y$60="Muy Alta",'Riesgos de gestión'!$AA$60="Moderado"),CONCATENATE("R9C",'Riesgos de gestión'!$O$60),"")</f>
        <v/>
      </c>
      <c r="Y14" s="53" t="str">
        <f>IF(AND('Riesgos de gestión'!$Y$61="Muy Alta",'Riesgos de gestión'!$AA$61="Moderado"),CONCATENATE("R9C",'Riesgos de gestión'!$O$61),"")</f>
        <v/>
      </c>
      <c r="Z14" s="53" t="str">
        <f>IF(AND('Riesgos de gestión'!$Y$62="Muy Alta",'Riesgos de gestión'!$AA$62="Moderado"),CONCATENATE("R9C",'Riesgos de gestión'!$O$62),"")</f>
        <v/>
      </c>
      <c r="AA14" s="54" t="str">
        <f>IF(AND('Riesgos de gestión'!$Y$63="Muy Alta",'Riesgos de gestión'!$AA$63="Moderado"),CONCATENATE("R9C",'Riesgos de gestión'!$O$63),"")</f>
        <v/>
      </c>
      <c r="AB14" s="52" t="str">
        <f>IF(AND('Riesgos de gestión'!$Y$58="Muy Alta",'Riesgos de gestión'!$AA$58="Mayor"),CONCATENATE("R9C",'Riesgos de gestión'!$O$58),"")</f>
        <v/>
      </c>
      <c r="AC14" s="53" t="str">
        <f>IF(AND('Riesgos de gestión'!$Y$59="Muy Alta",'Riesgos de gestión'!$AA$59="Mayor"),CONCATENATE("R9C",'Riesgos de gestión'!$O$59),"")</f>
        <v/>
      </c>
      <c r="AD14" s="53" t="str">
        <f>IF(AND('Riesgos de gestión'!$Y$60="Muy Alta",'Riesgos de gestión'!$AA$60="Mayor"),CONCATENATE("R9C",'Riesgos de gestión'!$O$60),"")</f>
        <v/>
      </c>
      <c r="AE14" s="53" t="str">
        <f>IF(AND('Riesgos de gestión'!$Y$61="Muy Alta",'Riesgos de gestión'!$AA$61="Mayor"),CONCATENATE("R9C",'Riesgos de gestión'!$O$61),"")</f>
        <v/>
      </c>
      <c r="AF14" s="53" t="str">
        <f>IF(AND('Riesgos de gestión'!$Y$62="Muy Alta",'Riesgos de gestión'!$AA$62="Mayor"),CONCATENATE("R9C",'Riesgos de gestión'!$O$62),"")</f>
        <v/>
      </c>
      <c r="AG14" s="54" t="str">
        <f>IF(AND('Riesgos de gestión'!$Y$63="Muy Alta",'Riesgos de gestión'!$AA$63="Mayor"),CONCATENATE("R9C",'Riesgos de gestión'!$O$63),"")</f>
        <v/>
      </c>
      <c r="AH14" s="55" t="str">
        <f>IF(AND('Riesgos de gestión'!$Y$58="Muy Alta",'Riesgos de gestión'!$AA$58="Catastrófico"),CONCATENATE("R9C",'Riesgos de gestión'!$O$58),"")</f>
        <v/>
      </c>
      <c r="AI14" s="56" t="str">
        <f>IF(AND('Riesgos de gestión'!$Y$59="Muy Alta",'Riesgos de gestión'!$AA$59="Catastrófico"),CONCATENATE("R9C",'Riesgos de gestión'!$O$59),"")</f>
        <v/>
      </c>
      <c r="AJ14" s="56" t="str">
        <f>IF(AND('Riesgos de gestión'!$Y$60="Muy Alta",'Riesgos de gestión'!$AA$60="Catastrófico"),CONCATENATE("R9C",'Riesgos de gestión'!$O$60),"")</f>
        <v/>
      </c>
      <c r="AK14" s="56" t="str">
        <f>IF(AND('Riesgos de gestión'!$Y$61="Muy Alta",'Riesgos de gestión'!$AA$61="Catastrófico"),CONCATENATE("R9C",'Riesgos de gestión'!$O$61),"")</f>
        <v/>
      </c>
      <c r="AL14" s="56" t="str">
        <f>IF(AND('Riesgos de gestión'!$Y$62="Muy Alta",'Riesgos de gestión'!$AA$62="Catastrófico"),CONCATENATE("R9C",'Riesgos de gestión'!$O$62),"")</f>
        <v/>
      </c>
      <c r="AM14" s="57" t="str">
        <f>IF(AND('Riesgos de gestión'!$Y$63="Muy Alta",'Riesgos de gestión'!$AA$63="Catastrófico"),CONCATENATE("R9C",'Riesgos de gestión'!$O$63),"")</f>
        <v/>
      </c>
      <c r="AN14" s="83"/>
      <c r="AO14" s="1228"/>
      <c r="AP14" s="1229"/>
      <c r="AQ14" s="1229"/>
      <c r="AR14" s="1229"/>
      <c r="AS14" s="1229"/>
      <c r="AT14" s="1230"/>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row>
    <row r="15" spans="1:91" ht="15.75" customHeight="1" thickBot="1" x14ac:dyDescent="0.3">
      <c r="A15" s="83"/>
      <c r="B15" s="1123"/>
      <c r="C15" s="1123"/>
      <c r="D15" s="1124"/>
      <c r="E15" s="1223"/>
      <c r="F15" s="1224"/>
      <c r="G15" s="1224"/>
      <c r="H15" s="1224"/>
      <c r="I15" s="1238"/>
      <c r="J15" s="58" t="str">
        <f>IF(AND('Riesgos de gestión'!$Y$64="Muy Alta",'Riesgos de gestión'!$AA$64="Leve"),CONCATENATE("R10C",'Riesgos de gestión'!$O$64),"")</f>
        <v/>
      </c>
      <c r="K15" s="59" t="str">
        <f>IF(AND('Riesgos de gestión'!$Y$65="Muy Alta",'Riesgos de gestión'!$AA$65="Leve"),CONCATENATE("R10C",'Riesgos de gestión'!$O$65),"")</f>
        <v/>
      </c>
      <c r="L15" s="59" t="str">
        <f>IF(AND('Riesgos de gestión'!$Y$66="Muy Alta",'Riesgos de gestión'!$AA$66="Leve"),CONCATENATE("R10C",'Riesgos de gestión'!$O$66),"")</f>
        <v/>
      </c>
      <c r="M15" s="59" t="str">
        <f>IF(AND('Riesgos de gestión'!$Y$67="Muy Alta",'Riesgos de gestión'!$AA$67="Leve"),CONCATENATE("R10C",'Riesgos de gestión'!$O$67),"")</f>
        <v/>
      </c>
      <c r="N15" s="59" t="str">
        <f>IF(AND('Riesgos de gestión'!$Y$68="Muy Alta",'Riesgos de gestión'!$AA$68="Leve"),CONCATENATE("R10C",'Riesgos de gestión'!$O$68),"")</f>
        <v/>
      </c>
      <c r="O15" s="60" t="str">
        <f>IF(AND('Riesgos de gestión'!$Y$69="Muy Alta",'Riesgos de gestión'!$AA$69="Leve"),CONCATENATE("R10C",'Riesgos de gestión'!$O$69),"")</f>
        <v/>
      </c>
      <c r="P15" s="52" t="str">
        <f>IF(AND('Riesgos de gestión'!$Y$64="Muy Alta",'Riesgos de gestión'!$AA$64="Menor"),CONCATENATE("R10C",'Riesgos de gestión'!$O$64),"")</f>
        <v/>
      </c>
      <c r="Q15" s="53" t="str">
        <f>IF(AND('Riesgos de gestión'!$Y$65="Muy Alta",'Riesgos de gestión'!$AA$65="Menor"),CONCATENATE("R10C",'Riesgos de gestión'!$O$65),"")</f>
        <v/>
      </c>
      <c r="R15" s="53" t="str">
        <f>IF(AND('Riesgos de gestión'!$Y$66="Muy Alta",'Riesgos de gestión'!$AA$66="Menor"),CONCATENATE("R10C",'Riesgos de gestión'!$O$66),"")</f>
        <v/>
      </c>
      <c r="S15" s="53" t="str">
        <f>IF(AND('Riesgos de gestión'!$Y$67="Muy Alta",'Riesgos de gestión'!$AA$67="Menor"),CONCATENATE("R10C",'Riesgos de gestión'!$O$67),"")</f>
        <v/>
      </c>
      <c r="T15" s="53" t="str">
        <f>IF(AND('Riesgos de gestión'!$Y$68="Muy Alta",'Riesgos de gestión'!$AA$68="Menor"),CONCATENATE("R10C",'Riesgos de gestión'!$O$68),"")</f>
        <v/>
      </c>
      <c r="U15" s="54" t="str">
        <f>IF(AND('Riesgos de gestión'!$Y$69="Muy Alta",'Riesgos de gestión'!$AA$69="Menor"),CONCATENATE("R10C",'Riesgos de gestión'!$O$69),"")</f>
        <v/>
      </c>
      <c r="V15" s="58" t="str">
        <f>IF(AND('Riesgos de gestión'!$Y$64="Muy Alta",'Riesgos de gestión'!$AA$64="Moderado"),CONCATENATE("R10C",'Riesgos de gestión'!$O$64),"")</f>
        <v/>
      </c>
      <c r="W15" s="59" t="str">
        <f>IF(AND('Riesgos de gestión'!$Y$65="Muy Alta",'Riesgos de gestión'!$AA$65="Moderado"),CONCATENATE("R10C",'Riesgos de gestión'!$O$65),"")</f>
        <v/>
      </c>
      <c r="X15" s="59" t="str">
        <f>IF(AND('Riesgos de gestión'!$Y$66="Muy Alta",'Riesgos de gestión'!$AA$66="Moderado"),CONCATENATE("R10C",'Riesgos de gestión'!$O$66),"")</f>
        <v/>
      </c>
      <c r="Y15" s="59" t="str">
        <f>IF(AND('Riesgos de gestión'!$Y$67="Muy Alta",'Riesgos de gestión'!$AA$67="Moderado"),CONCATENATE("R10C",'Riesgos de gestión'!$O$67),"")</f>
        <v/>
      </c>
      <c r="Z15" s="59" t="str">
        <f>IF(AND('Riesgos de gestión'!$Y$68="Muy Alta",'Riesgos de gestión'!$AA$68="Moderado"),CONCATENATE("R10C",'Riesgos de gestión'!$O$68),"")</f>
        <v/>
      </c>
      <c r="AA15" s="60" t="str">
        <f>IF(AND('Riesgos de gestión'!$Y$69="Muy Alta",'Riesgos de gestión'!$AA$69="Moderado"),CONCATENATE("R10C",'Riesgos de gestión'!$O$69),"")</f>
        <v/>
      </c>
      <c r="AB15" s="52" t="str">
        <f>IF(AND('Riesgos de gestión'!$Y$64="Muy Alta",'Riesgos de gestión'!$AA$64="Mayor"),CONCATENATE("R10C",'Riesgos de gestión'!$O$64),"")</f>
        <v/>
      </c>
      <c r="AC15" s="53" t="str">
        <f>IF(AND('Riesgos de gestión'!$Y$65="Muy Alta",'Riesgos de gestión'!$AA$65="Mayor"),CONCATENATE("R10C",'Riesgos de gestión'!$O$65),"")</f>
        <v/>
      </c>
      <c r="AD15" s="53" t="str">
        <f>IF(AND('Riesgos de gestión'!$Y$66="Muy Alta",'Riesgos de gestión'!$AA$66="Mayor"),CONCATENATE("R10C",'Riesgos de gestión'!$O$66),"")</f>
        <v/>
      </c>
      <c r="AE15" s="53" t="str">
        <f>IF(AND('Riesgos de gestión'!$Y$67="Muy Alta",'Riesgos de gestión'!$AA$67="Mayor"),CONCATENATE("R10C",'Riesgos de gestión'!$O$67),"")</f>
        <v/>
      </c>
      <c r="AF15" s="53" t="str">
        <f>IF(AND('Riesgos de gestión'!$Y$68="Muy Alta",'Riesgos de gestión'!$AA$68="Mayor"),CONCATENATE("R10C",'Riesgos de gestión'!$O$68),"")</f>
        <v/>
      </c>
      <c r="AG15" s="54" t="str">
        <f>IF(AND('Riesgos de gestión'!$Y$69="Muy Alta",'Riesgos de gestión'!$AA$69="Mayor"),CONCATENATE("R10C",'Riesgos de gestión'!$O$69),"")</f>
        <v/>
      </c>
      <c r="AH15" s="61" t="str">
        <f>IF(AND('Riesgos de gestión'!$Y$64="Muy Alta",'Riesgos de gestión'!$AA$64="Catastrófico"),CONCATENATE("R10C",'Riesgos de gestión'!$O$64),"")</f>
        <v/>
      </c>
      <c r="AI15" s="62" t="str">
        <f>IF(AND('Riesgos de gestión'!$Y$65="Muy Alta",'Riesgos de gestión'!$AA$65="Catastrófico"),CONCATENATE("R10C",'Riesgos de gestión'!$O$65),"")</f>
        <v/>
      </c>
      <c r="AJ15" s="62" t="str">
        <f>IF(AND('Riesgos de gestión'!$Y$66="Muy Alta",'Riesgos de gestión'!$AA$66="Catastrófico"),CONCATENATE("R10C",'Riesgos de gestión'!$O$66),"")</f>
        <v/>
      </c>
      <c r="AK15" s="62" t="str">
        <f>IF(AND('Riesgos de gestión'!$Y$67="Muy Alta",'Riesgos de gestión'!$AA$67="Catastrófico"),CONCATENATE("R10C",'Riesgos de gestión'!$O$67),"")</f>
        <v/>
      </c>
      <c r="AL15" s="62" t="str">
        <f>IF(AND('Riesgos de gestión'!$Y$68="Muy Alta",'Riesgos de gestión'!$AA$68="Catastrófico"),CONCATENATE("R10C",'Riesgos de gestión'!$O$68),"")</f>
        <v/>
      </c>
      <c r="AM15" s="63" t="str">
        <f>IF(AND('Riesgos de gestión'!$Y$69="Muy Alta",'Riesgos de gestión'!$AA$69="Catastrófico"),CONCATENATE("R10C",'Riesgos de gestión'!$O$69),"")</f>
        <v/>
      </c>
      <c r="AN15" s="83"/>
      <c r="AO15" s="1231"/>
      <c r="AP15" s="1232"/>
      <c r="AQ15" s="1232"/>
      <c r="AR15" s="1232"/>
      <c r="AS15" s="1232"/>
      <c r="AT15" s="123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row>
    <row r="16" spans="1:91" ht="15" customHeight="1" x14ac:dyDescent="0.25">
      <c r="A16" s="83"/>
      <c r="B16" s="1123"/>
      <c r="C16" s="1123"/>
      <c r="D16" s="1124"/>
      <c r="E16" s="1218" t="s">
        <v>115</v>
      </c>
      <c r="F16" s="1219"/>
      <c r="G16" s="1219"/>
      <c r="H16" s="1219"/>
      <c r="I16" s="1219"/>
      <c r="J16" s="64" t="str">
        <f ca="1">IF(AND('Riesgos de gestión'!$Y$10="Alta",'Riesgos de gestión'!$AA$10="Leve"),CONCATENATE("R1C",'Riesgos de gestión'!$O$10),"")</f>
        <v/>
      </c>
      <c r="K16" s="65" t="str">
        <f>IF(AND('Riesgos de gestión'!$Y$11="Alta",'Riesgos de gestión'!$AA$11="Leve"),CONCATENATE("R1C",'Riesgos de gestión'!$O$11),"")</f>
        <v/>
      </c>
      <c r="L16" s="65" t="str">
        <f>IF(AND('Riesgos de gestión'!$Y$12="Alta",'Riesgos de gestión'!$AA$12="Leve"),CONCATENATE("R1C",'Riesgos de gestión'!$O$12),"")</f>
        <v/>
      </c>
      <c r="M16" s="65" t="str">
        <f>IF(AND('Riesgos de gestión'!$Y$13="Alta",'Riesgos de gestión'!$AA$13="Leve"),CONCATENATE("R1C",'Riesgos de gestión'!$O$13),"")</f>
        <v/>
      </c>
      <c r="N16" s="65" t="str">
        <f>IF(AND('Riesgos de gestión'!$Y$14="Alta",'Riesgos de gestión'!$AA$14="Leve"),CONCATENATE("R1C",'Riesgos de gestión'!$O$14),"")</f>
        <v/>
      </c>
      <c r="O16" s="66" t="str">
        <f>IF(AND('Riesgos de gestión'!$Y$15="Alta",'Riesgos de gestión'!$AA$15="Leve"),CONCATENATE("R1C",'Riesgos de gestión'!$O$15),"")</f>
        <v/>
      </c>
      <c r="P16" s="64" t="str">
        <f ca="1">IF(AND('Riesgos de gestión'!$Y$10="Alta",'Riesgos de gestión'!$AA$10="Menor"),CONCATENATE("R1C",'Riesgos de gestión'!$O$10),"")</f>
        <v/>
      </c>
      <c r="Q16" s="65" t="str">
        <f>IF(AND('Riesgos de gestión'!$Y$11="Alta",'Riesgos de gestión'!$AA$11="Menor"),CONCATENATE("R1C",'Riesgos de gestión'!$O$11),"")</f>
        <v/>
      </c>
      <c r="R16" s="65" t="str">
        <f>IF(AND('Riesgos de gestión'!$Y$12="Alta",'Riesgos de gestión'!$AA$12="Menor"),CONCATENATE("R1C",'Riesgos de gestión'!$O$12),"")</f>
        <v/>
      </c>
      <c r="S16" s="65" t="str">
        <f>IF(AND('Riesgos de gestión'!$Y$13="Alta",'Riesgos de gestión'!$AA$13="Menor"),CONCATENATE("R1C",'Riesgos de gestión'!$O$13),"")</f>
        <v/>
      </c>
      <c r="T16" s="65" t="str">
        <f>IF(AND('Riesgos de gestión'!$Y$14="Alta",'Riesgos de gestión'!$AA$14="Menor"),CONCATENATE("R1C",'Riesgos de gestión'!$O$14),"")</f>
        <v/>
      </c>
      <c r="U16" s="66" t="str">
        <f>IF(AND('Riesgos de gestión'!$Y$15="Alta",'Riesgos de gestión'!$AA$15="Menor"),CONCATENATE("R1C",'Riesgos de gestión'!$O$15),"")</f>
        <v/>
      </c>
      <c r="V16" s="46" t="str">
        <f ca="1">IF(AND('Riesgos de gestión'!$Y$10="Alta",'Riesgos de gestión'!$AA$10="Moderado"),CONCATENATE("R1C",'Riesgos de gestión'!$O$10),"")</f>
        <v/>
      </c>
      <c r="W16" s="47" t="str">
        <f>IF(AND('Riesgos de gestión'!$Y$11="Alta",'Riesgos de gestión'!$AA$11="Moderado"),CONCATENATE("R1C",'Riesgos de gestión'!$O$11),"")</f>
        <v/>
      </c>
      <c r="X16" s="47" t="str">
        <f>IF(AND('Riesgos de gestión'!$Y$12="Alta",'Riesgos de gestión'!$AA$12="Moderado"),CONCATENATE("R1C",'Riesgos de gestión'!$O$12),"")</f>
        <v/>
      </c>
      <c r="Y16" s="47" t="str">
        <f>IF(AND('Riesgos de gestión'!$Y$13="Alta",'Riesgos de gestión'!$AA$13="Moderado"),CONCATENATE("R1C",'Riesgos de gestión'!$O$13),"")</f>
        <v/>
      </c>
      <c r="Z16" s="47" t="str">
        <f>IF(AND('Riesgos de gestión'!$Y$14="Alta",'Riesgos de gestión'!$AA$14="Moderado"),CONCATENATE("R1C",'Riesgos de gestión'!$O$14),"")</f>
        <v/>
      </c>
      <c r="AA16" s="48" t="str">
        <f>IF(AND('Riesgos de gestión'!$Y$15="Alta",'Riesgos de gestión'!$AA$15="Moderado"),CONCATENATE("R1C",'Riesgos de gestión'!$O$15),"")</f>
        <v/>
      </c>
      <c r="AB16" s="46" t="str">
        <f ca="1">IF(AND('Riesgos de gestión'!$Y$10="Alta",'Riesgos de gestión'!$AA$10="Mayor"),CONCATENATE("R1C",'Riesgos de gestión'!$O$10),"")</f>
        <v/>
      </c>
      <c r="AC16" s="47" t="str">
        <f>IF(AND('Riesgos de gestión'!$Y$11="Alta",'Riesgos de gestión'!$AA$11="Mayor"),CONCATENATE("R1C",'Riesgos de gestión'!$O$11),"")</f>
        <v/>
      </c>
      <c r="AD16" s="47" t="str">
        <f>IF(AND('Riesgos de gestión'!$Y$12="Alta",'Riesgos de gestión'!$AA$12="Mayor"),CONCATENATE("R1C",'Riesgos de gestión'!$O$12),"")</f>
        <v/>
      </c>
      <c r="AE16" s="47" t="str">
        <f>IF(AND('Riesgos de gestión'!$Y$13="Alta",'Riesgos de gestión'!$AA$13="Mayor"),CONCATENATE("R1C",'Riesgos de gestión'!$O$13),"")</f>
        <v/>
      </c>
      <c r="AF16" s="47" t="str">
        <f>IF(AND('Riesgos de gestión'!$Y$14="Alta",'Riesgos de gestión'!$AA$14="Mayor"),CONCATENATE("R1C",'Riesgos de gestión'!$O$14),"")</f>
        <v/>
      </c>
      <c r="AG16" s="48" t="str">
        <f>IF(AND('Riesgos de gestión'!$Y$15="Alta",'Riesgos de gestión'!$AA$15="Mayor"),CONCATENATE("R1C",'Riesgos de gestión'!$O$15),"")</f>
        <v/>
      </c>
      <c r="AH16" s="49" t="str">
        <f ca="1">IF(AND('Riesgos de gestión'!$Y$10="Alta",'Riesgos de gestión'!$AA$10="Catastrófico"),CONCATENATE("R1C",'Riesgos de gestión'!$O$10),"")</f>
        <v/>
      </c>
      <c r="AI16" s="50" t="str">
        <f>IF(AND('Riesgos de gestión'!$Y$11="Alta",'Riesgos de gestión'!$AA$11="Catastrófico"),CONCATENATE("R1C",'Riesgos de gestión'!$O$11),"")</f>
        <v/>
      </c>
      <c r="AJ16" s="50" t="str">
        <f>IF(AND('Riesgos de gestión'!$Y$12="Alta",'Riesgos de gestión'!$AA$12="Catastrófico"),CONCATENATE("R1C",'Riesgos de gestión'!$O$12),"")</f>
        <v/>
      </c>
      <c r="AK16" s="50" t="str">
        <f>IF(AND('Riesgos de gestión'!$Y$13="Alta",'Riesgos de gestión'!$AA$13="Catastrófico"),CONCATENATE("R1C",'Riesgos de gestión'!$O$13),"")</f>
        <v/>
      </c>
      <c r="AL16" s="50" t="str">
        <f>IF(AND('Riesgos de gestión'!$Y$14="Alta",'Riesgos de gestión'!$AA$14="Catastrófico"),CONCATENATE("R1C",'Riesgos de gestión'!$O$14),"")</f>
        <v/>
      </c>
      <c r="AM16" s="51" t="str">
        <f>IF(AND('Riesgos de gestión'!$Y$15="Alta",'Riesgos de gestión'!$AA$15="Catastrófico"),CONCATENATE("R1C",'Riesgos de gestión'!$O$15),"")</f>
        <v/>
      </c>
      <c r="AN16" s="83"/>
      <c r="AO16" s="1209" t="s">
        <v>80</v>
      </c>
      <c r="AP16" s="1210"/>
      <c r="AQ16" s="1210"/>
      <c r="AR16" s="1210"/>
      <c r="AS16" s="1210"/>
      <c r="AT16" s="1211"/>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row>
    <row r="17" spans="1:76" ht="15" customHeight="1" x14ac:dyDescent="0.25">
      <c r="A17" s="83"/>
      <c r="B17" s="1123"/>
      <c r="C17" s="1123"/>
      <c r="D17" s="1124"/>
      <c r="E17" s="1220"/>
      <c r="F17" s="1221"/>
      <c r="G17" s="1221"/>
      <c r="H17" s="1221"/>
      <c r="I17" s="1221"/>
      <c r="J17" s="67" t="str">
        <f>IF(AND('Riesgos de gestión'!$Y$16="Alta",'Riesgos de gestión'!$AA$16="Leve"),CONCATENATE("R2C",'Riesgos de gestión'!$O$16),"")</f>
        <v/>
      </c>
      <c r="K17" s="68" t="str">
        <f>IF(AND('Riesgos de gestión'!$Y$17="Alta",'Riesgos de gestión'!$AA$17="Leve"),CONCATENATE("R2C",'Riesgos de gestión'!$O$17),"")</f>
        <v/>
      </c>
      <c r="L17" s="68" t="str">
        <f>IF(AND('Riesgos de gestión'!$Y$18="Alta",'Riesgos de gestión'!$AA$18="Leve"),CONCATENATE("R2C",'Riesgos de gestión'!$O$18),"")</f>
        <v/>
      </c>
      <c r="M17" s="68" t="str">
        <f>IF(AND('Riesgos de gestión'!$Y$19="Alta",'Riesgos de gestión'!$AA$19="Leve"),CONCATENATE("R2C",'Riesgos de gestión'!$O$19),"")</f>
        <v/>
      </c>
      <c r="N17" s="68" t="str">
        <f>IF(AND('Riesgos de gestión'!$Y$20="Alta",'Riesgos de gestión'!$AA$20="Leve"),CONCATENATE("R2C",'Riesgos de gestión'!$O$20),"")</f>
        <v/>
      </c>
      <c r="O17" s="69" t="str">
        <f>IF(AND('Riesgos de gestión'!$Y$21="Alta",'Riesgos de gestión'!$AA$21="Leve"),CONCATENATE("R2C",'Riesgos de gestión'!$O$21),"")</f>
        <v/>
      </c>
      <c r="P17" s="67" t="str">
        <f>IF(AND('Riesgos de gestión'!$Y$16="Alta",'Riesgos de gestión'!$AA$16="Menor"),CONCATENATE("R2C",'Riesgos de gestión'!$O$16),"")</f>
        <v/>
      </c>
      <c r="Q17" s="68" t="str">
        <f>IF(AND('Riesgos de gestión'!$Y$17="Alta",'Riesgos de gestión'!$AA$17="Menor"),CONCATENATE("R2C",'Riesgos de gestión'!$O$17),"")</f>
        <v/>
      </c>
      <c r="R17" s="68" t="str">
        <f>IF(AND('Riesgos de gestión'!$Y$18="Alta",'Riesgos de gestión'!$AA$18="Menor"),CONCATENATE("R2C",'Riesgos de gestión'!$O$18),"")</f>
        <v/>
      </c>
      <c r="S17" s="68" t="str">
        <f>IF(AND('Riesgos de gestión'!$Y$19="Alta",'Riesgos de gestión'!$AA$19="Menor"),CONCATENATE("R2C",'Riesgos de gestión'!$O$19),"")</f>
        <v/>
      </c>
      <c r="T17" s="68" t="str">
        <f>IF(AND('Riesgos de gestión'!$Y$20="Alta",'Riesgos de gestión'!$AA$20="Menor"),CONCATENATE("R2C",'Riesgos de gestión'!$O$20),"")</f>
        <v/>
      </c>
      <c r="U17" s="69" t="str">
        <f>IF(AND('Riesgos de gestión'!$Y$21="Alta",'Riesgos de gestión'!$AA$21="Menor"),CONCATENATE("R2C",'Riesgos de gestión'!$O$21),"")</f>
        <v/>
      </c>
      <c r="V17" s="52" t="str">
        <f>IF(AND('Riesgos de gestión'!$Y$16="Alta",'Riesgos de gestión'!$AA$16="Moderado"),CONCATENATE("R2C",'Riesgos de gestión'!$O$16),"")</f>
        <v/>
      </c>
      <c r="W17" s="53" t="str">
        <f>IF(AND('Riesgos de gestión'!$Y$17="Alta",'Riesgos de gestión'!$AA$17="Moderado"),CONCATENATE("R2C",'Riesgos de gestión'!$O$17),"")</f>
        <v/>
      </c>
      <c r="X17" s="53" t="str">
        <f>IF(AND('Riesgos de gestión'!$Y$18="Alta",'Riesgos de gestión'!$AA$18="Moderado"),CONCATENATE("R2C",'Riesgos de gestión'!$O$18),"")</f>
        <v/>
      </c>
      <c r="Y17" s="53" t="str">
        <f>IF(AND('Riesgos de gestión'!$Y$19="Alta",'Riesgos de gestión'!$AA$19="Moderado"),CONCATENATE("R2C",'Riesgos de gestión'!$O$19),"")</f>
        <v/>
      </c>
      <c r="Z17" s="53" t="str">
        <f>IF(AND('Riesgos de gestión'!$Y$20="Alta",'Riesgos de gestión'!$AA$20="Moderado"),CONCATENATE("R2C",'Riesgos de gestión'!$O$20),"")</f>
        <v/>
      </c>
      <c r="AA17" s="54" t="str">
        <f>IF(AND('Riesgos de gestión'!$Y$21="Alta",'Riesgos de gestión'!$AA$21="Moderado"),CONCATENATE("R2C",'Riesgos de gestión'!$O$21),"")</f>
        <v/>
      </c>
      <c r="AB17" s="52" t="str">
        <f>IF(AND('Riesgos de gestión'!$Y$16="Alta",'Riesgos de gestión'!$AA$16="Mayor"),CONCATENATE("R2C",'Riesgos de gestión'!$O$16),"")</f>
        <v/>
      </c>
      <c r="AC17" s="53" t="str">
        <f>IF(AND('Riesgos de gestión'!$Y$17="Alta",'Riesgos de gestión'!$AA$17="Mayor"),CONCATENATE("R2C",'Riesgos de gestión'!$O$17),"")</f>
        <v/>
      </c>
      <c r="AD17" s="53" t="str">
        <f>IF(AND('Riesgos de gestión'!$Y$18="Alta",'Riesgos de gestión'!$AA$18="Mayor"),CONCATENATE("R2C",'Riesgos de gestión'!$O$18),"")</f>
        <v/>
      </c>
      <c r="AE17" s="53" t="str">
        <f>IF(AND('Riesgos de gestión'!$Y$19="Alta",'Riesgos de gestión'!$AA$19="Mayor"),CONCATENATE("R2C",'Riesgos de gestión'!$O$19),"")</f>
        <v/>
      </c>
      <c r="AF17" s="53" t="str">
        <f>IF(AND('Riesgos de gestión'!$Y$20="Alta",'Riesgos de gestión'!$AA$20="Mayor"),CONCATENATE("R2C",'Riesgos de gestión'!$O$20),"")</f>
        <v/>
      </c>
      <c r="AG17" s="54" t="str">
        <f>IF(AND('Riesgos de gestión'!$Y$21="Alta",'Riesgos de gestión'!$AA$21="Mayor"),CONCATENATE("R2C",'Riesgos de gestión'!$O$21),"")</f>
        <v/>
      </c>
      <c r="AH17" s="55" t="str">
        <f>IF(AND('Riesgos de gestión'!$Y$16="Alta",'Riesgos de gestión'!$AA$16="Catastrófico"),CONCATENATE("R2C",'Riesgos de gestión'!$O$16),"")</f>
        <v/>
      </c>
      <c r="AI17" s="56" t="str">
        <f>IF(AND('Riesgos de gestión'!$Y$17="Alta",'Riesgos de gestión'!$AA$17="Catastrófico"),CONCATENATE("R2C",'Riesgos de gestión'!$O$17),"")</f>
        <v/>
      </c>
      <c r="AJ17" s="56" t="str">
        <f>IF(AND('Riesgos de gestión'!$Y$18="Alta",'Riesgos de gestión'!$AA$18="Catastrófico"),CONCATENATE("R2C",'Riesgos de gestión'!$O$18),"")</f>
        <v/>
      </c>
      <c r="AK17" s="56" t="str">
        <f>IF(AND('Riesgos de gestión'!$Y$19="Alta",'Riesgos de gestión'!$AA$19="Catastrófico"),CONCATENATE("R2C",'Riesgos de gestión'!$O$19),"")</f>
        <v/>
      </c>
      <c r="AL17" s="56" t="str">
        <f>IF(AND('Riesgos de gestión'!$Y$20="Alta",'Riesgos de gestión'!$AA$20="Catastrófico"),CONCATENATE("R2C",'Riesgos de gestión'!$O$20),"")</f>
        <v/>
      </c>
      <c r="AM17" s="57" t="str">
        <f>IF(AND('Riesgos de gestión'!$Y$21="Alta",'Riesgos de gestión'!$AA$21="Catastrófico"),CONCATENATE("R2C",'Riesgos de gestión'!$O$21),"")</f>
        <v/>
      </c>
      <c r="AN17" s="83"/>
      <c r="AO17" s="1212"/>
      <c r="AP17" s="1213"/>
      <c r="AQ17" s="1213"/>
      <c r="AR17" s="1213"/>
      <c r="AS17" s="1213"/>
      <c r="AT17" s="1214"/>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row>
    <row r="18" spans="1:76" ht="15" customHeight="1" x14ac:dyDescent="0.25">
      <c r="A18" s="83"/>
      <c r="B18" s="1123"/>
      <c r="C18" s="1123"/>
      <c r="D18" s="1124"/>
      <c r="E18" s="1222"/>
      <c r="F18" s="1221"/>
      <c r="G18" s="1221"/>
      <c r="H18" s="1221"/>
      <c r="I18" s="1221"/>
      <c r="J18" s="67" t="str">
        <f>IF(AND('Riesgos de gestión'!$Y$22="Alta",'Riesgos de gestión'!$AA$22="Leve"),CONCATENATE("R3C",'Riesgos de gestión'!$O$22),"")</f>
        <v/>
      </c>
      <c r="K18" s="68" t="str">
        <f>IF(AND('Riesgos de gestión'!$Y$23="Alta",'Riesgos de gestión'!$AA$23="Leve"),CONCATENATE("R3C",'Riesgos de gestión'!$O$23),"")</f>
        <v/>
      </c>
      <c r="L18" s="68" t="str">
        <f>IF(AND('Riesgos de gestión'!$Y$24="Alta",'Riesgos de gestión'!$AA$24="Leve"),CONCATENATE("R3C",'Riesgos de gestión'!$O$24),"")</f>
        <v/>
      </c>
      <c r="M18" s="68" t="str">
        <f>IF(AND('Riesgos de gestión'!$Y$25="Alta",'Riesgos de gestión'!$AA$25="Leve"),CONCATENATE("R3C",'Riesgos de gestión'!$O$25),"")</f>
        <v/>
      </c>
      <c r="N18" s="68" t="str">
        <f>IF(AND('Riesgos de gestión'!$Y$26="Alta",'Riesgos de gestión'!$AA$26="Leve"),CONCATENATE("R3C",'Riesgos de gestión'!$O$26),"")</f>
        <v/>
      </c>
      <c r="O18" s="69" t="str">
        <f>IF(AND('Riesgos de gestión'!$Y$27="Alta",'Riesgos de gestión'!$AA$27="Leve"),CONCATENATE("R3C",'Riesgos de gestión'!$O$27),"")</f>
        <v/>
      </c>
      <c r="P18" s="67" t="str">
        <f>IF(AND('Riesgos de gestión'!$Y$22="Alta",'Riesgos de gestión'!$AA$22="Menor"),CONCATENATE("R3C",'Riesgos de gestión'!$O$22),"")</f>
        <v/>
      </c>
      <c r="Q18" s="68" t="str">
        <f>IF(AND('Riesgos de gestión'!$Y$23="Alta",'Riesgos de gestión'!$AA$23="Menor"),CONCATENATE("R3C",'Riesgos de gestión'!$O$23),"")</f>
        <v/>
      </c>
      <c r="R18" s="68" t="str">
        <f>IF(AND('Riesgos de gestión'!$Y$24="Alta",'Riesgos de gestión'!$AA$24="Menor"),CONCATENATE("R3C",'Riesgos de gestión'!$O$24),"")</f>
        <v/>
      </c>
      <c r="S18" s="68" t="str">
        <f>IF(AND('Riesgos de gestión'!$Y$25="Alta",'Riesgos de gestión'!$AA$25="Menor"),CONCATENATE("R3C",'Riesgos de gestión'!$O$25),"")</f>
        <v/>
      </c>
      <c r="T18" s="68" t="str">
        <f>IF(AND('Riesgos de gestión'!$Y$26="Alta",'Riesgos de gestión'!$AA$26="Menor"),CONCATENATE("R3C",'Riesgos de gestión'!$O$26),"")</f>
        <v/>
      </c>
      <c r="U18" s="69" t="str">
        <f>IF(AND('Riesgos de gestión'!$Y$27="Alta",'Riesgos de gestión'!$AA$27="Menor"),CONCATENATE("R3C",'Riesgos de gestión'!$O$27),"")</f>
        <v/>
      </c>
      <c r="V18" s="52" t="str">
        <f>IF(AND('Riesgos de gestión'!$Y$22="Alta",'Riesgos de gestión'!$AA$22="Moderado"),CONCATENATE("R3C",'Riesgos de gestión'!$O$22),"")</f>
        <v/>
      </c>
      <c r="W18" s="53" t="str">
        <f>IF(AND('Riesgos de gestión'!$Y$23="Alta",'Riesgos de gestión'!$AA$23="Moderado"),CONCATENATE("R3C",'Riesgos de gestión'!$O$23),"")</f>
        <v/>
      </c>
      <c r="X18" s="53" t="str">
        <f>IF(AND('Riesgos de gestión'!$Y$24="Alta",'Riesgos de gestión'!$AA$24="Moderado"),CONCATENATE("R3C",'Riesgos de gestión'!$O$24),"")</f>
        <v/>
      </c>
      <c r="Y18" s="53" t="str">
        <f>IF(AND('Riesgos de gestión'!$Y$25="Alta",'Riesgos de gestión'!$AA$25="Moderado"),CONCATENATE("R3C",'Riesgos de gestión'!$O$25),"")</f>
        <v/>
      </c>
      <c r="Z18" s="53" t="str">
        <f>IF(AND('Riesgos de gestión'!$Y$26="Alta",'Riesgos de gestión'!$AA$26="Moderado"),CONCATENATE("R3C",'Riesgos de gestión'!$O$26),"")</f>
        <v/>
      </c>
      <c r="AA18" s="54" t="str">
        <f>IF(AND('Riesgos de gestión'!$Y$27="Alta",'Riesgos de gestión'!$AA$27="Moderado"),CONCATENATE("R3C",'Riesgos de gestión'!$O$27),"")</f>
        <v/>
      </c>
      <c r="AB18" s="52" t="str">
        <f>IF(AND('Riesgos de gestión'!$Y$22="Alta",'Riesgos de gestión'!$AA$22="Mayor"),CONCATENATE("R3C",'Riesgos de gestión'!$O$22),"")</f>
        <v/>
      </c>
      <c r="AC18" s="53" t="str">
        <f>IF(AND('Riesgos de gestión'!$Y$23="Alta",'Riesgos de gestión'!$AA$23="Mayor"),CONCATENATE("R3C",'Riesgos de gestión'!$O$23),"")</f>
        <v/>
      </c>
      <c r="AD18" s="53" t="str">
        <f>IF(AND('Riesgos de gestión'!$Y$24="Alta",'Riesgos de gestión'!$AA$24="Mayor"),CONCATENATE("R3C",'Riesgos de gestión'!$O$24),"")</f>
        <v/>
      </c>
      <c r="AE18" s="53" t="str">
        <f>IF(AND('Riesgos de gestión'!$Y$25="Alta",'Riesgos de gestión'!$AA$25="Mayor"),CONCATENATE("R3C",'Riesgos de gestión'!$O$25),"")</f>
        <v/>
      </c>
      <c r="AF18" s="53" t="str">
        <f>IF(AND('Riesgos de gestión'!$Y$26="Alta",'Riesgos de gestión'!$AA$26="Mayor"),CONCATENATE("R3C",'Riesgos de gestión'!$O$26),"")</f>
        <v/>
      </c>
      <c r="AG18" s="54" t="str">
        <f>IF(AND('Riesgos de gestión'!$Y$27="Alta",'Riesgos de gestión'!$AA$27="Mayor"),CONCATENATE("R3C",'Riesgos de gestión'!$O$27),"")</f>
        <v/>
      </c>
      <c r="AH18" s="55" t="str">
        <f>IF(AND('Riesgos de gestión'!$Y$22="Alta",'Riesgos de gestión'!$AA$22="Catastrófico"),CONCATENATE("R3C",'Riesgos de gestión'!$O$22),"")</f>
        <v/>
      </c>
      <c r="AI18" s="56" t="str">
        <f>IF(AND('Riesgos de gestión'!$Y$23="Alta",'Riesgos de gestión'!$AA$23="Catastrófico"),CONCATENATE("R3C",'Riesgos de gestión'!$O$23),"")</f>
        <v/>
      </c>
      <c r="AJ18" s="56" t="str">
        <f>IF(AND('Riesgos de gestión'!$Y$24="Alta",'Riesgos de gestión'!$AA$24="Catastrófico"),CONCATENATE("R3C",'Riesgos de gestión'!$O$24),"")</f>
        <v/>
      </c>
      <c r="AK18" s="56" t="str">
        <f>IF(AND('Riesgos de gestión'!$Y$25="Alta",'Riesgos de gestión'!$AA$25="Catastrófico"),CONCATENATE("R3C",'Riesgos de gestión'!$O$25),"")</f>
        <v/>
      </c>
      <c r="AL18" s="56" t="str">
        <f>IF(AND('Riesgos de gestión'!$Y$26="Alta",'Riesgos de gestión'!$AA$26="Catastrófico"),CONCATENATE("R3C",'Riesgos de gestión'!$O$26),"")</f>
        <v/>
      </c>
      <c r="AM18" s="57" t="str">
        <f>IF(AND('Riesgos de gestión'!$Y$27="Alta",'Riesgos de gestión'!$AA$27="Catastrófico"),CONCATENATE("R3C",'Riesgos de gestión'!$O$27),"")</f>
        <v/>
      </c>
      <c r="AN18" s="83"/>
      <c r="AO18" s="1212"/>
      <c r="AP18" s="1213"/>
      <c r="AQ18" s="1213"/>
      <c r="AR18" s="1213"/>
      <c r="AS18" s="1213"/>
      <c r="AT18" s="1214"/>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row>
    <row r="19" spans="1:76" ht="15" customHeight="1" x14ac:dyDescent="0.25">
      <c r="A19" s="83"/>
      <c r="B19" s="1123"/>
      <c r="C19" s="1123"/>
      <c r="D19" s="1124"/>
      <c r="E19" s="1222"/>
      <c r="F19" s="1221"/>
      <c r="G19" s="1221"/>
      <c r="H19" s="1221"/>
      <c r="I19" s="1221"/>
      <c r="J19" s="67" t="str">
        <f>IF(AND('Riesgos de gestión'!$Y$28="Alta",'Riesgos de gestión'!$AA$28="Leve"),CONCATENATE("R4C",'Riesgos de gestión'!$O$28),"")</f>
        <v/>
      </c>
      <c r="K19" s="68" t="str">
        <f>IF(AND('Riesgos de gestión'!$Y$29="Alta",'Riesgos de gestión'!$AA$29="Leve"),CONCATENATE("R4C",'Riesgos de gestión'!$O$29),"")</f>
        <v/>
      </c>
      <c r="L19" s="68" t="str">
        <f>IF(AND('Riesgos de gestión'!$Y$30="Alta",'Riesgos de gestión'!$AA$30="Leve"),CONCATENATE("R4C",'Riesgos de gestión'!$O$30),"")</f>
        <v/>
      </c>
      <c r="M19" s="68" t="str">
        <f>IF(AND('Riesgos de gestión'!$Y$31="Alta",'Riesgos de gestión'!$AA$31="Leve"),CONCATENATE("R4C",'Riesgos de gestión'!$O$31),"")</f>
        <v/>
      </c>
      <c r="N19" s="68" t="str">
        <f>IF(AND('Riesgos de gestión'!$Y$32="Alta",'Riesgos de gestión'!$AA$32="Leve"),CONCATENATE("R4C",'Riesgos de gestión'!$O$32),"")</f>
        <v/>
      </c>
      <c r="O19" s="69" t="str">
        <f>IF(AND('Riesgos de gestión'!$Y$33="Alta",'Riesgos de gestión'!$AA$33="Leve"),CONCATENATE("R4C",'Riesgos de gestión'!$O$33),"")</f>
        <v/>
      </c>
      <c r="P19" s="67" t="str">
        <f>IF(AND('Riesgos de gestión'!$Y$28="Alta",'Riesgos de gestión'!$AA$28="Menor"),CONCATENATE("R4C",'Riesgos de gestión'!$O$28),"")</f>
        <v/>
      </c>
      <c r="Q19" s="68" t="str">
        <f>IF(AND('Riesgos de gestión'!$Y$29="Alta",'Riesgos de gestión'!$AA$29="Menor"),CONCATENATE("R4C",'Riesgos de gestión'!$O$29),"")</f>
        <v/>
      </c>
      <c r="R19" s="68" t="str">
        <f>IF(AND('Riesgos de gestión'!$Y$30="Alta",'Riesgos de gestión'!$AA$30="Menor"),CONCATENATE("R4C",'Riesgos de gestión'!$O$30),"")</f>
        <v/>
      </c>
      <c r="S19" s="68" t="str">
        <f>IF(AND('Riesgos de gestión'!$Y$31="Alta",'Riesgos de gestión'!$AA$31="Menor"),CONCATENATE("R4C",'Riesgos de gestión'!$O$31),"")</f>
        <v/>
      </c>
      <c r="T19" s="68" t="str">
        <f>IF(AND('Riesgos de gestión'!$Y$32="Alta",'Riesgos de gestión'!$AA$32="Menor"),CONCATENATE("R4C",'Riesgos de gestión'!$O$32),"")</f>
        <v/>
      </c>
      <c r="U19" s="69" t="str">
        <f>IF(AND('Riesgos de gestión'!$Y$33="Alta",'Riesgos de gestión'!$AA$33="Menor"),CONCATENATE("R4C",'Riesgos de gestión'!$O$33),"")</f>
        <v/>
      </c>
      <c r="V19" s="52" t="str">
        <f>IF(AND('Riesgos de gestión'!$Y$28="Alta",'Riesgos de gestión'!$AA$28="Moderado"),CONCATENATE("R4C",'Riesgos de gestión'!$O$28),"")</f>
        <v/>
      </c>
      <c r="W19" s="53" t="str">
        <f>IF(AND('Riesgos de gestión'!$Y$29="Alta",'Riesgos de gestión'!$AA$29="Moderado"),CONCATENATE("R4C",'Riesgos de gestión'!$O$29),"")</f>
        <v/>
      </c>
      <c r="X19" s="53" t="str">
        <f>IF(AND('Riesgos de gestión'!$Y$30="Alta",'Riesgos de gestión'!$AA$30="Moderado"),CONCATENATE("R4C",'Riesgos de gestión'!$O$30),"")</f>
        <v/>
      </c>
      <c r="Y19" s="53" t="str">
        <f>IF(AND('Riesgos de gestión'!$Y$31="Alta",'Riesgos de gestión'!$AA$31="Moderado"),CONCATENATE("R4C",'Riesgos de gestión'!$O$31),"")</f>
        <v/>
      </c>
      <c r="Z19" s="53" t="str">
        <f>IF(AND('Riesgos de gestión'!$Y$32="Alta",'Riesgos de gestión'!$AA$32="Moderado"),CONCATENATE("R4C",'Riesgos de gestión'!$O$32),"")</f>
        <v/>
      </c>
      <c r="AA19" s="54" t="str">
        <f>IF(AND('Riesgos de gestión'!$Y$33="Alta",'Riesgos de gestión'!$AA$33="Moderado"),CONCATENATE("R4C",'Riesgos de gestión'!$O$33),"")</f>
        <v/>
      </c>
      <c r="AB19" s="52" t="str">
        <f>IF(AND('Riesgos de gestión'!$Y$28="Alta",'Riesgos de gestión'!$AA$28="Mayor"),CONCATENATE("R4C",'Riesgos de gestión'!$O$28),"")</f>
        <v/>
      </c>
      <c r="AC19" s="53" t="str">
        <f>IF(AND('Riesgos de gestión'!$Y$29="Alta",'Riesgos de gestión'!$AA$29="Mayor"),CONCATENATE("R4C",'Riesgos de gestión'!$O$29),"")</f>
        <v/>
      </c>
      <c r="AD19" s="53" t="str">
        <f>IF(AND('Riesgos de gestión'!$Y$30="Alta",'Riesgos de gestión'!$AA$30="Mayor"),CONCATENATE("R4C",'Riesgos de gestión'!$O$30),"")</f>
        <v/>
      </c>
      <c r="AE19" s="53" t="str">
        <f>IF(AND('Riesgos de gestión'!$Y$31="Alta",'Riesgos de gestión'!$AA$31="Mayor"),CONCATENATE("R4C",'Riesgos de gestión'!$O$31),"")</f>
        <v/>
      </c>
      <c r="AF19" s="53" t="str">
        <f>IF(AND('Riesgos de gestión'!$Y$32="Alta",'Riesgos de gestión'!$AA$32="Mayor"),CONCATENATE("R4C",'Riesgos de gestión'!$O$32),"")</f>
        <v/>
      </c>
      <c r="AG19" s="54" t="str">
        <f>IF(AND('Riesgos de gestión'!$Y$33="Alta",'Riesgos de gestión'!$AA$33="Mayor"),CONCATENATE("R4C",'Riesgos de gestión'!$O$33),"")</f>
        <v/>
      </c>
      <c r="AH19" s="55" t="str">
        <f>IF(AND('Riesgos de gestión'!$Y$28="Alta",'Riesgos de gestión'!$AA$28="Catastrófico"),CONCATENATE("R4C",'Riesgos de gestión'!$O$28),"")</f>
        <v/>
      </c>
      <c r="AI19" s="56" t="str">
        <f>IF(AND('Riesgos de gestión'!$Y$29="Alta",'Riesgos de gestión'!$AA$29="Catastrófico"),CONCATENATE("R4C",'Riesgos de gestión'!$O$29),"")</f>
        <v/>
      </c>
      <c r="AJ19" s="56" t="str">
        <f>IF(AND('Riesgos de gestión'!$Y$30="Alta",'Riesgos de gestión'!$AA$30="Catastrófico"),CONCATENATE("R4C",'Riesgos de gestión'!$O$30),"")</f>
        <v/>
      </c>
      <c r="AK19" s="56" t="str">
        <f>IF(AND('Riesgos de gestión'!$Y$31="Alta",'Riesgos de gestión'!$AA$31="Catastrófico"),CONCATENATE("R4C",'Riesgos de gestión'!$O$31),"")</f>
        <v/>
      </c>
      <c r="AL19" s="56" t="str">
        <f>IF(AND('Riesgos de gestión'!$Y$32="Alta",'Riesgos de gestión'!$AA$32="Catastrófico"),CONCATENATE("R4C",'Riesgos de gestión'!$O$32),"")</f>
        <v/>
      </c>
      <c r="AM19" s="57" t="str">
        <f>IF(AND('Riesgos de gestión'!$Y$33="Alta",'Riesgos de gestión'!$AA$33="Catastrófico"),CONCATENATE("R4C",'Riesgos de gestión'!$O$33),"")</f>
        <v/>
      </c>
      <c r="AN19" s="83"/>
      <c r="AO19" s="1212"/>
      <c r="AP19" s="1213"/>
      <c r="AQ19" s="1213"/>
      <c r="AR19" s="1213"/>
      <c r="AS19" s="1213"/>
      <c r="AT19" s="1214"/>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row>
    <row r="20" spans="1:76" ht="15" customHeight="1" x14ac:dyDescent="0.25">
      <c r="A20" s="83"/>
      <c r="B20" s="1123"/>
      <c r="C20" s="1123"/>
      <c r="D20" s="1124"/>
      <c r="E20" s="1222"/>
      <c r="F20" s="1221"/>
      <c r="G20" s="1221"/>
      <c r="H20" s="1221"/>
      <c r="I20" s="1221"/>
      <c r="J20" s="67" t="str">
        <f>IF(AND('Riesgos de gestión'!$Y$34="Alta",'Riesgos de gestión'!$AA$34="Leve"),CONCATENATE("R5C",'Riesgos de gestión'!$O$34),"")</f>
        <v/>
      </c>
      <c r="K20" s="68" t="str">
        <f>IF(AND('Riesgos de gestión'!$Y$35="Alta",'Riesgos de gestión'!$AA$35="Leve"),CONCATENATE("R5C",'Riesgos de gestión'!$O$35),"")</f>
        <v/>
      </c>
      <c r="L20" s="68" t="str">
        <f>IF(AND('Riesgos de gestión'!$Y$36="Alta",'Riesgos de gestión'!$AA$36="Leve"),CONCATENATE("R5C",'Riesgos de gestión'!$O$36),"")</f>
        <v/>
      </c>
      <c r="M20" s="68" t="str">
        <f>IF(AND('Riesgos de gestión'!$Y$37="Alta",'Riesgos de gestión'!$AA$37="Leve"),CONCATENATE("R5C",'Riesgos de gestión'!$O$37),"")</f>
        <v/>
      </c>
      <c r="N20" s="68" t="str">
        <f>IF(AND('Riesgos de gestión'!$Y$38="Alta",'Riesgos de gestión'!$AA$38="Leve"),CONCATENATE("R5C",'Riesgos de gestión'!$O$38),"")</f>
        <v/>
      </c>
      <c r="O20" s="69" t="str">
        <f>IF(AND('Riesgos de gestión'!$Y$39="Alta",'Riesgos de gestión'!$AA$39="Leve"),CONCATENATE("R5C",'Riesgos de gestión'!$O$39),"")</f>
        <v/>
      </c>
      <c r="P20" s="67" t="str">
        <f>IF(AND('Riesgos de gestión'!$Y$34="Alta",'Riesgos de gestión'!$AA$34="Menor"),CONCATENATE("R5C",'Riesgos de gestión'!$O$34),"")</f>
        <v/>
      </c>
      <c r="Q20" s="68" t="str">
        <f>IF(AND('Riesgos de gestión'!$Y$35="Alta",'Riesgos de gestión'!$AA$35="Menor"),CONCATENATE("R5C",'Riesgos de gestión'!$O$35),"")</f>
        <v/>
      </c>
      <c r="R20" s="68" t="str">
        <f>IF(AND('Riesgos de gestión'!$Y$36="Alta",'Riesgos de gestión'!$AA$36="Menor"),CONCATENATE("R5C",'Riesgos de gestión'!$O$36),"")</f>
        <v/>
      </c>
      <c r="S20" s="68" t="str">
        <f>IF(AND('Riesgos de gestión'!$Y$37="Alta",'Riesgos de gestión'!$AA$37="Menor"),CONCATENATE("R5C",'Riesgos de gestión'!$O$37),"")</f>
        <v/>
      </c>
      <c r="T20" s="68" t="str">
        <f>IF(AND('Riesgos de gestión'!$Y$38="Alta",'Riesgos de gestión'!$AA$38="Menor"),CONCATENATE("R5C",'Riesgos de gestión'!$O$38),"")</f>
        <v/>
      </c>
      <c r="U20" s="69" t="str">
        <f>IF(AND('Riesgos de gestión'!$Y$39="Alta",'Riesgos de gestión'!$AA$39="Menor"),CONCATENATE("R5C",'Riesgos de gestión'!$O$39),"")</f>
        <v/>
      </c>
      <c r="V20" s="52" t="str">
        <f>IF(AND('Riesgos de gestión'!$Y$34="Alta",'Riesgos de gestión'!$AA$34="Moderado"),CONCATENATE("R5C",'Riesgos de gestión'!$O$34),"")</f>
        <v/>
      </c>
      <c r="W20" s="53" t="str">
        <f>IF(AND('Riesgos de gestión'!$Y$35="Alta",'Riesgos de gestión'!$AA$35="Moderado"),CONCATENATE("R5C",'Riesgos de gestión'!$O$35),"")</f>
        <v/>
      </c>
      <c r="X20" s="53" t="str">
        <f>IF(AND('Riesgos de gestión'!$Y$36="Alta",'Riesgos de gestión'!$AA$36="Moderado"),CONCATENATE("R5C",'Riesgos de gestión'!$O$36),"")</f>
        <v/>
      </c>
      <c r="Y20" s="53" t="str">
        <f>IF(AND('Riesgos de gestión'!$Y$37="Alta",'Riesgos de gestión'!$AA$37="Moderado"),CONCATENATE("R5C",'Riesgos de gestión'!$O$37),"")</f>
        <v/>
      </c>
      <c r="Z20" s="53" t="str">
        <f>IF(AND('Riesgos de gestión'!$Y$38="Alta",'Riesgos de gestión'!$AA$38="Moderado"),CONCATENATE("R5C",'Riesgos de gestión'!$O$38),"")</f>
        <v/>
      </c>
      <c r="AA20" s="54" t="str">
        <f>IF(AND('Riesgos de gestión'!$Y$39="Alta",'Riesgos de gestión'!$AA$39="Moderado"),CONCATENATE("R5C",'Riesgos de gestión'!$O$39),"")</f>
        <v/>
      </c>
      <c r="AB20" s="52" t="str">
        <f>IF(AND('Riesgos de gestión'!$Y$34="Alta",'Riesgos de gestión'!$AA$34="Mayor"),CONCATENATE("R5C",'Riesgos de gestión'!$O$34),"")</f>
        <v/>
      </c>
      <c r="AC20" s="53" t="str">
        <f>IF(AND('Riesgos de gestión'!$Y$35="Alta",'Riesgos de gestión'!$AA$35="Mayor"),CONCATENATE("R5C",'Riesgos de gestión'!$O$35),"")</f>
        <v/>
      </c>
      <c r="AD20" s="53" t="str">
        <f>IF(AND('Riesgos de gestión'!$Y$36="Alta",'Riesgos de gestión'!$AA$36="Mayor"),CONCATENATE("R5C",'Riesgos de gestión'!$O$36),"")</f>
        <v/>
      </c>
      <c r="AE20" s="53" t="str">
        <f>IF(AND('Riesgos de gestión'!$Y$37="Alta",'Riesgos de gestión'!$AA$37="Mayor"),CONCATENATE("R5C",'Riesgos de gestión'!$O$37),"")</f>
        <v/>
      </c>
      <c r="AF20" s="53" t="str">
        <f>IF(AND('Riesgos de gestión'!$Y$38="Alta",'Riesgos de gestión'!$AA$38="Mayor"),CONCATENATE("R5C",'Riesgos de gestión'!$O$38),"")</f>
        <v/>
      </c>
      <c r="AG20" s="54" t="str">
        <f>IF(AND('Riesgos de gestión'!$Y$39="Alta",'Riesgos de gestión'!$AA$39="Mayor"),CONCATENATE("R5C",'Riesgos de gestión'!$O$39),"")</f>
        <v/>
      </c>
      <c r="AH20" s="55" t="str">
        <f>IF(AND('Riesgos de gestión'!$Y$34="Alta",'Riesgos de gestión'!$AA$34="Catastrófico"),CONCATENATE("R5C",'Riesgos de gestión'!$O$34),"")</f>
        <v/>
      </c>
      <c r="AI20" s="56" t="str">
        <f>IF(AND('Riesgos de gestión'!$Y$35="Alta",'Riesgos de gestión'!$AA$35="Catastrófico"),CONCATENATE("R5C",'Riesgos de gestión'!$O$35),"")</f>
        <v/>
      </c>
      <c r="AJ20" s="56" t="str">
        <f>IF(AND('Riesgos de gestión'!$Y$36="Alta",'Riesgos de gestión'!$AA$36="Catastrófico"),CONCATENATE("R5C",'Riesgos de gestión'!$O$36),"")</f>
        <v/>
      </c>
      <c r="AK20" s="56" t="str">
        <f>IF(AND('Riesgos de gestión'!$Y$37="Alta",'Riesgos de gestión'!$AA$37="Catastrófico"),CONCATENATE("R5C",'Riesgos de gestión'!$O$37),"")</f>
        <v/>
      </c>
      <c r="AL20" s="56" t="str">
        <f>IF(AND('Riesgos de gestión'!$Y$38="Alta",'Riesgos de gestión'!$AA$38="Catastrófico"),CONCATENATE("R5C",'Riesgos de gestión'!$O$38),"")</f>
        <v/>
      </c>
      <c r="AM20" s="57" t="str">
        <f>IF(AND('Riesgos de gestión'!$Y$39="Alta",'Riesgos de gestión'!$AA$39="Catastrófico"),CONCATENATE("R5C",'Riesgos de gestión'!$O$39),"")</f>
        <v/>
      </c>
      <c r="AN20" s="83"/>
      <c r="AO20" s="1212"/>
      <c r="AP20" s="1213"/>
      <c r="AQ20" s="1213"/>
      <c r="AR20" s="1213"/>
      <c r="AS20" s="1213"/>
      <c r="AT20" s="1214"/>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row>
    <row r="21" spans="1:76" ht="15" customHeight="1" x14ac:dyDescent="0.25">
      <c r="A21" s="83"/>
      <c r="B21" s="1123"/>
      <c r="C21" s="1123"/>
      <c r="D21" s="1124"/>
      <c r="E21" s="1222"/>
      <c r="F21" s="1221"/>
      <c r="G21" s="1221"/>
      <c r="H21" s="1221"/>
      <c r="I21" s="1221"/>
      <c r="J21" s="67" t="str">
        <f>IF(AND('Riesgos de gestión'!$Y$40="Alta",'Riesgos de gestión'!$AA$40="Leve"),CONCATENATE("R6C",'Riesgos de gestión'!$O$40),"")</f>
        <v/>
      </c>
      <c r="K21" s="68" t="str">
        <f>IF(AND('Riesgos de gestión'!$Y$41="Alta",'Riesgos de gestión'!$AA$41="Leve"),CONCATENATE("R6C",'Riesgos de gestión'!$O$41),"")</f>
        <v/>
      </c>
      <c r="L21" s="68" t="str">
        <f>IF(AND('Riesgos de gestión'!$Y$42="Alta",'Riesgos de gestión'!$AA$42="Leve"),CONCATENATE("R6C",'Riesgos de gestión'!$O$42),"")</f>
        <v/>
      </c>
      <c r="M21" s="68" t="str">
        <f>IF(AND('Riesgos de gestión'!$Y$43="Alta",'Riesgos de gestión'!$AA$43="Leve"),CONCATENATE("R6C",'Riesgos de gestión'!$O$43),"")</f>
        <v/>
      </c>
      <c r="N21" s="68" t="str">
        <f>IF(AND('Riesgos de gestión'!$Y$44="Alta",'Riesgos de gestión'!$AA$44="Leve"),CONCATENATE("R6C",'Riesgos de gestión'!$O$44),"")</f>
        <v/>
      </c>
      <c r="O21" s="69" t="str">
        <f>IF(AND('Riesgos de gestión'!$Y$45="Alta",'Riesgos de gestión'!$AA$45="Leve"),CONCATENATE("R6C",'Riesgos de gestión'!$O$45),"")</f>
        <v/>
      </c>
      <c r="P21" s="67" t="str">
        <f>IF(AND('Riesgos de gestión'!$Y$40="Alta",'Riesgos de gestión'!$AA$40="Menor"),CONCATENATE("R6C",'Riesgos de gestión'!$O$40),"")</f>
        <v/>
      </c>
      <c r="Q21" s="68" t="str">
        <f>IF(AND('Riesgos de gestión'!$Y$41="Alta",'Riesgos de gestión'!$AA$41="Menor"),CONCATENATE("R6C",'Riesgos de gestión'!$O$41),"")</f>
        <v/>
      </c>
      <c r="R21" s="68" t="str">
        <f>IF(AND('Riesgos de gestión'!$Y$42="Alta",'Riesgos de gestión'!$AA$42="Menor"),CONCATENATE("R6C",'Riesgos de gestión'!$O$42),"")</f>
        <v/>
      </c>
      <c r="S21" s="68" t="str">
        <f>IF(AND('Riesgos de gestión'!$Y$43="Alta",'Riesgos de gestión'!$AA$43="Menor"),CONCATENATE("R6C",'Riesgos de gestión'!$O$43),"")</f>
        <v/>
      </c>
      <c r="T21" s="68" t="str">
        <f>IF(AND('Riesgos de gestión'!$Y$44="Alta",'Riesgos de gestión'!$AA$44="Menor"),CONCATENATE("R6C",'Riesgos de gestión'!$O$44),"")</f>
        <v/>
      </c>
      <c r="U21" s="69" t="str">
        <f>IF(AND('Riesgos de gestión'!$Y$45="Alta",'Riesgos de gestión'!$AA$45="Menor"),CONCATENATE("R6C",'Riesgos de gestión'!$O$45),"")</f>
        <v/>
      </c>
      <c r="V21" s="52" t="str">
        <f>IF(AND('Riesgos de gestión'!$Y$40="Alta",'Riesgos de gestión'!$AA$40="Moderado"),CONCATENATE("R6C",'Riesgos de gestión'!$O$40),"")</f>
        <v/>
      </c>
      <c r="W21" s="53" t="str">
        <f>IF(AND('Riesgos de gestión'!$Y$41="Alta",'Riesgos de gestión'!$AA$41="Moderado"),CONCATENATE("R6C",'Riesgos de gestión'!$O$41),"")</f>
        <v/>
      </c>
      <c r="X21" s="53" t="str">
        <f>IF(AND('Riesgos de gestión'!$Y$42="Alta",'Riesgos de gestión'!$AA$42="Moderado"),CONCATENATE("R6C",'Riesgos de gestión'!$O$42),"")</f>
        <v/>
      </c>
      <c r="Y21" s="53" t="str">
        <f>IF(AND('Riesgos de gestión'!$Y$43="Alta",'Riesgos de gestión'!$AA$43="Moderado"),CONCATENATE("R6C",'Riesgos de gestión'!$O$43),"")</f>
        <v/>
      </c>
      <c r="Z21" s="53" t="str">
        <f>IF(AND('Riesgos de gestión'!$Y$44="Alta",'Riesgos de gestión'!$AA$44="Moderado"),CONCATENATE("R6C",'Riesgos de gestión'!$O$44),"")</f>
        <v/>
      </c>
      <c r="AA21" s="54" t="str">
        <f>IF(AND('Riesgos de gestión'!$Y$45="Alta",'Riesgos de gestión'!$AA$45="Moderado"),CONCATENATE("R6C",'Riesgos de gestión'!$O$45),"")</f>
        <v/>
      </c>
      <c r="AB21" s="52" t="str">
        <f>IF(AND('Riesgos de gestión'!$Y$40="Alta",'Riesgos de gestión'!$AA$40="Mayor"),CONCATENATE("R6C",'Riesgos de gestión'!$O$40),"")</f>
        <v/>
      </c>
      <c r="AC21" s="53" t="str">
        <f>IF(AND('Riesgos de gestión'!$Y$41="Alta",'Riesgos de gestión'!$AA$41="Mayor"),CONCATENATE("R6C",'Riesgos de gestión'!$O$41),"")</f>
        <v/>
      </c>
      <c r="AD21" s="53" t="str">
        <f>IF(AND('Riesgos de gestión'!$Y$42="Alta",'Riesgos de gestión'!$AA$42="Mayor"),CONCATENATE("R6C",'Riesgos de gestión'!$O$42),"")</f>
        <v/>
      </c>
      <c r="AE21" s="53" t="str">
        <f>IF(AND('Riesgos de gestión'!$Y$43="Alta",'Riesgos de gestión'!$AA$43="Mayor"),CONCATENATE("R6C",'Riesgos de gestión'!$O$43),"")</f>
        <v/>
      </c>
      <c r="AF21" s="53" t="str">
        <f>IF(AND('Riesgos de gestión'!$Y$44="Alta",'Riesgos de gestión'!$AA$44="Mayor"),CONCATENATE("R6C",'Riesgos de gestión'!$O$44),"")</f>
        <v/>
      </c>
      <c r="AG21" s="54" t="str">
        <f>IF(AND('Riesgos de gestión'!$Y$45="Alta",'Riesgos de gestión'!$AA$45="Mayor"),CONCATENATE("R6C",'Riesgos de gestión'!$O$45),"")</f>
        <v/>
      </c>
      <c r="AH21" s="55" t="str">
        <f>IF(AND('Riesgos de gestión'!$Y$40="Alta",'Riesgos de gestión'!$AA$40="Catastrófico"),CONCATENATE("R6C",'Riesgos de gestión'!$O$40),"")</f>
        <v/>
      </c>
      <c r="AI21" s="56" t="str">
        <f>IF(AND('Riesgos de gestión'!$Y$41="Alta",'Riesgos de gestión'!$AA$41="Catastrófico"),CONCATENATE("R6C",'Riesgos de gestión'!$O$41),"")</f>
        <v/>
      </c>
      <c r="AJ21" s="56" t="str">
        <f>IF(AND('Riesgos de gestión'!$Y$42="Alta",'Riesgos de gestión'!$AA$42="Catastrófico"),CONCATENATE("R6C",'Riesgos de gestión'!$O$42),"")</f>
        <v/>
      </c>
      <c r="AK21" s="56" t="str">
        <f>IF(AND('Riesgos de gestión'!$Y$43="Alta",'Riesgos de gestión'!$AA$43="Catastrófico"),CONCATENATE("R6C",'Riesgos de gestión'!$O$43),"")</f>
        <v/>
      </c>
      <c r="AL21" s="56" t="str">
        <f>IF(AND('Riesgos de gestión'!$Y$44="Alta",'Riesgos de gestión'!$AA$44="Catastrófico"),CONCATENATE("R6C",'Riesgos de gestión'!$O$44),"")</f>
        <v/>
      </c>
      <c r="AM21" s="57" t="str">
        <f>IF(AND('Riesgos de gestión'!$Y$45="Alta",'Riesgos de gestión'!$AA$45="Catastrófico"),CONCATENATE("R6C",'Riesgos de gestión'!$O$45),"")</f>
        <v/>
      </c>
      <c r="AN21" s="83"/>
      <c r="AO21" s="1212"/>
      <c r="AP21" s="1213"/>
      <c r="AQ21" s="1213"/>
      <c r="AR21" s="1213"/>
      <c r="AS21" s="1213"/>
      <c r="AT21" s="1214"/>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row>
    <row r="22" spans="1:76" ht="15" customHeight="1" x14ac:dyDescent="0.25">
      <c r="A22" s="83"/>
      <c r="B22" s="1123"/>
      <c r="C22" s="1123"/>
      <c r="D22" s="1124"/>
      <c r="E22" s="1222"/>
      <c r="F22" s="1221"/>
      <c r="G22" s="1221"/>
      <c r="H22" s="1221"/>
      <c r="I22" s="1221"/>
      <c r="J22" s="67" t="str">
        <f>IF(AND('Riesgos de gestión'!$Y$46="Alta",'Riesgos de gestión'!$AA$46="Leve"),CONCATENATE("R7C",'Riesgos de gestión'!$O$46),"")</f>
        <v/>
      </c>
      <c r="K22" s="68" t="str">
        <f>IF(AND('Riesgos de gestión'!$Y$47="Alta",'Riesgos de gestión'!$AA$47="Leve"),CONCATENATE("R7C",'Riesgos de gestión'!$O$47),"")</f>
        <v/>
      </c>
      <c r="L22" s="68" t="str">
        <f>IF(AND('Riesgos de gestión'!$Y$48="Alta",'Riesgos de gestión'!$AA$48="Leve"),CONCATENATE("R7C",'Riesgos de gestión'!$O$48),"")</f>
        <v/>
      </c>
      <c r="M22" s="68" t="str">
        <f>IF(AND('Riesgos de gestión'!$Y$49="Alta",'Riesgos de gestión'!$AA$49="Leve"),CONCATENATE("R7C",'Riesgos de gestión'!$O$49),"")</f>
        <v/>
      </c>
      <c r="N22" s="68" t="str">
        <f>IF(AND('Riesgos de gestión'!$Y$50="Alta",'Riesgos de gestión'!$AA$50="Leve"),CONCATENATE("R7C",'Riesgos de gestión'!$O$50),"")</f>
        <v/>
      </c>
      <c r="O22" s="69" t="str">
        <f>IF(AND('Riesgos de gestión'!$Y$51="Alta",'Riesgos de gestión'!$AA$51="Leve"),CONCATENATE("R7C",'Riesgos de gestión'!$O$51),"")</f>
        <v/>
      </c>
      <c r="P22" s="67" t="str">
        <f>IF(AND('Riesgos de gestión'!$Y$46="Alta",'Riesgos de gestión'!$AA$46="Menor"),CONCATENATE("R7C",'Riesgos de gestión'!$O$46),"")</f>
        <v/>
      </c>
      <c r="Q22" s="68" t="str">
        <f>IF(AND('Riesgos de gestión'!$Y$47="Alta",'Riesgos de gestión'!$AA$47="Menor"),CONCATENATE("R7C",'Riesgos de gestión'!$O$47),"")</f>
        <v/>
      </c>
      <c r="R22" s="68" t="str">
        <f>IF(AND('Riesgos de gestión'!$Y$48="Alta",'Riesgos de gestión'!$AA$48="Menor"),CONCATENATE("R7C",'Riesgos de gestión'!$O$48),"")</f>
        <v/>
      </c>
      <c r="S22" s="68" t="str">
        <f>IF(AND('Riesgos de gestión'!$Y$49="Alta",'Riesgos de gestión'!$AA$49="Menor"),CONCATENATE("R7C",'Riesgos de gestión'!$O$49),"")</f>
        <v/>
      </c>
      <c r="T22" s="68" t="str">
        <f>IF(AND('Riesgos de gestión'!$Y$50="Alta",'Riesgos de gestión'!$AA$50="Menor"),CONCATENATE("R7C",'Riesgos de gestión'!$O$50),"")</f>
        <v/>
      </c>
      <c r="U22" s="69" t="str">
        <f>IF(AND('Riesgos de gestión'!$Y$51="Alta",'Riesgos de gestión'!$AA$51="Menor"),CONCATENATE("R7C",'Riesgos de gestión'!$O$51),"")</f>
        <v/>
      </c>
      <c r="V22" s="52" t="str">
        <f>IF(AND('Riesgos de gestión'!$Y$46="Alta",'Riesgos de gestión'!$AA$46="Moderado"),CONCATENATE("R7C",'Riesgos de gestión'!$O$46),"")</f>
        <v/>
      </c>
      <c r="W22" s="53" t="str">
        <f>IF(AND('Riesgos de gestión'!$Y$47="Alta",'Riesgos de gestión'!$AA$47="Moderado"),CONCATENATE("R7C",'Riesgos de gestión'!$O$47),"")</f>
        <v/>
      </c>
      <c r="X22" s="53" t="str">
        <f>IF(AND('Riesgos de gestión'!$Y$48="Alta",'Riesgos de gestión'!$AA$48="Moderado"),CONCATENATE("R7C",'Riesgos de gestión'!$O$48),"")</f>
        <v/>
      </c>
      <c r="Y22" s="53" t="str">
        <f>IF(AND('Riesgos de gestión'!$Y$49="Alta",'Riesgos de gestión'!$AA$49="Moderado"),CONCATENATE("R7C",'Riesgos de gestión'!$O$49),"")</f>
        <v/>
      </c>
      <c r="Z22" s="53" t="str">
        <f>IF(AND('Riesgos de gestión'!$Y$50="Alta",'Riesgos de gestión'!$AA$50="Moderado"),CONCATENATE("R7C",'Riesgos de gestión'!$O$50),"")</f>
        <v/>
      </c>
      <c r="AA22" s="54" t="str">
        <f>IF(AND('Riesgos de gestión'!$Y$51="Alta",'Riesgos de gestión'!$AA$51="Moderado"),CONCATENATE("R7C",'Riesgos de gestión'!$O$51),"")</f>
        <v/>
      </c>
      <c r="AB22" s="52" t="str">
        <f>IF(AND('Riesgos de gestión'!$Y$46="Alta",'Riesgos de gestión'!$AA$46="Mayor"),CONCATENATE("R7C",'Riesgos de gestión'!$O$46),"")</f>
        <v/>
      </c>
      <c r="AC22" s="53" t="str">
        <f>IF(AND('Riesgos de gestión'!$Y$47="Alta",'Riesgos de gestión'!$AA$47="Mayor"),CONCATENATE("R7C",'Riesgos de gestión'!$O$47),"")</f>
        <v/>
      </c>
      <c r="AD22" s="53" t="str">
        <f>IF(AND('Riesgos de gestión'!$Y$48="Alta",'Riesgos de gestión'!$AA$48="Mayor"),CONCATENATE("R7C",'Riesgos de gestión'!$O$48),"")</f>
        <v/>
      </c>
      <c r="AE22" s="53" t="str">
        <f>IF(AND('Riesgos de gestión'!$Y$49="Alta",'Riesgos de gestión'!$AA$49="Mayor"),CONCATENATE("R7C",'Riesgos de gestión'!$O$49),"")</f>
        <v/>
      </c>
      <c r="AF22" s="53" t="str">
        <f>IF(AND('Riesgos de gestión'!$Y$50="Alta",'Riesgos de gestión'!$AA$50="Mayor"),CONCATENATE("R7C",'Riesgos de gestión'!$O$50),"")</f>
        <v/>
      </c>
      <c r="AG22" s="54" t="str">
        <f>IF(AND('Riesgos de gestión'!$Y$51="Alta",'Riesgos de gestión'!$AA$51="Mayor"),CONCATENATE("R7C",'Riesgos de gestión'!$O$51),"")</f>
        <v/>
      </c>
      <c r="AH22" s="55" t="str">
        <f>IF(AND('Riesgos de gestión'!$Y$46="Alta",'Riesgos de gestión'!$AA$46="Catastrófico"),CONCATENATE("R7C",'Riesgos de gestión'!$O$46),"")</f>
        <v/>
      </c>
      <c r="AI22" s="56" t="str">
        <f>IF(AND('Riesgos de gestión'!$Y$47="Alta",'Riesgos de gestión'!$AA$47="Catastrófico"),CONCATENATE("R7C",'Riesgos de gestión'!$O$47),"")</f>
        <v/>
      </c>
      <c r="AJ22" s="56" t="str">
        <f>IF(AND('Riesgos de gestión'!$Y$48="Alta",'Riesgos de gestión'!$AA$48="Catastrófico"),CONCATENATE("R7C",'Riesgos de gestión'!$O$48),"")</f>
        <v/>
      </c>
      <c r="AK22" s="56" t="str">
        <f>IF(AND('Riesgos de gestión'!$Y$49="Alta",'Riesgos de gestión'!$AA$49="Catastrófico"),CONCATENATE("R7C",'Riesgos de gestión'!$O$49),"")</f>
        <v/>
      </c>
      <c r="AL22" s="56" t="str">
        <f>IF(AND('Riesgos de gestión'!$Y$50="Alta",'Riesgos de gestión'!$AA$50="Catastrófico"),CONCATENATE("R7C",'Riesgos de gestión'!$O$50),"")</f>
        <v/>
      </c>
      <c r="AM22" s="57" t="str">
        <f>IF(AND('Riesgos de gestión'!$Y$51="Alta",'Riesgos de gestión'!$AA$51="Catastrófico"),CONCATENATE("R7C",'Riesgos de gestión'!$O$51),"")</f>
        <v/>
      </c>
      <c r="AN22" s="83"/>
      <c r="AO22" s="1212"/>
      <c r="AP22" s="1213"/>
      <c r="AQ22" s="1213"/>
      <c r="AR22" s="1213"/>
      <c r="AS22" s="1213"/>
      <c r="AT22" s="1214"/>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row>
    <row r="23" spans="1:76" ht="15" customHeight="1" x14ac:dyDescent="0.25">
      <c r="A23" s="83"/>
      <c r="B23" s="1123"/>
      <c r="C23" s="1123"/>
      <c r="D23" s="1124"/>
      <c r="E23" s="1222"/>
      <c r="F23" s="1221"/>
      <c r="G23" s="1221"/>
      <c r="H23" s="1221"/>
      <c r="I23" s="1221"/>
      <c r="J23" s="67" t="str">
        <f>IF(AND('Riesgos de gestión'!$Y$52="Alta",'Riesgos de gestión'!$AA$52="Leve"),CONCATENATE("R8C",'Riesgos de gestión'!$O$52),"")</f>
        <v/>
      </c>
      <c r="K23" s="68" t="str">
        <f>IF(AND('Riesgos de gestión'!$Y$53="Alta",'Riesgos de gestión'!$AA$53="Leve"),CONCATENATE("R8C",'Riesgos de gestión'!$O$53),"")</f>
        <v/>
      </c>
      <c r="L23" s="68" t="str">
        <f>IF(AND('Riesgos de gestión'!$Y$54="Alta",'Riesgos de gestión'!$AA$54="Leve"),CONCATENATE("R8C",'Riesgos de gestión'!$O$54),"")</f>
        <v/>
      </c>
      <c r="M23" s="68" t="str">
        <f>IF(AND('Riesgos de gestión'!$Y$55="Alta",'Riesgos de gestión'!$AA$55="Leve"),CONCATENATE("R8C",'Riesgos de gestión'!$O$55),"")</f>
        <v/>
      </c>
      <c r="N23" s="68" t="str">
        <f>IF(AND('Riesgos de gestión'!$Y$56="Alta",'Riesgos de gestión'!$AA$56="Leve"),CONCATENATE("R8C",'Riesgos de gestión'!$O$56),"")</f>
        <v/>
      </c>
      <c r="O23" s="69" t="str">
        <f>IF(AND('Riesgos de gestión'!$Y$57="Alta",'Riesgos de gestión'!$AA$57="Leve"),CONCATENATE("R8C",'Riesgos de gestión'!$O$57),"")</f>
        <v/>
      </c>
      <c r="P23" s="67" t="str">
        <f>IF(AND('Riesgos de gestión'!$Y$52="Alta",'Riesgos de gestión'!$AA$52="Menor"),CONCATENATE("R8C",'Riesgos de gestión'!$O$52),"")</f>
        <v/>
      </c>
      <c r="Q23" s="68" t="str">
        <f>IF(AND('Riesgos de gestión'!$Y$53="Alta",'Riesgos de gestión'!$AA$53="Menor"),CONCATENATE("R8C",'Riesgos de gestión'!$O$53),"")</f>
        <v/>
      </c>
      <c r="R23" s="68" t="str">
        <f>IF(AND('Riesgos de gestión'!$Y$54="Alta",'Riesgos de gestión'!$AA$54="Menor"),CONCATENATE("R8C",'Riesgos de gestión'!$O$54),"")</f>
        <v/>
      </c>
      <c r="S23" s="68" t="str">
        <f>IF(AND('Riesgos de gestión'!$Y$55="Alta",'Riesgos de gestión'!$AA$55="Menor"),CONCATENATE("R8C",'Riesgos de gestión'!$O$55),"")</f>
        <v/>
      </c>
      <c r="T23" s="68" t="str">
        <f>IF(AND('Riesgos de gestión'!$Y$56="Alta",'Riesgos de gestión'!$AA$56="Menor"),CONCATENATE("R8C",'Riesgos de gestión'!$O$56),"")</f>
        <v/>
      </c>
      <c r="U23" s="69" t="str">
        <f>IF(AND('Riesgos de gestión'!$Y$57="Alta",'Riesgos de gestión'!$AA$57="Menor"),CONCATENATE("R8C",'Riesgos de gestión'!$O$57),"")</f>
        <v/>
      </c>
      <c r="V23" s="52" t="str">
        <f>IF(AND('Riesgos de gestión'!$Y$52="Alta",'Riesgos de gestión'!$AA$52="Moderado"),CONCATENATE("R8C",'Riesgos de gestión'!$O$52),"")</f>
        <v/>
      </c>
      <c r="W23" s="53" t="str">
        <f>IF(AND('Riesgos de gestión'!$Y$53="Alta",'Riesgos de gestión'!$AA$53="Moderado"),CONCATENATE("R8C",'Riesgos de gestión'!$O$53),"")</f>
        <v/>
      </c>
      <c r="X23" s="53" t="str">
        <f>IF(AND('Riesgos de gestión'!$Y$54="Alta",'Riesgos de gestión'!$AA$54="Moderado"),CONCATENATE("R8C",'Riesgos de gestión'!$O$54),"")</f>
        <v/>
      </c>
      <c r="Y23" s="53" t="str">
        <f>IF(AND('Riesgos de gestión'!$Y$55="Alta",'Riesgos de gestión'!$AA$55="Moderado"),CONCATENATE("R8C",'Riesgos de gestión'!$O$55),"")</f>
        <v/>
      </c>
      <c r="Z23" s="53" t="str">
        <f>IF(AND('Riesgos de gestión'!$Y$56="Alta",'Riesgos de gestión'!$AA$56="Moderado"),CONCATENATE("R8C",'Riesgos de gestión'!$O$56),"")</f>
        <v/>
      </c>
      <c r="AA23" s="54" t="str">
        <f>IF(AND('Riesgos de gestión'!$Y$57="Alta",'Riesgos de gestión'!$AA$57="Moderado"),CONCATENATE("R8C",'Riesgos de gestión'!$O$57),"")</f>
        <v/>
      </c>
      <c r="AB23" s="52" t="str">
        <f>IF(AND('Riesgos de gestión'!$Y$52="Alta",'Riesgos de gestión'!$AA$52="Mayor"),CONCATENATE("R8C",'Riesgos de gestión'!$O$52),"")</f>
        <v/>
      </c>
      <c r="AC23" s="53" t="str">
        <f>IF(AND('Riesgos de gestión'!$Y$53="Alta",'Riesgos de gestión'!$AA$53="Mayor"),CONCATENATE("R8C",'Riesgos de gestión'!$O$53),"")</f>
        <v/>
      </c>
      <c r="AD23" s="53" t="str">
        <f>IF(AND('Riesgos de gestión'!$Y$54="Alta",'Riesgos de gestión'!$AA$54="Mayor"),CONCATENATE("R8C",'Riesgos de gestión'!$O$54),"")</f>
        <v/>
      </c>
      <c r="AE23" s="53" t="str">
        <f>IF(AND('Riesgos de gestión'!$Y$55="Alta",'Riesgos de gestión'!$AA$55="Mayor"),CONCATENATE("R8C",'Riesgos de gestión'!$O$55),"")</f>
        <v/>
      </c>
      <c r="AF23" s="53" t="str">
        <f>IF(AND('Riesgos de gestión'!$Y$56="Alta",'Riesgos de gestión'!$AA$56="Mayor"),CONCATENATE("R8C",'Riesgos de gestión'!$O$56),"")</f>
        <v/>
      </c>
      <c r="AG23" s="54" t="str">
        <f>IF(AND('Riesgos de gestión'!$Y$57="Alta",'Riesgos de gestión'!$AA$57="Mayor"),CONCATENATE("R8C",'Riesgos de gestión'!$O$57),"")</f>
        <v/>
      </c>
      <c r="AH23" s="55" t="str">
        <f>IF(AND('Riesgos de gestión'!$Y$52="Alta",'Riesgos de gestión'!$AA$52="Catastrófico"),CONCATENATE("R8C",'Riesgos de gestión'!$O$52),"")</f>
        <v/>
      </c>
      <c r="AI23" s="56" t="str">
        <f>IF(AND('Riesgos de gestión'!$Y$53="Alta",'Riesgos de gestión'!$AA$53="Catastrófico"),CONCATENATE("R8C",'Riesgos de gestión'!$O$53),"")</f>
        <v/>
      </c>
      <c r="AJ23" s="56" t="str">
        <f>IF(AND('Riesgos de gestión'!$Y$54="Alta",'Riesgos de gestión'!$AA$54="Catastrófico"),CONCATENATE("R8C",'Riesgos de gestión'!$O$54),"")</f>
        <v/>
      </c>
      <c r="AK23" s="56" t="str">
        <f>IF(AND('Riesgos de gestión'!$Y$55="Alta",'Riesgos de gestión'!$AA$55="Catastrófico"),CONCATENATE("R8C",'Riesgos de gestión'!$O$55),"")</f>
        <v/>
      </c>
      <c r="AL23" s="56" t="str">
        <f>IF(AND('Riesgos de gestión'!$Y$56="Alta",'Riesgos de gestión'!$AA$56="Catastrófico"),CONCATENATE("R8C",'Riesgos de gestión'!$O$56),"")</f>
        <v/>
      </c>
      <c r="AM23" s="57" t="str">
        <f>IF(AND('Riesgos de gestión'!$Y$57="Alta",'Riesgos de gestión'!$AA$57="Catastrófico"),CONCATENATE("R8C",'Riesgos de gestión'!$O$57),"")</f>
        <v/>
      </c>
      <c r="AN23" s="83"/>
      <c r="AO23" s="1212"/>
      <c r="AP23" s="1213"/>
      <c r="AQ23" s="1213"/>
      <c r="AR23" s="1213"/>
      <c r="AS23" s="1213"/>
      <c r="AT23" s="1214"/>
      <c r="AU23" s="83"/>
      <c r="AV23" s="83"/>
      <c r="AW23" s="83"/>
      <c r="AX23" s="83"/>
      <c r="AY23" s="83"/>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row>
    <row r="24" spans="1:76" ht="15" customHeight="1" x14ac:dyDescent="0.25">
      <c r="A24" s="83"/>
      <c r="B24" s="1123"/>
      <c r="C24" s="1123"/>
      <c r="D24" s="1124"/>
      <c r="E24" s="1222"/>
      <c r="F24" s="1221"/>
      <c r="G24" s="1221"/>
      <c r="H24" s="1221"/>
      <c r="I24" s="1221"/>
      <c r="J24" s="67" t="str">
        <f>IF(AND('Riesgos de gestión'!$Y$58="Alta",'Riesgos de gestión'!$AA$58="Leve"),CONCATENATE("R9C",'Riesgos de gestión'!$O$58),"")</f>
        <v/>
      </c>
      <c r="K24" s="68" t="str">
        <f>IF(AND('Riesgos de gestión'!$Y$59="Alta",'Riesgos de gestión'!$AA$59="Leve"),CONCATENATE("R9C",'Riesgos de gestión'!$O$59),"")</f>
        <v/>
      </c>
      <c r="L24" s="68" t="str">
        <f>IF(AND('Riesgos de gestión'!$Y$60="Alta",'Riesgos de gestión'!$AA$60="Leve"),CONCATENATE("R9C",'Riesgos de gestión'!$O$60),"")</f>
        <v/>
      </c>
      <c r="M24" s="68" t="str">
        <f>IF(AND('Riesgos de gestión'!$Y$61="Alta",'Riesgos de gestión'!$AA$61="Leve"),CONCATENATE("R9C",'Riesgos de gestión'!$O$61),"")</f>
        <v/>
      </c>
      <c r="N24" s="68" t="str">
        <f>IF(AND('Riesgos de gestión'!$Y$62="Alta",'Riesgos de gestión'!$AA$62="Leve"),CONCATENATE("R9C",'Riesgos de gestión'!$O$62),"")</f>
        <v/>
      </c>
      <c r="O24" s="69" t="str">
        <f>IF(AND('Riesgos de gestión'!$Y$63="Alta",'Riesgos de gestión'!$AA$63="Leve"),CONCATENATE("R9C",'Riesgos de gestión'!$O$63),"")</f>
        <v/>
      </c>
      <c r="P24" s="67" t="str">
        <f>IF(AND('Riesgos de gestión'!$Y$58="Alta",'Riesgos de gestión'!$AA$58="Menor"),CONCATENATE("R9C",'Riesgos de gestión'!$O$58),"")</f>
        <v/>
      </c>
      <c r="Q24" s="68" t="str">
        <f>IF(AND('Riesgos de gestión'!$Y$59="Alta",'Riesgos de gestión'!$AA$59="Menor"),CONCATENATE("R9C",'Riesgos de gestión'!$O$59),"")</f>
        <v/>
      </c>
      <c r="R24" s="68" t="str">
        <f>IF(AND('Riesgos de gestión'!$Y$60="Alta",'Riesgos de gestión'!$AA$60="Menor"),CONCATENATE("R9C",'Riesgos de gestión'!$O$60),"")</f>
        <v/>
      </c>
      <c r="S24" s="68" t="str">
        <f>IF(AND('Riesgos de gestión'!$Y$61="Alta",'Riesgos de gestión'!$AA$61="Menor"),CONCATENATE("R9C",'Riesgos de gestión'!$O$61),"")</f>
        <v/>
      </c>
      <c r="T24" s="68" t="str">
        <f>IF(AND('Riesgos de gestión'!$Y$62="Alta",'Riesgos de gestión'!$AA$62="Menor"),CONCATENATE("R9C",'Riesgos de gestión'!$O$62),"")</f>
        <v/>
      </c>
      <c r="U24" s="69" t="str">
        <f>IF(AND('Riesgos de gestión'!$Y$63="Alta",'Riesgos de gestión'!$AA$63="Menor"),CONCATENATE("R9C",'Riesgos de gestión'!$O$63),"")</f>
        <v/>
      </c>
      <c r="V24" s="52" t="str">
        <f>IF(AND('Riesgos de gestión'!$Y$58="Alta",'Riesgos de gestión'!$AA$58="Moderado"),CONCATENATE("R9C",'Riesgos de gestión'!$O$58),"")</f>
        <v/>
      </c>
      <c r="W24" s="53" t="str">
        <f>IF(AND('Riesgos de gestión'!$Y$59="Alta",'Riesgos de gestión'!$AA$59="Moderado"),CONCATENATE("R9C",'Riesgos de gestión'!$O$59),"")</f>
        <v/>
      </c>
      <c r="X24" s="53" t="str">
        <f>IF(AND('Riesgos de gestión'!$Y$60="Alta",'Riesgos de gestión'!$AA$60="Moderado"),CONCATENATE("R9C",'Riesgos de gestión'!$O$60),"")</f>
        <v/>
      </c>
      <c r="Y24" s="53" t="str">
        <f>IF(AND('Riesgos de gestión'!$Y$61="Alta",'Riesgos de gestión'!$AA$61="Moderado"),CONCATENATE("R9C",'Riesgos de gestión'!$O$61),"")</f>
        <v/>
      </c>
      <c r="Z24" s="53" t="str">
        <f>IF(AND('Riesgos de gestión'!$Y$62="Alta",'Riesgos de gestión'!$AA$62="Moderado"),CONCATENATE("R9C",'Riesgos de gestión'!$O$62),"")</f>
        <v/>
      </c>
      <c r="AA24" s="54" t="str">
        <f>IF(AND('Riesgos de gestión'!$Y$63="Alta",'Riesgos de gestión'!$AA$63="Moderado"),CONCATENATE("R9C",'Riesgos de gestión'!$O$63),"")</f>
        <v/>
      </c>
      <c r="AB24" s="52" t="str">
        <f>IF(AND('Riesgos de gestión'!$Y$58="Alta",'Riesgos de gestión'!$AA$58="Mayor"),CONCATENATE("R9C",'Riesgos de gestión'!$O$58),"")</f>
        <v/>
      </c>
      <c r="AC24" s="53" t="str">
        <f>IF(AND('Riesgos de gestión'!$Y$59="Alta",'Riesgos de gestión'!$AA$59="Mayor"),CONCATENATE("R9C",'Riesgos de gestión'!$O$59),"")</f>
        <v/>
      </c>
      <c r="AD24" s="53" t="str">
        <f>IF(AND('Riesgos de gestión'!$Y$60="Alta",'Riesgos de gestión'!$AA$60="Mayor"),CONCATENATE("R9C",'Riesgos de gestión'!$O$60),"")</f>
        <v/>
      </c>
      <c r="AE24" s="53" t="str">
        <f>IF(AND('Riesgos de gestión'!$Y$61="Alta",'Riesgos de gestión'!$AA$61="Mayor"),CONCATENATE("R9C",'Riesgos de gestión'!$O$61),"")</f>
        <v/>
      </c>
      <c r="AF24" s="53" t="str">
        <f>IF(AND('Riesgos de gestión'!$Y$62="Alta",'Riesgos de gestión'!$AA$62="Mayor"),CONCATENATE("R9C",'Riesgos de gestión'!$O$62),"")</f>
        <v/>
      </c>
      <c r="AG24" s="54" t="str">
        <f>IF(AND('Riesgos de gestión'!$Y$63="Alta",'Riesgos de gestión'!$AA$63="Mayor"),CONCATENATE("R9C",'Riesgos de gestión'!$O$63),"")</f>
        <v/>
      </c>
      <c r="AH24" s="55" t="str">
        <f>IF(AND('Riesgos de gestión'!$Y$58="Alta",'Riesgos de gestión'!$AA$58="Catastrófico"),CONCATENATE("R9C",'Riesgos de gestión'!$O$58),"")</f>
        <v/>
      </c>
      <c r="AI24" s="56" t="str">
        <f>IF(AND('Riesgos de gestión'!$Y$59="Alta",'Riesgos de gestión'!$AA$59="Catastrófico"),CONCATENATE("R9C",'Riesgos de gestión'!$O$59),"")</f>
        <v/>
      </c>
      <c r="AJ24" s="56" t="str">
        <f>IF(AND('Riesgos de gestión'!$Y$60="Alta",'Riesgos de gestión'!$AA$60="Catastrófico"),CONCATENATE("R9C",'Riesgos de gestión'!$O$60),"")</f>
        <v/>
      </c>
      <c r="AK24" s="56" t="str">
        <f>IF(AND('Riesgos de gestión'!$Y$61="Alta",'Riesgos de gestión'!$AA$61="Catastrófico"),CONCATENATE("R9C",'Riesgos de gestión'!$O$61),"")</f>
        <v/>
      </c>
      <c r="AL24" s="56" t="str">
        <f>IF(AND('Riesgos de gestión'!$Y$62="Alta",'Riesgos de gestión'!$AA$62="Catastrófico"),CONCATENATE("R9C",'Riesgos de gestión'!$O$62),"")</f>
        <v/>
      </c>
      <c r="AM24" s="57" t="str">
        <f>IF(AND('Riesgos de gestión'!$Y$63="Alta",'Riesgos de gestión'!$AA$63="Catastrófico"),CONCATENATE("R9C",'Riesgos de gestión'!$O$63),"")</f>
        <v/>
      </c>
      <c r="AN24" s="83"/>
      <c r="AO24" s="1212"/>
      <c r="AP24" s="1213"/>
      <c r="AQ24" s="1213"/>
      <c r="AR24" s="1213"/>
      <c r="AS24" s="1213"/>
      <c r="AT24" s="1214"/>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row>
    <row r="25" spans="1:76" ht="15.75" customHeight="1" thickBot="1" x14ac:dyDescent="0.3">
      <c r="A25" s="83"/>
      <c r="B25" s="1123"/>
      <c r="C25" s="1123"/>
      <c r="D25" s="1124"/>
      <c r="E25" s="1223"/>
      <c r="F25" s="1224"/>
      <c r="G25" s="1224"/>
      <c r="H25" s="1224"/>
      <c r="I25" s="1224"/>
      <c r="J25" s="70" t="str">
        <f>IF(AND('Riesgos de gestión'!$Y$64="Alta",'Riesgos de gestión'!$AA$64="Leve"),CONCATENATE("R10C",'Riesgos de gestión'!$O$64),"")</f>
        <v/>
      </c>
      <c r="K25" s="71" t="str">
        <f>IF(AND('Riesgos de gestión'!$Y$65="Alta",'Riesgos de gestión'!$AA$65="Leve"),CONCATENATE("R10C",'Riesgos de gestión'!$O$65),"")</f>
        <v/>
      </c>
      <c r="L25" s="71" t="str">
        <f>IF(AND('Riesgos de gestión'!$Y$66="Alta",'Riesgos de gestión'!$AA$66="Leve"),CONCATENATE("R10C",'Riesgos de gestión'!$O$66),"")</f>
        <v/>
      </c>
      <c r="M25" s="71" t="str">
        <f>IF(AND('Riesgos de gestión'!$Y$67="Alta",'Riesgos de gestión'!$AA$67="Leve"),CONCATENATE("R10C",'Riesgos de gestión'!$O$67),"")</f>
        <v/>
      </c>
      <c r="N25" s="71" t="str">
        <f>IF(AND('Riesgos de gestión'!$Y$68="Alta",'Riesgos de gestión'!$AA$68="Leve"),CONCATENATE("R10C",'Riesgos de gestión'!$O$68),"")</f>
        <v/>
      </c>
      <c r="O25" s="72" t="str">
        <f>IF(AND('Riesgos de gestión'!$Y$69="Alta",'Riesgos de gestión'!$AA$69="Leve"),CONCATENATE("R10C",'Riesgos de gestión'!$O$69),"")</f>
        <v/>
      </c>
      <c r="P25" s="70" t="str">
        <f>IF(AND('Riesgos de gestión'!$Y$64="Alta",'Riesgos de gestión'!$AA$64="Menor"),CONCATENATE("R10C",'Riesgos de gestión'!$O$64),"")</f>
        <v/>
      </c>
      <c r="Q25" s="71" t="str">
        <f>IF(AND('Riesgos de gestión'!$Y$65="Alta",'Riesgos de gestión'!$AA$65="Menor"),CONCATENATE("R10C",'Riesgos de gestión'!$O$65),"")</f>
        <v/>
      </c>
      <c r="R25" s="71" t="str">
        <f>IF(AND('Riesgos de gestión'!$Y$66="Alta",'Riesgos de gestión'!$AA$66="Menor"),CONCATENATE("R10C",'Riesgos de gestión'!$O$66),"")</f>
        <v/>
      </c>
      <c r="S25" s="71" t="str">
        <f>IF(AND('Riesgos de gestión'!$Y$67="Alta",'Riesgos de gestión'!$AA$67="Menor"),CONCATENATE("R10C",'Riesgos de gestión'!$O$67),"")</f>
        <v/>
      </c>
      <c r="T25" s="71" t="str">
        <f>IF(AND('Riesgos de gestión'!$Y$68="Alta",'Riesgos de gestión'!$AA$68="Menor"),CONCATENATE("R10C",'Riesgos de gestión'!$O$68),"")</f>
        <v/>
      </c>
      <c r="U25" s="72" t="str">
        <f>IF(AND('Riesgos de gestión'!$Y$69="Alta",'Riesgos de gestión'!$AA$69="Menor"),CONCATENATE("R10C",'Riesgos de gestión'!$O$69),"")</f>
        <v/>
      </c>
      <c r="V25" s="58" t="str">
        <f>IF(AND('Riesgos de gestión'!$Y$64="Alta",'Riesgos de gestión'!$AA$64="Moderado"),CONCATENATE("R10C",'Riesgos de gestión'!$O$64),"")</f>
        <v/>
      </c>
      <c r="W25" s="59" t="str">
        <f>IF(AND('Riesgos de gestión'!$Y$65="Alta",'Riesgos de gestión'!$AA$65="Moderado"),CONCATENATE("R10C",'Riesgos de gestión'!$O$65),"")</f>
        <v/>
      </c>
      <c r="X25" s="59" t="str">
        <f>IF(AND('Riesgos de gestión'!$Y$66="Alta",'Riesgos de gestión'!$AA$66="Moderado"),CONCATENATE("R10C",'Riesgos de gestión'!$O$66),"")</f>
        <v/>
      </c>
      <c r="Y25" s="59" t="str">
        <f>IF(AND('Riesgos de gestión'!$Y$67="Alta",'Riesgos de gestión'!$AA$67="Moderado"),CONCATENATE("R10C",'Riesgos de gestión'!$O$67),"")</f>
        <v/>
      </c>
      <c r="Z25" s="59" t="str">
        <f>IF(AND('Riesgos de gestión'!$Y$68="Alta",'Riesgos de gestión'!$AA$68="Moderado"),CONCATENATE("R10C",'Riesgos de gestión'!$O$68),"")</f>
        <v/>
      </c>
      <c r="AA25" s="60" t="str">
        <f>IF(AND('Riesgos de gestión'!$Y$69="Alta",'Riesgos de gestión'!$AA$69="Moderado"),CONCATENATE("R10C",'Riesgos de gestión'!$O$69),"")</f>
        <v/>
      </c>
      <c r="AB25" s="58" t="str">
        <f>IF(AND('Riesgos de gestión'!$Y$64="Alta",'Riesgos de gestión'!$AA$64="Mayor"),CONCATENATE("R10C",'Riesgos de gestión'!$O$64),"")</f>
        <v/>
      </c>
      <c r="AC25" s="59" t="str">
        <f>IF(AND('Riesgos de gestión'!$Y$65="Alta",'Riesgos de gestión'!$AA$65="Mayor"),CONCATENATE("R10C",'Riesgos de gestión'!$O$65),"")</f>
        <v/>
      </c>
      <c r="AD25" s="59" t="str">
        <f>IF(AND('Riesgos de gestión'!$Y$66="Alta",'Riesgos de gestión'!$AA$66="Mayor"),CONCATENATE("R10C",'Riesgos de gestión'!$O$66),"")</f>
        <v/>
      </c>
      <c r="AE25" s="59" t="str">
        <f>IF(AND('Riesgos de gestión'!$Y$67="Alta",'Riesgos de gestión'!$AA$67="Mayor"),CONCATENATE("R10C",'Riesgos de gestión'!$O$67),"")</f>
        <v/>
      </c>
      <c r="AF25" s="59" t="str">
        <f>IF(AND('Riesgos de gestión'!$Y$68="Alta",'Riesgos de gestión'!$AA$68="Mayor"),CONCATENATE("R10C",'Riesgos de gestión'!$O$68),"")</f>
        <v/>
      </c>
      <c r="AG25" s="60" t="str">
        <f>IF(AND('Riesgos de gestión'!$Y$69="Alta",'Riesgos de gestión'!$AA$69="Mayor"),CONCATENATE("R10C",'Riesgos de gestión'!$O$69),"")</f>
        <v/>
      </c>
      <c r="AH25" s="61" t="str">
        <f>IF(AND('Riesgos de gestión'!$Y$64="Alta",'Riesgos de gestión'!$AA$64="Catastrófico"),CONCATENATE("R10C",'Riesgos de gestión'!$O$64),"")</f>
        <v/>
      </c>
      <c r="AI25" s="62" t="str">
        <f>IF(AND('Riesgos de gestión'!$Y$65="Alta",'Riesgos de gestión'!$AA$65="Catastrófico"),CONCATENATE("R10C",'Riesgos de gestión'!$O$65),"")</f>
        <v/>
      </c>
      <c r="AJ25" s="62" t="str">
        <f>IF(AND('Riesgos de gestión'!$Y$66="Alta",'Riesgos de gestión'!$AA$66="Catastrófico"),CONCATENATE("R10C",'Riesgos de gestión'!$O$66),"")</f>
        <v/>
      </c>
      <c r="AK25" s="62" t="str">
        <f>IF(AND('Riesgos de gestión'!$Y$67="Alta",'Riesgos de gestión'!$AA$67="Catastrófico"),CONCATENATE("R10C",'Riesgos de gestión'!$O$67),"")</f>
        <v/>
      </c>
      <c r="AL25" s="62" t="str">
        <f>IF(AND('Riesgos de gestión'!$Y$68="Alta",'Riesgos de gestión'!$AA$68="Catastrófico"),CONCATENATE("R10C",'Riesgos de gestión'!$O$68),"")</f>
        <v/>
      </c>
      <c r="AM25" s="63" t="str">
        <f>IF(AND('Riesgos de gestión'!$Y$69="Alta",'Riesgos de gestión'!$AA$69="Catastrófico"),CONCATENATE("R10C",'Riesgos de gestión'!$O$69),"")</f>
        <v/>
      </c>
      <c r="AN25" s="83"/>
      <c r="AO25" s="1215"/>
      <c r="AP25" s="1216"/>
      <c r="AQ25" s="1216"/>
      <c r="AR25" s="1216"/>
      <c r="AS25" s="1216"/>
      <c r="AT25" s="1217"/>
      <c r="AU25" s="83"/>
      <c r="AV25" s="83"/>
      <c r="AW25" s="83"/>
      <c r="AX25" s="83"/>
      <c r="AY25" s="83"/>
      <c r="AZ25" s="83"/>
      <c r="BA25" s="83"/>
      <c r="BB25" s="83"/>
      <c r="BC25" s="83"/>
      <c r="BD25" s="83"/>
      <c r="BE25" s="83"/>
      <c r="BF25" s="83"/>
      <c r="BG25" s="83"/>
      <c r="BH25" s="83"/>
      <c r="BI25" s="83"/>
      <c r="BJ25" s="83"/>
      <c r="BK25" s="83"/>
      <c r="BL25" s="83"/>
      <c r="BM25" s="83"/>
      <c r="BN25" s="83"/>
      <c r="BO25" s="83"/>
      <c r="BP25" s="83"/>
      <c r="BQ25" s="83"/>
      <c r="BR25" s="83"/>
      <c r="BS25" s="83"/>
      <c r="BT25" s="83"/>
      <c r="BU25" s="83"/>
      <c r="BV25" s="83"/>
      <c r="BW25" s="83"/>
      <c r="BX25" s="83"/>
    </row>
    <row r="26" spans="1:76" ht="15" customHeight="1" x14ac:dyDescent="0.25">
      <c r="A26" s="83"/>
      <c r="B26" s="1123"/>
      <c r="C26" s="1123"/>
      <c r="D26" s="1124"/>
      <c r="E26" s="1218" t="s">
        <v>117</v>
      </c>
      <c r="F26" s="1219"/>
      <c r="G26" s="1219"/>
      <c r="H26" s="1219"/>
      <c r="I26" s="1236"/>
      <c r="J26" s="64" t="str">
        <f ca="1">IF(AND('Riesgos de gestión'!$Y$10="Media",'Riesgos de gestión'!$AA$10="Leve"),CONCATENATE("R1C",'Riesgos de gestión'!$O$10),"")</f>
        <v/>
      </c>
      <c r="K26" s="65" t="str">
        <f>IF(AND('Riesgos de gestión'!$Y$11="Media",'Riesgos de gestión'!$AA$11="Leve"),CONCATENATE("R1C",'Riesgos de gestión'!$O$11),"")</f>
        <v/>
      </c>
      <c r="L26" s="65" t="str">
        <f>IF(AND('Riesgos de gestión'!$Y$12="Media",'Riesgos de gestión'!$AA$12="Leve"),CONCATENATE("R1C",'Riesgos de gestión'!$O$12),"")</f>
        <v/>
      </c>
      <c r="M26" s="65" t="str">
        <f>IF(AND('Riesgos de gestión'!$Y$13="Media",'Riesgos de gestión'!$AA$13="Leve"),CONCATENATE("R1C",'Riesgos de gestión'!$O$13),"")</f>
        <v/>
      </c>
      <c r="N26" s="65" t="str">
        <f>IF(AND('Riesgos de gestión'!$Y$14="Media",'Riesgos de gestión'!$AA$14="Leve"),CONCATENATE("R1C",'Riesgos de gestión'!$O$14),"")</f>
        <v/>
      </c>
      <c r="O26" s="66" t="str">
        <f>IF(AND('Riesgos de gestión'!$Y$15="Media",'Riesgos de gestión'!$AA$15="Leve"),CONCATENATE("R1C",'Riesgos de gestión'!$O$15),"")</f>
        <v/>
      </c>
      <c r="P26" s="64" t="str">
        <f ca="1">IF(AND('Riesgos de gestión'!$Y$10="Media",'Riesgos de gestión'!$AA$10="Menor"),CONCATENATE("R1C",'Riesgos de gestión'!$O$10),"")</f>
        <v/>
      </c>
      <c r="Q26" s="65" t="str">
        <f>IF(AND('Riesgos de gestión'!$Y$11="Media",'Riesgos de gestión'!$AA$11="Menor"),CONCATENATE("R1C",'Riesgos de gestión'!$O$11),"")</f>
        <v/>
      </c>
      <c r="R26" s="65" t="str">
        <f>IF(AND('Riesgos de gestión'!$Y$12="Media",'Riesgos de gestión'!$AA$12="Menor"),CONCATENATE("R1C",'Riesgos de gestión'!$O$12),"")</f>
        <v/>
      </c>
      <c r="S26" s="65" t="str">
        <f>IF(AND('Riesgos de gestión'!$Y$13="Media",'Riesgos de gestión'!$AA$13="Menor"),CONCATENATE("R1C",'Riesgos de gestión'!$O$13),"")</f>
        <v/>
      </c>
      <c r="T26" s="65" t="str">
        <f>IF(AND('Riesgos de gestión'!$Y$14="Media",'Riesgos de gestión'!$AA$14="Menor"),CONCATENATE("R1C",'Riesgos de gestión'!$O$14),"")</f>
        <v/>
      </c>
      <c r="U26" s="66" t="str">
        <f>IF(AND('Riesgos de gestión'!$Y$15="Media",'Riesgos de gestión'!$AA$15="Menor"),CONCATENATE("R1C",'Riesgos de gestión'!$O$15),"")</f>
        <v/>
      </c>
      <c r="V26" s="64" t="str">
        <f ca="1">IF(AND('Riesgos de gestión'!$Y$10="Media",'Riesgos de gestión'!$AA$10="Moderado"),CONCATENATE("R1C",'Riesgos de gestión'!$O$10),"")</f>
        <v/>
      </c>
      <c r="W26" s="65" t="str">
        <f>IF(AND('Riesgos de gestión'!$Y$11="Media",'Riesgos de gestión'!$AA$11="Moderado"),CONCATENATE("R1C",'Riesgos de gestión'!$O$11),"")</f>
        <v/>
      </c>
      <c r="X26" s="65" t="str">
        <f>IF(AND('Riesgos de gestión'!$Y$12="Media",'Riesgos de gestión'!$AA$12="Moderado"),CONCATENATE("R1C",'Riesgos de gestión'!$O$12),"")</f>
        <v/>
      </c>
      <c r="Y26" s="65" t="str">
        <f>IF(AND('Riesgos de gestión'!$Y$13="Media",'Riesgos de gestión'!$AA$13="Moderado"),CONCATENATE("R1C",'Riesgos de gestión'!$O$13),"")</f>
        <v/>
      </c>
      <c r="Z26" s="65" t="str">
        <f>IF(AND('Riesgos de gestión'!$Y$14="Media",'Riesgos de gestión'!$AA$14="Moderado"),CONCATENATE("R1C",'Riesgos de gestión'!$O$14),"")</f>
        <v/>
      </c>
      <c r="AA26" s="66" t="str">
        <f>IF(AND('Riesgos de gestión'!$Y$15="Media",'Riesgos de gestión'!$AA$15="Moderado"),CONCATENATE("R1C",'Riesgos de gestión'!$O$15),"")</f>
        <v/>
      </c>
      <c r="AB26" s="46" t="str">
        <f ca="1">IF(AND('Riesgos de gestión'!$Y$10="Media",'Riesgos de gestión'!$AA$10="Mayor"),CONCATENATE("R1C",'Riesgos de gestión'!$O$10),"")</f>
        <v/>
      </c>
      <c r="AC26" s="47" t="str">
        <f>IF(AND('Riesgos de gestión'!$Y$11="Media",'Riesgos de gestión'!$AA$11="Mayor"),CONCATENATE("R1C",'Riesgos de gestión'!$O$11),"")</f>
        <v/>
      </c>
      <c r="AD26" s="47" t="str">
        <f>IF(AND('Riesgos de gestión'!$Y$12="Media",'Riesgos de gestión'!$AA$12="Mayor"),CONCATENATE("R1C",'Riesgos de gestión'!$O$12),"")</f>
        <v/>
      </c>
      <c r="AE26" s="47" t="str">
        <f>IF(AND('Riesgos de gestión'!$Y$13="Media",'Riesgos de gestión'!$AA$13="Mayor"),CONCATENATE("R1C",'Riesgos de gestión'!$O$13),"")</f>
        <v/>
      </c>
      <c r="AF26" s="47" t="str">
        <f>IF(AND('Riesgos de gestión'!$Y$14="Media",'Riesgos de gestión'!$AA$14="Mayor"),CONCATENATE("R1C",'Riesgos de gestión'!$O$14),"")</f>
        <v/>
      </c>
      <c r="AG26" s="48" t="str">
        <f>IF(AND('Riesgos de gestión'!$Y$15="Media",'Riesgos de gestión'!$AA$15="Mayor"),CONCATENATE("R1C",'Riesgos de gestión'!$O$15),"")</f>
        <v/>
      </c>
      <c r="AH26" s="49" t="str">
        <f ca="1">IF(AND('Riesgos de gestión'!$Y$10="Media",'Riesgos de gestión'!$AA$10="Catastrófico"),CONCATENATE("R1C",'Riesgos de gestión'!$O$10),"")</f>
        <v/>
      </c>
      <c r="AI26" s="50" t="str">
        <f>IF(AND('Riesgos de gestión'!$Y$11="Media",'Riesgos de gestión'!$AA$11="Catastrófico"),CONCATENATE("R1C",'Riesgos de gestión'!$O$11),"")</f>
        <v/>
      </c>
      <c r="AJ26" s="50" t="str">
        <f>IF(AND('Riesgos de gestión'!$Y$12="Media",'Riesgos de gestión'!$AA$12="Catastrófico"),CONCATENATE("R1C",'Riesgos de gestión'!$O$12),"")</f>
        <v/>
      </c>
      <c r="AK26" s="50" t="str">
        <f>IF(AND('Riesgos de gestión'!$Y$13="Media",'Riesgos de gestión'!$AA$13="Catastrófico"),CONCATENATE("R1C",'Riesgos de gestión'!$O$13),"")</f>
        <v/>
      </c>
      <c r="AL26" s="50" t="str">
        <f>IF(AND('Riesgos de gestión'!$Y$14="Media",'Riesgos de gestión'!$AA$14="Catastrófico"),CONCATENATE("R1C",'Riesgos de gestión'!$O$14),"")</f>
        <v/>
      </c>
      <c r="AM26" s="51" t="str">
        <f>IF(AND('Riesgos de gestión'!$Y$15="Media",'Riesgos de gestión'!$AA$15="Catastrófico"),CONCATENATE("R1C",'Riesgos de gestión'!$O$15),"")</f>
        <v/>
      </c>
      <c r="AN26" s="83"/>
      <c r="AO26" s="1248" t="s">
        <v>81</v>
      </c>
      <c r="AP26" s="1249"/>
      <c r="AQ26" s="1249"/>
      <c r="AR26" s="1249"/>
      <c r="AS26" s="1249"/>
      <c r="AT26" s="1250"/>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row>
    <row r="27" spans="1:76" ht="15" customHeight="1" x14ac:dyDescent="0.25">
      <c r="A27" s="83"/>
      <c r="B27" s="1123"/>
      <c r="C27" s="1123"/>
      <c r="D27" s="1124"/>
      <c r="E27" s="1220"/>
      <c r="F27" s="1221"/>
      <c r="G27" s="1221"/>
      <c r="H27" s="1221"/>
      <c r="I27" s="1237"/>
      <c r="J27" s="67" t="str">
        <f>IF(AND('Riesgos de gestión'!$Y$16="Media",'Riesgos de gestión'!$AA$16="Leve"),CONCATENATE("R2C",'Riesgos de gestión'!$O$16),"")</f>
        <v/>
      </c>
      <c r="K27" s="68" t="str">
        <f>IF(AND('Riesgos de gestión'!$Y$17="Media",'Riesgos de gestión'!$AA$17="Leve"),CONCATENATE("R2C",'Riesgos de gestión'!$O$17),"")</f>
        <v/>
      </c>
      <c r="L27" s="68" t="str">
        <f>IF(AND('Riesgos de gestión'!$Y$18="Media",'Riesgos de gestión'!$AA$18="Leve"),CONCATENATE("R2C",'Riesgos de gestión'!$O$18),"")</f>
        <v/>
      </c>
      <c r="M27" s="68" t="str">
        <f>IF(AND('Riesgos de gestión'!$Y$19="Media",'Riesgos de gestión'!$AA$19="Leve"),CONCATENATE("R2C",'Riesgos de gestión'!$O$19),"")</f>
        <v/>
      </c>
      <c r="N27" s="68" t="str">
        <f>IF(AND('Riesgos de gestión'!$Y$20="Media",'Riesgos de gestión'!$AA$20="Leve"),CONCATENATE("R2C",'Riesgos de gestión'!$O$20),"")</f>
        <v/>
      </c>
      <c r="O27" s="69" t="str">
        <f>IF(AND('Riesgos de gestión'!$Y$21="Media",'Riesgos de gestión'!$AA$21="Leve"),CONCATENATE("R2C",'Riesgos de gestión'!$O$21),"")</f>
        <v/>
      </c>
      <c r="P27" s="67" t="str">
        <f>IF(AND('Riesgos de gestión'!$Y$16="Media",'Riesgos de gestión'!$AA$16="Menor"),CONCATENATE("R2C",'Riesgos de gestión'!$O$16),"")</f>
        <v/>
      </c>
      <c r="Q27" s="68" t="str">
        <f>IF(AND('Riesgos de gestión'!$Y$17="Media",'Riesgos de gestión'!$AA$17="Menor"),CONCATENATE("R2C",'Riesgos de gestión'!$O$17),"")</f>
        <v/>
      </c>
      <c r="R27" s="68" t="str">
        <f>IF(AND('Riesgos de gestión'!$Y$18="Media",'Riesgos de gestión'!$AA$18="Menor"),CONCATENATE("R2C",'Riesgos de gestión'!$O$18),"")</f>
        <v/>
      </c>
      <c r="S27" s="68" t="str">
        <f>IF(AND('Riesgos de gestión'!$Y$19="Media",'Riesgos de gestión'!$AA$19="Menor"),CONCATENATE("R2C",'Riesgos de gestión'!$O$19),"")</f>
        <v/>
      </c>
      <c r="T27" s="68" t="str">
        <f>IF(AND('Riesgos de gestión'!$Y$20="Media",'Riesgos de gestión'!$AA$20="Menor"),CONCATENATE("R2C",'Riesgos de gestión'!$O$20),"")</f>
        <v/>
      </c>
      <c r="U27" s="69" t="str">
        <f>IF(AND('Riesgos de gestión'!$Y$21="Media",'Riesgos de gestión'!$AA$21="Menor"),CONCATENATE("R2C",'Riesgos de gestión'!$O$21),"")</f>
        <v/>
      </c>
      <c r="V27" s="67" t="str">
        <f>IF(AND('Riesgos de gestión'!$Y$16="Media",'Riesgos de gestión'!$AA$16="Moderado"),CONCATENATE("R2C",'Riesgos de gestión'!$O$16),"")</f>
        <v/>
      </c>
      <c r="W27" s="68" t="str">
        <f>IF(AND('Riesgos de gestión'!$Y$17="Media",'Riesgos de gestión'!$AA$17="Moderado"),CONCATENATE("R2C",'Riesgos de gestión'!$O$17),"")</f>
        <v/>
      </c>
      <c r="X27" s="68" t="str">
        <f>IF(AND('Riesgos de gestión'!$Y$18="Media",'Riesgos de gestión'!$AA$18="Moderado"),CONCATENATE("R2C",'Riesgos de gestión'!$O$18),"")</f>
        <v/>
      </c>
      <c r="Y27" s="68" t="str">
        <f>IF(AND('Riesgos de gestión'!$Y$19="Media",'Riesgos de gestión'!$AA$19="Moderado"),CONCATENATE("R2C",'Riesgos de gestión'!$O$19),"")</f>
        <v/>
      </c>
      <c r="Z27" s="68" t="str">
        <f>IF(AND('Riesgos de gestión'!$Y$20="Media",'Riesgos de gestión'!$AA$20="Moderado"),CONCATENATE("R2C",'Riesgos de gestión'!$O$20),"")</f>
        <v/>
      </c>
      <c r="AA27" s="69" t="str">
        <f>IF(AND('Riesgos de gestión'!$Y$21="Media",'Riesgos de gestión'!$AA$21="Moderado"),CONCATENATE("R2C",'Riesgos de gestión'!$O$21),"")</f>
        <v/>
      </c>
      <c r="AB27" s="52" t="str">
        <f>IF(AND('Riesgos de gestión'!$Y$16="Media",'Riesgos de gestión'!$AA$16="Mayor"),CONCATENATE("R2C",'Riesgos de gestión'!$O$16),"")</f>
        <v/>
      </c>
      <c r="AC27" s="53" t="str">
        <f>IF(AND('Riesgos de gestión'!$Y$17="Media",'Riesgos de gestión'!$AA$17="Mayor"),CONCATENATE("R2C",'Riesgos de gestión'!$O$17),"")</f>
        <v/>
      </c>
      <c r="AD27" s="53" t="str">
        <f>IF(AND('Riesgos de gestión'!$Y$18="Media",'Riesgos de gestión'!$AA$18="Mayor"),CONCATENATE("R2C",'Riesgos de gestión'!$O$18),"")</f>
        <v/>
      </c>
      <c r="AE27" s="53" t="str">
        <f>IF(AND('Riesgos de gestión'!$Y$19="Media",'Riesgos de gestión'!$AA$19="Mayor"),CONCATENATE("R2C",'Riesgos de gestión'!$O$19),"")</f>
        <v/>
      </c>
      <c r="AF27" s="53" t="str">
        <f>IF(AND('Riesgos de gestión'!$Y$20="Media",'Riesgos de gestión'!$AA$20="Mayor"),CONCATENATE("R2C",'Riesgos de gestión'!$O$20),"")</f>
        <v/>
      </c>
      <c r="AG27" s="54" t="str">
        <f>IF(AND('Riesgos de gestión'!$Y$21="Media",'Riesgos de gestión'!$AA$21="Mayor"),CONCATENATE("R2C",'Riesgos de gestión'!$O$21),"")</f>
        <v/>
      </c>
      <c r="AH27" s="55" t="str">
        <f>IF(AND('Riesgos de gestión'!$Y$16="Media",'Riesgos de gestión'!$AA$16="Catastrófico"),CONCATENATE("R2C",'Riesgos de gestión'!$O$16),"")</f>
        <v/>
      </c>
      <c r="AI27" s="56" t="str">
        <f>IF(AND('Riesgos de gestión'!$Y$17="Media",'Riesgos de gestión'!$AA$17="Catastrófico"),CONCATENATE("R2C",'Riesgos de gestión'!$O$17),"")</f>
        <v/>
      </c>
      <c r="AJ27" s="56" t="str">
        <f>IF(AND('Riesgos de gestión'!$Y$18="Media",'Riesgos de gestión'!$AA$18="Catastrófico"),CONCATENATE("R2C",'Riesgos de gestión'!$O$18),"")</f>
        <v/>
      </c>
      <c r="AK27" s="56" t="str">
        <f>IF(AND('Riesgos de gestión'!$Y$19="Media",'Riesgos de gestión'!$AA$19="Catastrófico"),CONCATENATE("R2C",'Riesgos de gestión'!$O$19),"")</f>
        <v/>
      </c>
      <c r="AL27" s="56" t="str">
        <f>IF(AND('Riesgos de gestión'!$Y$20="Media",'Riesgos de gestión'!$AA$20="Catastrófico"),CONCATENATE("R2C",'Riesgos de gestión'!$O$20),"")</f>
        <v/>
      </c>
      <c r="AM27" s="57" t="str">
        <f>IF(AND('Riesgos de gestión'!$Y$21="Media",'Riesgos de gestión'!$AA$21="Catastrófico"),CONCATENATE("R2C",'Riesgos de gestión'!$O$21),"")</f>
        <v/>
      </c>
      <c r="AN27" s="83"/>
      <c r="AO27" s="1251"/>
      <c r="AP27" s="1252"/>
      <c r="AQ27" s="1252"/>
      <c r="AR27" s="1252"/>
      <c r="AS27" s="1252"/>
      <c r="AT27" s="1253"/>
      <c r="AU27" s="83"/>
      <c r="AV27" s="83"/>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row>
    <row r="28" spans="1:76" ht="15" customHeight="1" x14ac:dyDescent="0.25">
      <c r="A28" s="83"/>
      <c r="B28" s="1123"/>
      <c r="C28" s="1123"/>
      <c r="D28" s="1124"/>
      <c r="E28" s="1222"/>
      <c r="F28" s="1221"/>
      <c r="G28" s="1221"/>
      <c r="H28" s="1221"/>
      <c r="I28" s="1237"/>
      <c r="J28" s="67" t="str">
        <f>IF(AND('Riesgos de gestión'!$Y$22="Media",'Riesgos de gestión'!$AA$22="Leve"),CONCATENATE("R3C",'Riesgos de gestión'!$O$22),"")</f>
        <v/>
      </c>
      <c r="K28" s="68" t="str">
        <f>IF(AND('Riesgos de gestión'!$Y$23="Media",'Riesgos de gestión'!$AA$23="Leve"),CONCATENATE("R3C",'Riesgos de gestión'!$O$23),"")</f>
        <v/>
      </c>
      <c r="L28" s="68" t="str">
        <f>IF(AND('Riesgos de gestión'!$Y$24="Media",'Riesgos de gestión'!$AA$24="Leve"),CONCATENATE("R3C",'Riesgos de gestión'!$O$24),"")</f>
        <v/>
      </c>
      <c r="M28" s="68" t="str">
        <f>IF(AND('Riesgos de gestión'!$Y$25="Media",'Riesgos de gestión'!$AA$25="Leve"),CONCATENATE("R3C",'Riesgos de gestión'!$O$25),"")</f>
        <v/>
      </c>
      <c r="N28" s="68" t="str">
        <f>IF(AND('Riesgos de gestión'!$Y$26="Media",'Riesgos de gestión'!$AA$26="Leve"),CONCATENATE("R3C",'Riesgos de gestión'!$O$26),"")</f>
        <v/>
      </c>
      <c r="O28" s="69" t="str">
        <f>IF(AND('Riesgos de gestión'!$Y$27="Media",'Riesgos de gestión'!$AA$27="Leve"),CONCATENATE("R3C",'Riesgos de gestión'!$O$27),"")</f>
        <v/>
      </c>
      <c r="P28" s="67" t="str">
        <f>IF(AND('Riesgos de gestión'!$Y$22="Media",'Riesgos de gestión'!$AA$22="Menor"),CONCATENATE("R3C",'Riesgos de gestión'!$O$22),"")</f>
        <v/>
      </c>
      <c r="Q28" s="68" t="str">
        <f>IF(AND('Riesgos de gestión'!$Y$23="Media",'Riesgos de gestión'!$AA$23="Menor"),CONCATENATE("R3C",'Riesgos de gestión'!$O$23),"")</f>
        <v/>
      </c>
      <c r="R28" s="68" t="str">
        <f>IF(AND('Riesgos de gestión'!$Y$24="Media",'Riesgos de gestión'!$AA$24="Menor"),CONCATENATE("R3C",'Riesgos de gestión'!$O$24),"")</f>
        <v/>
      </c>
      <c r="S28" s="68" t="str">
        <f>IF(AND('Riesgos de gestión'!$Y$25="Media",'Riesgos de gestión'!$AA$25="Menor"),CONCATENATE("R3C",'Riesgos de gestión'!$O$25),"")</f>
        <v/>
      </c>
      <c r="T28" s="68" t="str">
        <f>IF(AND('Riesgos de gestión'!$Y$26="Media",'Riesgos de gestión'!$AA$26="Menor"),CONCATENATE("R3C",'Riesgos de gestión'!$O$26),"")</f>
        <v/>
      </c>
      <c r="U28" s="69" t="str">
        <f>IF(AND('Riesgos de gestión'!$Y$27="Media",'Riesgos de gestión'!$AA$27="Menor"),CONCATENATE("R3C",'Riesgos de gestión'!$O$27),"")</f>
        <v/>
      </c>
      <c r="V28" s="67" t="str">
        <f>IF(AND('Riesgos de gestión'!$Y$22="Media",'Riesgos de gestión'!$AA$22="Moderado"),CONCATENATE("R3C",'Riesgos de gestión'!$O$22),"")</f>
        <v/>
      </c>
      <c r="W28" s="68" t="str">
        <f>IF(AND('Riesgos de gestión'!$Y$23="Media",'Riesgos de gestión'!$AA$23="Moderado"),CONCATENATE("R3C",'Riesgos de gestión'!$O$23),"")</f>
        <v/>
      </c>
      <c r="X28" s="68" t="str">
        <f>IF(AND('Riesgos de gestión'!$Y$24="Media",'Riesgos de gestión'!$AA$24="Moderado"),CONCATENATE("R3C",'Riesgos de gestión'!$O$24),"")</f>
        <v/>
      </c>
      <c r="Y28" s="68" t="str">
        <f>IF(AND('Riesgos de gestión'!$Y$25="Media",'Riesgos de gestión'!$AA$25="Moderado"),CONCATENATE("R3C",'Riesgos de gestión'!$O$25),"")</f>
        <v/>
      </c>
      <c r="Z28" s="68" t="str">
        <f>IF(AND('Riesgos de gestión'!$Y$26="Media",'Riesgos de gestión'!$AA$26="Moderado"),CONCATENATE("R3C",'Riesgos de gestión'!$O$26),"")</f>
        <v/>
      </c>
      <c r="AA28" s="69" t="str">
        <f>IF(AND('Riesgos de gestión'!$Y$27="Media",'Riesgos de gestión'!$AA$27="Moderado"),CONCATENATE("R3C",'Riesgos de gestión'!$O$27),"")</f>
        <v/>
      </c>
      <c r="AB28" s="52" t="str">
        <f>IF(AND('Riesgos de gestión'!$Y$22="Media",'Riesgos de gestión'!$AA$22="Mayor"),CONCATENATE("R3C",'Riesgos de gestión'!$O$22),"")</f>
        <v/>
      </c>
      <c r="AC28" s="53" t="str">
        <f>IF(AND('Riesgos de gestión'!$Y$23="Media",'Riesgos de gestión'!$AA$23="Mayor"),CONCATENATE("R3C",'Riesgos de gestión'!$O$23),"")</f>
        <v/>
      </c>
      <c r="AD28" s="53" t="str">
        <f>IF(AND('Riesgos de gestión'!$Y$24="Media",'Riesgos de gestión'!$AA$24="Mayor"),CONCATENATE("R3C",'Riesgos de gestión'!$O$24),"")</f>
        <v/>
      </c>
      <c r="AE28" s="53" t="str">
        <f>IF(AND('Riesgos de gestión'!$Y$25="Media",'Riesgos de gestión'!$AA$25="Mayor"),CONCATENATE("R3C",'Riesgos de gestión'!$O$25),"")</f>
        <v/>
      </c>
      <c r="AF28" s="53" t="str">
        <f>IF(AND('Riesgos de gestión'!$Y$26="Media",'Riesgos de gestión'!$AA$26="Mayor"),CONCATENATE("R3C",'Riesgos de gestión'!$O$26),"")</f>
        <v/>
      </c>
      <c r="AG28" s="54" t="str">
        <f>IF(AND('Riesgos de gestión'!$Y$27="Media",'Riesgos de gestión'!$AA$27="Mayor"),CONCATENATE("R3C",'Riesgos de gestión'!$O$27),"")</f>
        <v/>
      </c>
      <c r="AH28" s="55" t="str">
        <f>IF(AND('Riesgos de gestión'!$Y$22="Media",'Riesgos de gestión'!$AA$22="Catastrófico"),CONCATENATE("R3C",'Riesgos de gestión'!$O$22),"")</f>
        <v/>
      </c>
      <c r="AI28" s="56" t="str">
        <f>IF(AND('Riesgos de gestión'!$Y$23="Media",'Riesgos de gestión'!$AA$23="Catastrófico"),CONCATENATE("R3C",'Riesgos de gestión'!$O$23),"")</f>
        <v/>
      </c>
      <c r="AJ28" s="56" t="str">
        <f>IF(AND('Riesgos de gestión'!$Y$24="Media",'Riesgos de gestión'!$AA$24="Catastrófico"),CONCATENATE("R3C",'Riesgos de gestión'!$O$24),"")</f>
        <v/>
      </c>
      <c r="AK28" s="56" t="str">
        <f>IF(AND('Riesgos de gestión'!$Y$25="Media",'Riesgos de gestión'!$AA$25="Catastrófico"),CONCATENATE("R3C",'Riesgos de gestión'!$O$25),"")</f>
        <v/>
      </c>
      <c r="AL28" s="56" t="str">
        <f>IF(AND('Riesgos de gestión'!$Y$26="Media",'Riesgos de gestión'!$AA$26="Catastrófico"),CONCATENATE("R3C",'Riesgos de gestión'!$O$26),"")</f>
        <v/>
      </c>
      <c r="AM28" s="57" t="str">
        <f>IF(AND('Riesgos de gestión'!$Y$27="Media",'Riesgos de gestión'!$AA$27="Catastrófico"),CONCATENATE("R3C",'Riesgos de gestión'!$O$27),"")</f>
        <v/>
      </c>
      <c r="AN28" s="83"/>
      <c r="AO28" s="1251"/>
      <c r="AP28" s="1252"/>
      <c r="AQ28" s="1252"/>
      <c r="AR28" s="1252"/>
      <c r="AS28" s="1252"/>
      <c r="AT28" s="125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row>
    <row r="29" spans="1:76" ht="15" customHeight="1" x14ac:dyDescent="0.25">
      <c r="A29" s="83"/>
      <c r="B29" s="1123"/>
      <c r="C29" s="1123"/>
      <c r="D29" s="1124"/>
      <c r="E29" s="1222"/>
      <c r="F29" s="1221"/>
      <c r="G29" s="1221"/>
      <c r="H29" s="1221"/>
      <c r="I29" s="1237"/>
      <c r="J29" s="67" t="str">
        <f>IF(AND('Riesgos de gestión'!$Y$28="Media",'Riesgos de gestión'!$AA$28="Leve"),CONCATENATE("R4C",'Riesgos de gestión'!$O$28),"")</f>
        <v/>
      </c>
      <c r="K29" s="68" t="str">
        <f>IF(AND('Riesgos de gestión'!$Y$29="Media",'Riesgos de gestión'!$AA$29="Leve"),CONCATENATE("R4C",'Riesgos de gestión'!$O$29),"")</f>
        <v/>
      </c>
      <c r="L29" s="68" t="str">
        <f>IF(AND('Riesgos de gestión'!$Y$30="Media",'Riesgos de gestión'!$AA$30="Leve"),CONCATENATE("R4C",'Riesgos de gestión'!$O$30),"")</f>
        <v/>
      </c>
      <c r="M29" s="68" t="str">
        <f>IF(AND('Riesgos de gestión'!$Y$31="Media",'Riesgos de gestión'!$AA$31="Leve"),CONCATENATE("R4C",'Riesgos de gestión'!$O$31),"")</f>
        <v/>
      </c>
      <c r="N29" s="68" t="str">
        <f>IF(AND('Riesgos de gestión'!$Y$32="Media",'Riesgos de gestión'!$AA$32="Leve"),CONCATENATE("R4C",'Riesgos de gestión'!$O$32),"")</f>
        <v/>
      </c>
      <c r="O29" s="69" t="str">
        <f>IF(AND('Riesgos de gestión'!$Y$33="Media",'Riesgos de gestión'!$AA$33="Leve"),CONCATENATE("R4C",'Riesgos de gestión'!$O$33),"")</f>
        <v/>
      </c>
      <c r="P29" s="67" t="str">
        <f>IF(AND('Riesgos de gestión'!$Y$28="Media",'Riesgos de gestión'!$AA$28="Menor"),CONCATENATE("R4C",'Riesgos de gestión'!$O$28),"")</f>
        <v/>
      </c>
      <c r="Q29" s="68" t="str">
        <f>IF(AND('Riesgos de gestión'!$Y$29="Media",'Riesgos de gestión'!$AA$29="Menor"),CONCATENATE("R4C",'Riesgos de gestión'!$O$29),"")</f>
        <v/>
      </c>
      <c r="R29" s="68" t="str">
        <f>IF(AND('Riesgos de gestión'!$Y$30="Media",'Riesgos de gestión'!$AA$30="Menor"),CONCATENATE("R4C",'Riesgos de gestión'!$O$30),"")</f>
        <v/>
      </c>
      <c r="S29" s="68" t="str">
        <f>IF(AND('Riesgos de gestión'!$Y$31="Media",'Riesgos de gestión'!$AA$31="Menor"),CONCATENATE("R4C",'Riesgos de gestión'!$O$31),"")</f>
        <v/>
      </c>
      <c r="T29" s="68" t="str">
        <f>IF(AND('Riesgos de gestión'!$Y$32="Media",'Riesgos de gestión'!$AA$32="Menor"),CONCATENATE("R4C",'Riesgos de gestión'!$O$32),"")</f>
        <v/>
      </c>
      <c r="U29" s="69" t="str">
        <f>IF(AND('Riesgos de gestión'!$Y$33="Media",'Riesgos de gestión'!$AA$33="Menor"),CONCATENATE("R4C",'Riesgos de gestión'!$O$33),"")</f>
        <v/>
      </c>
      <c r="V29" s="67" t="str">
        <f>IF(AND('Riesgos de gestión'!$Y$28="Media",'Riesgos de gestión'!$AA$28="Moderado"),CONCATENATE("R4C",'Riesgos de gestión'!$O$28),"")</f>
        <v/>
      </c>
      <c r="W29" s="68" t="str">
        <f>IF(AND('Riesgos de gestión'!$Y$29="Media",'Riesgos de gestión'!$AA$29="Moderado"),CONCATENATE("R4C",'Riesgos de gestión'!$O$29),"")</f>
        <v/>
      </c>
      <c r="X29" s="68" t="str">
        <f>IF(AND('Riesgos de gestión'!$Y$30="Media",'Riesgos de gestión'!$AA$30="Moderado"),CONCATENATE("R4C",'Riesgos de gestión'!$O$30),"")</f>
        <v/>
      </c>
      <c r="Y29" s="68" t="str">
        <f>IF(AND('Riesgos de gestión'!$Y$31="Media",'Riesgos de gestión'!$AA$31="Moderado"),CONCATENATE("R4C",'Riesgos de gestión'!$O$31),"")</f>
        <v/>
      </c>
      <c r="Z29" s="68" t="str">
        <f>IF(AND('Riesgos de gestión'!$Y$32="Media",'Riesgos de gestión'!$AA$32="Moderado"),CONCATENATE("R4C",'Riesgos de gestión'!$O$32),"")</f>
        <v/>
      </c>
      <c r="AA29" s="69" t="str">
        <f>IF(AND('Riesgos de gestión'!$Y$33="Media",'Riesgos de gestión'!$AA$33="Moderado"),CONCATENATE("R4C",'Riesgos de gestión'!$O$33),"")</f>
        <v/>
      </c>
      <c r="AB29" s="52" t="str">
        <f>IF(AND('Riesgos de gestión'!$Y$28="Media",'Riesgos de gestión'!$AA$28="Mayor"),CONCATENATE("R4C",'Riesgos de gestión'!$O$28),"")</f>
        <v/>
      </c>
      <c r="AC29" s="53" t="str">
        <f>IF(AND('Riesgos de gestión'!$Y$29="Media",'Riesgos de gestión'!$AA$29="Mayor"),CONCATENATE("R4C",'Riesgos de gestión'!$O$29),"")</f>
        <v/>
      </c>
      <c r="AD29" s="53" t="str">
        <f>IF(AND('Riesgos de gestión'!$Y$30="Media",'Riesgos de gestión'!$AA$30="Mayor"),CONCATENATE("R4C",'Riesgos de gestión'!$O$30),"")</f>
        <v/>
      </c>
      <c r="AE29" s="53" t="str">
        <f>IF(AND('Riesgos de gestión'!$Y$31="Media",'Riesgos de gestión'!$AA$31="Mayor"),CONCATENATE("R4C",'Riesgos de gestión'!$O$31),"")</f>
        <v/>
      </c>
      <c r="AF29" s="53" t="str">
        <f>IF(AND('Riesgos de gestión'!$Y$32="Media",'Riesgos de gestión'!$AA$32="Mayor"),CONCATENATE("R4C",'Riesgos de gestión'!$O$32),"")</f>
        <v/>
      </c>
      <c r="AG29" s="54" t="str">
        <f>IF(AND('Riesgos de gestión'!$Y$33="Media",'Riesgos de gestión'!$AA$33="Mayor"),CONCATENATE("R4C",'Riesgos de gestión'!$O$33),"")</f>
        <v/>
      </c>
      <c r="AH29" s="55" t="str">
        <f>IF(AND('Riesgos de gestión'!$Y$28="Media",'Riesgos de gestión'!$AA$28="Catastrófico"),CONCATENATE("R4C",'Riesgos de gestión'!$O$28),"")</f>
        <v/>
      </c>
      <c r="AI29" s="56" t="str">
        <f>IF(AND('Riesgos de gestión'!$Y$29="Media",'Riesgos de gestión'!$AA$29="Catastrófico"),CONCATENATE("R4C",'Riesgos de gestión'!$O$29),"")</f>
        <v/>
      </c>
      <c r="AJ29" s="56" t="str">
        <f>IF(AND('Riesgos de gestión'!$Y$30="Media",'Riesgos de gestión'!$AA$30="Catastrófico"),CONCATENATE("R4C",'Riesgos de gestión'!$O$30),"")</f>
        <v/>
      </c>
      <c r="AK29" s="56" t="str">
        <f>IF(AND('Riesgos de gestión'!$Y$31="Media",'Riesgos de gestión'!$AA$31="Catastrófico"),CONCATENATE("R4C",'Riesgos de gestión'!$O$31),"")</f>
        <v/>
      </c>
      <c r="AL29" s="56" t="str">
        <f>IF(AND('Riesgos de gestión'!$Y$32="Media",'Riesgos de gestión'!$AA$32="Catastrófico"),CONCATENATE("R4C",'Riesgos de gestión'!$O$32),"")</f>
        <v/>
      </c>
      <c r="AM29" s="57" t="str">
        <f>IF(AND('Riesgos de gestión'!$Y$33="Media",'Riesgos de gestión'!$AA$33="Catastrófico"),CONCATENATE("R4C",'Riesgos de gestión'!$O$33),"")</f>
        <v/>
      </c>
      <c r="AN29" s="83"/>
      <c r="AO29" s="1251"/>
      <c r="AP29" s="1252"/>
      <c r="AQ29" s="1252"/>
      <c r="AR29" s="1252"/>
      <c r="AS29" s="1252"/>
      <c r="AT29" s="125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row>
    <row r="30" spans="1:76" ht="15" customHeight="1" x14ac:dyDescent="0.25">
      <c r="A30" s="83"/>
      <c r="B30" s="1123"/>
      <c r="C30" s="1123"/>
      <c r="D30" s="1124"/>
      <c r="E30" s="1222"/>
      <c r="F30" s="1221"/>
      <c r="G30" s="1221"/>
      <c r="H30" s="1221"/>
      <c r="I30" s="1237"/>
      <c r="J30" s="67" t="str">
        <f>IF(AND('Riesgos de gestión'!$Y$34="Media",'Riesgos de gestión'!$AA$34="Leve"),CONCATENATE("R5C",'Riesgos de gestión'!$O$34),"")</f>
        <v/>
      </c>
      <c r="K30" s="68" t="str">
        <f>IF(AND('Riesgos de gestión'!$Y$35="Media",'Riesgos de gestión'!$AA$35="Leve"),CONCATENATE("R5C",'Riesgos de gestión'!$O$35),"")</f>
        <v/>
      </c>
      <c r="L30" s="68" t="str">
        <f>IF(AND('Riesgos de gestión'!$Y$36="Media",'Riesgos de gestión'!$AA$36="Leve"),CONCATENATE("R5C",'Riesgos de gestión'!$O$36),"")</f>
        <v/>
      </c>
      <c r="M30" s="68" t="str">
        <f>IF(AND('Riesgos de gestión'!$Y$37="Media",'Riesgos de gestión'!$AA$37="Leve"),CONCATENATE("R5C",'Riesgos de gestión'!$O$37),"")</f>
        <v/>
      </c>
      <c r="N30" s="68" t="str">
        <f>IF(AND('Riesgos de gestión'!$Y$38="Media",'Riesgos de gestión'!$AA$38="Leve"),CONCATENATE("R5C",'Riesgos de gestión'!$O$38),"")</f>
        <v/>
      </c>
      <c r="O30" s="69" t="str">
        <f>IF(AND('Riesgos de gestión'!$Y$39="Media",'Riesgos de gestión'!$AA$39="Leve"),CONCATENATE("R5C",'Riesgos de gestión'!$O$39),"")</f>
        <v/>
      </c>
      <c r="P30" s="67" t="str">
        <f>IF(AND('Riesgos de gestión'!$Y$34="Media",'Riesgos de gestión'!$AA$34="Menor"),CONCATENATE("R5C",'Riesgos de gestión'!$O$34),"")</f>
        <v/>
      </c>
      <c r="Q30" s="68" t="str">
        <f>IF(AND('Riesgos de gestión'!$Y$35="Media",'Riesgos de gestión'!$AA$35="Menor"),CONCATENATE("R5C",'Riesgos de gestión'!$O$35),"")</f>
        <v/>
      </c>
      <c r="R30" s="68" t="str">
        <f>IF(AND('Riesgos de gestión'!$Y$36="Media",'Riesgos de gestión'!$AA$36="Menor"),CONCATENATE("R5C",'Riesgos de gestión'!$O$36),"")</f>
        <v/>
      </c>
      <c r="S30" s="68" t="str">
        <f>IF(AND('Riesgos de gestión'!$Y$37="Media",'Riesgos de gestión'!$AA$37="Menor"),CONCATENATE("R5C",'Riesgos de gestión'!$O$37),"")</f>
        <v/>
      </c>
      <c r="T30" s="68" t="str">
        <f>IF(AND('Riesgos de gestión'!$Y$38="Media",'Riesgos de gestión'!$AA$38="Menor"),CONCATENATE("R5C",'Riesgos de gestión'!$O$38),"")</f>
        <v/>
      </c>
      <c r="U30" s="69" t="str">
        <f>IF(AND('Riesgos de gestión'!$Y$39="Media",'Riesgos de gestión'!$AA$39="Menor"),CONCATENATE("R5C",'Riesgos de gestión'!$O$39),"")</f>
        <v/>
      </c>
      <c r="V30" s="67" t="str">
        <f>IF(AND('Riesgos de gestión'!$Y$34="Media",'Riesgos de gestión'!$AA$34="Moderado"),CONCATENATE("R5C",'Riesgos de gestión'!$O$34),"")</f>
        <v/>
      </c>
      <c r="W30" s="68" t="str">
        <f>IF(AND('Riesgos de gestión'!$Y$35="Media",'Riesgos de gestión'!$AA$35="Moderado"),CONCATENATE("R5C",'Riesgos de gestión'!$O$35),"")</f>
        <v/>
      </c>
      <c r="X30" s="68" t="str">
        <f>IF(AND('Riesgos de gestión'!$Y$36="Media",'Riesgos de gestión'!$AA$36="Moderado"),CONCATENATE("R5C",'Riesgos de gestión'!$O$36),"")</f>
        <v/>
      </c>
      <c r="Y30" s="68" t="str">
        <f>IF(AND('Riesgos de gestión'!$Y$37="Media",'Riesgos de gestión'!$AA$37="Moderado"),CONCATENATE("R5C",'Riesgos de gestión'!$O$37),"")</f>
        <v/>
      </c>
      <c r="Z30" s="68" t="str">
        <f>IF(AND('Riesgos de gestión'!$Y$38="Media",'Riesgos de gestión'!$AA$38="Moderado"),CONCATENATE("R5C",'Riesgos de gestión'!$O$38),"")</f>
        <v/>
      </c>
      <c r="AA30" s="69" t="str">
        <f>IF(AND('Riesgos de gestión'!$Y$39="Media",'Riesgos de gestión'!$AA$39="Moderado"),CONCATENATE("R5C",'Riesgos de gestión'!$O$39),"")</f>
        <v/>
      </c>
      <c r="AB30" s="52" t="str">
        <f>IF(AND('Riesgos de gestión'!$Y$34="Media",'Riesgos de gestión'!$AA$34="Mayor"),CONCATENATE("R5C",'Riesgos de gestión'!$O$34),"")</f>
        <v/>
      </c>
      <c r="AC30" s="53" t="str">
        <f>IF(AND('Riesgos de gestión'!$Y$35="Media",'Riesgos de gestión'!$AA$35="Mayor"),CONCATENATE("R5C",'Riesgos de gestión'!$O$35),"")</f>
        <v/>
      </c>
      <c r="AD30" s="53" t="str">
        <f>IF(AND('Riesgos de gestión'!$Y$36="Media",'Riesgos de gestión'!$AA$36="Mayor"),CONCATENATE("R5C",'Riesgos de gestión'!$O$36),"")</f>
        <v/>
      </c>
      <c r="AE30" s="53" t="str">
        <f>IF(AND('Riesgos de gestión'!$Y$37="Media",'Riesgos de gestión'!$AA$37="Mayor"),CONCATENATE("R5C",'Riesgos de gestión'!$O$37),"")</f>
        <v/>
      </c>
      <c r="AF30" s="53" t="str">
        <f>IF(AND('Riesgos de gestión'!$Y$38="Media",'Riesgos de gestión'!$AA$38="Mayor"),CONCATENATE("R5C",'Riesgos de gestión'!$O$38),"")</f>
        <v/>
      </c>
      <c r="AG30" s="54" t="str">
        <f>IF(AND('Riesgos de gestión'!$Y$39="Media",'Riesgos de gestión'!$AA$39="Mayor"),CONCATENATE("R5C",'Riesgos de gestión'!$O$39),"")</f>
        <v/>
      </c>
      <c r="AH30" s="55" t="str">
        <f>IF(AND('Riesgos de gestión'!$Y$34="Media",'Riesgos de gestión'!$AA$34="Catastrófico"),CONCATENATE("R5C",'Riesgos de gestión'!$O$34),"")</f>
        <v/>
      </c>
      <c r="AI30" s="56" t="str">
        <f>IF(AND('Riesgos de gestión'!$Y$35="Media",'Riesgos de gestión'!$AA$35="Catastrófico"),CONCATENATE("R5C",'Riesgos de gestión'!$O$35),"")</f>
        <v/>
      </c>
      <c r="AJ30" s="56" t="str">
        <f>IF(AND('Riesgos de gestión'!$Y$36="Media",'Riesgos de gestión'!$AA$36="Catastrófico"),CONCATENATE("R5C",'Riesgos de gestión'!$O$36),"")</f>
        <v/>
      </c>
      <c r="AK30" s="56" t="str">
        <f>IF(AND('Riesgos de gestión'!$Y$37="Media",'Riesgos de gestión'!$AA$37="Catastrófico"),CONCATENATE("R5C",'Riesgos de gestión'!$O$37),"")</f>
        <v/>
      </c>
      <c r="AL30" s="56" t="str">
        <f>IF(AND('Riesgos de gestión'!$Y$38="Media",'Riesgos de gestión'!$AA$38="Catastrófico"),CONCATENATE("R5C",'Riesgos de gestión'!$O$38),"")</f>
        <v/>
      </c>
      <c r="AM30" s="57" t="str">
        <f>IF(AND('Riesgos de gestión'!$Y$39="Media",'Riesgos de gestión'!$AA$39="Catastrófico"),CONCATENATE("R5C",'Riesgos de gestión'!$O$39),"")</f>
        <v/>
      </c>
      <c r="AN30" s="83"/>
      <c r="AO30" s="1251"/>
      <c r="AP30" s="1252"/>
      <c r="AQ30" s="1252"/>
      <c r="AR30" s="1252"/>
      <c r="AS30" s="1252"/>
      <c r="AT30" s="1253"/>
      <c r="AU30" s="83"/>
      <c r="AV30" s="83"/>
      <c r="AW30" s="83"/>
      <c r="AX30" s="83"/>
      <c r="AY30" s="83"/>
      <c r="AZ30" s="83"/>
      <c r="BA30" s="83"/>
      <c r="BB30" s="83"/>
      <c r="BC30" s="83"/>
      <c r="BD30" s="83"/>
      <c r="BE30" s="83"/>
      <c r="BF30" s="83"/>
      <c r="BG30" s="83"/>
      <c r="BH30" s="83"/>
      <c r="BI30" s="83"/>
      <c r="BJ30" s="83"/>
      <c r="BK30" s="83"/>
      <c r="BL30" s="83"/>
      <c r="BM30" s="83"/>
      <c r="BN30" s="83"/>
      <c r="BO30" s="83"/>
      <c r="BP30" s="83"/>
      <c r="BQ30" s="83"/>
      <c r="BR30" s="83"/>
      <c r="BS30" s="83"/>
      <c r="BT30" s="83"/>
      <c r="BU30" s="83"/>
      <c r="BV30" s="83"/>
      <c r="BW30" s="83"/>
      <c r="BX30" s="83"/>
    </row>
    <row r="31" spans="1:76" ht="15" customHeight="1" x14ac:dyDescent="0.25">
      <c r="A31" s="83"/>
      <c r="B31" s="1123"/>
      <c r="C31" s="1123"/>
      <c r="D31" s="1124"/>
      <c r="E31" s="1222"/>
      <c r="F31" s="1221"/>
      <c r="G31" s="1221"/>
      <c r="H31" s="1221"/>
      <c r="I31" s="1237"/>
      <c r="J31" s="67" t="str">
        <f>IF(AND('Riesgos de gestión'!$Y$40="Media",'Riesgos de gestión'!$AA$40="Leve"),CONCATENATE("R6C",'Riesgos de gestión'!$O$40),"")</f>
        <v/>
      </c>
      <c r="K31" s="68" t="str">
        <f>IF(AND('Riesgos de gestión'!$Y$41="Media",'Riesgos de gestión'!$AA$41="Leve"),CONCATENATE("R6C",'Riesgos de gestión'!$O$41),"")</f>
        <v/>
      </c>
      <c r="L31" s="68" t="str">
        <f>IF(AND('Riesgos de gestión'!$Y$42="Media",'Riesgos de gestión'!$AA$42="Leve"),CONCATENATE("R6C",'Riesgos de gestión'!$O$42),"")</f>
        <v/>
      </c>
      <c r="M31" s="68" t="str">
        <f>IF(AND('Riesgos de gestión'!$Y$43="Media",'Riesgos de gestión'!$AA$43="Leve"),CONCATENATE("R6C",'Riesgos de gestión'!$O$43),"")</f>
        <v/>
      </c>
      <c r="N31" s="68" t="str">
        <f>IF(AND('Riesgos de gestión'!$Y$44="Media",'Riesgos de gestión'!$AA$44="Leve"),CONCATENATE("R6C",'Riesgos de gestión'!$O$44),"")</f>
        <v/>
      </c>
      <c r="O31" s="69" t="str">
        <f>IF(AND('Riesgos de gestión'!$Y$45="Media",'Riesgos de gestión'!$AA$45="Leve"),CONCATENATE("R6C",'Riesgos de gestión'!$O$45),"")</f>
        <v/>
      </c>
      <c r="P31" s="67" t="str">
        <f>IF(AND('Riesgos de gestión'!$Y$40="Media",'Riesgos de gestión'!$AA$40="Menor"),CONCATENATE("R6C",'Riesgos de gestión'!$O$40),"")</f>
        <v/>
      </c>
      <c r="Q31" s="68" t="str">
        <f>IF(AND('Riesgos de gestión'!$Y$41="Media",'Riesgos de gestión'!$AA$41="Menor"),CONCATENATE("R6C",'Riesgos de gestión'!$O$41),"")</f>
        <v/>
      </c>
      <c r="R31" s="68" t="str">
        <f>IF(AND('Riesgos de gestión'!$Y$42="Media",'Riesgos de gestión'!$AA$42="Menor"),CONCATENATE("R6C",'Riesgos de gestión'!$O$42),"")</f>
        <v/>
      </c>
      <c r="S31" s="68" t="str">
        <f>IF(AND('Riesgos de gestión'!$Y$43="Media",'Riesgos de gestión'!$AA$43="Menor"),CONCATENATE("R6C",'Riesgos de gestión'!$O$43),"")</f>
        <v/>
      </c>
      <c r="T31" s="68" t="str">
        <f>IF(AND('Riesgos de gestión'!$Y$44="Media",'Riesgos de gestión'!$AA$44="Menor"),CONCATENATE("R6C",'Riesgos de gestión'!$O$44),"")</f>
        <v/>
      </c>
      <c r="U31" s="69" t="str">
        <f>IF(AND('Riesgos de gestión'!$Y$45="Media",'Riesgos de gestión'!$AA$45="Menor"),CONCATENATE("R6C",'Riesgos de gestión'!$O$45),"")</f>
        <v/>
      </c>
      <c r="V31" s="67" t="str">
        <f>IF(AND('Riesgos de gestión'!$Y$40="Media",'Riesgos de gestión'!$AA$40="Moderado"),CONCATENATE("R6C",'Riesgos de gestión'!$O$40),"")</f>
        <v/>
      </c>
      <c r="W31" s="68" t="str">
        <f>IF(AND('Riesgos de gestión'!$Y$41="Media",'Riesgos de gestión'!$AA$41="Moderado"),CONCATENATE("R6C",'Riesgos de gestión'!$O$41),"")</f>
        <v/>
      </c>
      <c r="X31" s="68" t="str">
        <f>IF(AND('Riesgos de gestión'!$Y$42="Media",'Riesgos de gestión'!$AA$42="Moderado"),CONCATENATE("R6C",'Riesgos de gestión'!$O$42),"")</f>
        <v/>
      </c>
      <c r="Y31" s="68" t="str">
        <f>IF(AND('Riesgos de gestión'!$Y$43="Media",'Riesgos de gestión'!$AA$43="Moderado"),CONCATENATE("R6C",'Riesgos de gestión'!$O$43),"")</f>
        <v/>
      </c>
      <c r="Z31" s="68" t="str">
        <f>IF(AND('Riesgos de gestión'!$Y$44="Media",'Riesgos de gestión'!$AA$44="Moderado"),CONCATENATE("R6C",'Riesgos de gestión'!$O$44),"")</f>
        <v/>
      </c>
      <c r="AA31" s="69" t="str">
        <f>IF(AND('Riesgos de gestión'!$Y$45="Media",'Riesgos de gestión'!$AA$45="Moderado"),CONCATENATE("R6C",'Riesgos de gestión'!$O$45),"")</f>
        <v/>
      </c>
      <c r="AB31" s="52" t="str">
        <f>IF(AND('Riesgos de gestión'!$Y$40="Media",'Riesgos de gestión'!$AA$40="Mayor"),CONCATENATE("R6C",'Riesgos de gestión'!$O$40),"")</f>
        <v/>
      </c>
      <c r="AC31" s="53" t="str">
        <f>IF(AND('Riesgos de gestión'!$Y$41="Media",'Riesgos de gestión'!$AA$41="Mayor"),CONCATENATE("R6C",'Riesgos de gestión'!$O$41),"")</f>
        <v/>
      </c>
      <c r="AD31" s="53" t="str">
        <f>IF(AND('Riesgos de gestión'!$Y$42="Media",'Riesgos de gestión'!$AA$42="Mayor"),CONCATENATE("R6C",'Riesgos de gestión'!$O$42),"")</f>
        <v/>
      </c>
      <c r="AE31" s="53" t="str">
        <f>IF(AND('Riesgos de gestión'!$Y$43="Media",'Riesgos de gestión'!$AA$43="Mayor"),CONCATENATE("R6C",'Riesgos de gestión'!$O$43),"")</f>
        <v/>
      </c>
      <c r="AF31" s="53" t="str">
        <f>IF(AND('Riesgos de gestión'!$Y$44="Media",'Riesgos de gestión'!$AA$44="Mayor"),CONCATENATE("R6C",'Riesgos de gestión'!$O$44),"")</f>
        <v/>
      </c>
      <c r="AG31" s="54" t="str">
        <f>IF(AND('Riesgos de gestión'!$Y$45="Media",'Riesgos de gestión'!$AA$45="Mayor"),CONCATENATE("R6C",'Riesgos de gestión'!$O$45),"")</f>
        <v/>
      </c>
      <c r="AH31" s="55" t="str">
        <f>IF(AND('Riesgos de gestión'!$Y$40="Media",'Riesgos de gestión'!$AA$40="Catastrófico"),CONCATENATE("R6C",'Riesgos de gestión'!$O$40),"")</f>
        <v/>
      </c>
      <c r="AI31" s="56" t="str">
        <f>IF(AND('Riesgos de gestión'!$Y$41="Media",'Riesgos de gestión'!$AA$41="Catastrófico"),CONCATENATE("R6C",'Riesgos de gestión'!$O$41),"")</f>
        <v/>
      </c>
      <c r="AJ31" s="56" t="str">
        <f>IF(AND('Riesgos de gestión'!$Y$42="Media",'Riesgos de gestión'!$AA$42="Catastrófico"),CONCATENATE("R6C",'Riesgos de gestión'!$O$42),"")</f>
        <v/>
      </c>
      <c r="AK31" s="56" t="str">
        <f>IF(AND('Riesgos de gestión'!$Y$43="Media",'Riesgos de gestión'!$AA$43="Catastrófico"),CONCATENATE("R6C",'Riesgos de gestión'!$O$43),"")</f>
        <v/>
      </c>
      <c r="AL31" s="56" t="str">
        <f>IF(AND('Riesgos de gestión'!$Y$44="Media",'Riesgos de gestión'!$AA$44="Catastrófico"),CONCATENATE("R6C",'Riesgos de gestión'!$O$44),"")</f>
        <v/>
      </c>
      <c r="AM31" s="57" t="str">
        <f>IF(AND('Riesgos de gestión'!$Y$45="Media",'Riesgos de gestión'!$AA$45="Catastrófico"),CONCATENATE("R6C",'Riesgos de gestión'!$O$45),"")</f>
        <v/>
      </c>
      <c r="AN31" s="83"/>
      <c r="AO31" s="1251"/>
      <c r="AP31" s="1252"/>
      <c r="AQ31" s="1252"/>
      <c r="AR31" s="1252"/>
      <c r="AS31" s="1252"/>
      <c r="AT31" s="125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row>
    <row r="32" spans="1:76" ht="15" customHeight="1" x14ac:dyDescent="0.25">
      <c r="A32" s="83"/>
      <c r="B32" s="1123"/>
      <c r="C32" s="1123"/>
      <c r="D32" s="1124"/>
      <c r="E32" s="1222"/>
      <c r="F32" s="1221"/>
      <c r="G32" s="1221"/>
      <c r="H32" s="1221"/>
      <c r="I32" s="1237"/>
      <c r="J32" s="67" t="str">
        <f>IF(AND('Riesgos de gestión'!$Y$46="Media",'Riesgos de gestión'!$AA$46="Leve"),CONCATENATE("R7C",'Riesgos de gestión'!$O$46),"")</f>
        <v/>
      </c>
      <c r="K32" s="68" t="str">
        <f>IF(AND('Riesgos de gestión'!$Y$47="Media",'Riesgos de gestión'!$AA$47="Leve"),CONCATENATE("R7C",'Riesgos de gestión'!$O$47),"")</f>
        <v/>
      </c>
      <c r="L32" s="68" t="str">
        <f>IF(AND('Riesgos de gestión'!$Y$48="Media",'Riesgos de gestión'!$AA$48="Leve"),CONCATENATE("R7C",'Riesgos de gestión'!$O$48),"")</f>
        <v/>
      </c>
      <c r="M32" s="68" t="str">
        <f>IF(AND('Riesgos de gestión'!$Y$49="Media",'Riesgos de gestión'!$AA$49="Leve"),CONCATENATE("R7C",'Riesgos de gestión'!$O$49),"")</f>
        <v/>
      </c>
      <c r="N32" s="68" t="str">
        <f>IF(AND('Riesgos de gestión'!$Y$50="Media",'Riesgos de gestión'!$AA$50="Leve"),CONCATENATE("R7C",'Riesgos de gestión'!$O$50),"")</f>
        <v/>
      </c>
      <c r="O32" s="69" t="str">
        <f>IF(AND('Riesgos de gestión'!$Y$51="Media",'Riesgos de gestión'!$AA$51="Leve"),CONCATENATE("R7C",'Riesgos de gestión'!$O$51),"")</f>
        <v/>
      </c>
      <c r="P32" s="67" t="str">
        <f>IF(AND('Riesgos de gestión'!$Y$46="Media",'Riesgos de gestión'!$AA$46="Menor"),CONCATENATE("R7C",'Riesgos de gestión'!$O$46),"")</f>
        <v/>
      </c>
      <c r="Q32" s="68" t="str">
        <f>IF(AND('Riesgos de gestión'!$Y$47="Media",'Riesgos de gestión'!$AA$47="Menor"),CONCATENATE("R7C",'Riesgos de gestión'!$O$47),"")</f>
        <v/>
      </c>
      <c r="R32" s="68" t="str">
        <f>IF(AND('Riesgos de gestión'!$Y$48="Media",'Riesgos de gestión'!$AA$48="Menor"),CONCATENATE("R7C",'Riesgos de gestión'!$O$48),"")</f>
        <v/>
      </c>
      <c r="S32" s="68" t="str">
        <f>IF(AND('Riesgos de gestión'!$Y$49="Media",'Riesgos de gestión'!$AA$49="Menor"),CONCATENATE("R7C",'Riesgos de gestión'!$O$49),"")</f>
        <v/>
      </c>
      <c r="T32" s="68" t="str">
        <f>IF(AND('Riesgos de gestión'!$Y$50="Media",'Riesgos de gestión'!$AA$50="Menor"),CONCATENATE("R7C",'Riesgos de gestión'!$O$50),"")</f>
        <v/>
      </c>
      <c r="U32" s="69" t="str">
        <f>IF(AND('Riesgos de gestión'!$Y$51="Media",'Riesgos de gestión'!$AA$51="Menor"),CONCATENATE("R7C",'Riesgos de gestión'!$O$51),"")</f>
        <v/>
      </c>
      <c r="V32" s="67" t="str">
        <f>IF(AND('Riesgos de gestión'!$Y$46="Media",'Riesgos de gestión'!$AA$46="Moderado"),CONCATENATE("R7C",'Riesgos de gestión'!$O$46),"")</f>
        <v/>
      </c>
      <c r="W32" s="68" t="str">
        <f>IF(AND('Riesgos de gestión'!$Y$47="Media",'Riesgos de gestión'!$AA$47="Moderado"),CONCATENATE("R7C",'Riesgos de gestión'!$O$47),"")</f>
        <v/>
      </c>
      <c r="X32" s="68" t="str">
        <f>IF(AND('Riesgos de gestión'!$Y$48="Media",'Riesgos de gestión'!$AA$48="Moderado"),CONCATENATE("R7C",'Riesgos de gestión'!$O$48),"")</f>
        <v/>
      </c>
      <c r="Y32" s="68" t="str">
        <f>IF(AND('Riesgos de gestión'!$Y$49="Media",'Riesgos de gestión'!$AA$49="Moderado"),CONCATENATE("R7C",'Riesgos de gestión'!$O$49),"")</f>
        <v/>
      </c>
      <c r="Z32" s="68" t="str">
        <f>IF(AND('Riesgos de gestión'!$Y$50="Media",'Riesgos de gestión'!$AA$50="Moderado"),CONCATENATE("R7C",'Riesgos de gestión'!$O$50),"")</f>
        <v/>
      </c>
      <c r="AA32" s="69" t="str">
        <f>IF(AND('Riesgos de gestión'!$Y$51="Media",'Riesgos de gestión'!$AA$51="Moderado"),CONCATENATE("R7C",'Riesgos de gestión'!$O$51),"")</f>
        <v/>
      </c>
      <c r="AB32" s="52" t="str">
        <f>IF(AND('Riesgos de gestión'!$Y$46="Media",'Riesgos de gestión'!$AA$46="Mayor"),CONCATENATE("R7C",'Riesgos de gestión'!$O$46),"")</f>
        <v/>
      </c>
      <c r="AC32" s="53" t="str">
        <f>IF(AND('Riesgos de gestión'!$Y$47="Media",'Riesgos de gestión'!$AA$47="Mayor"),CONCATENATE("R7C",'Riesgos de gestión'!$O$47),"")</f>
        <v/>
      </c>
      <c r="AD32" s="53" t="str">
        <f>IF(AND('Riesgos de gestión'!$Y$48="Media",'Riesgos de gestión'!$AA$48="Mayor"),CONCATENATE("R7C",'Riesgos de gestión'!$O$48),"")</f>
        <v/>
      </c>
      <c r="AE32" s="53" t="str">
        <f>IF(AND('Riesgos de gestión'!$Y$49="Media",'Riesgos de gestión'!$AA$49="Mayor"),CONCATENATE("R7C",'Riesgos de gestión'!$O$49),"")</f>
        <v/>
      </c>
      <c r="AF32" s="53" t="str">
        <f>IF(AND('Riesgos de gestión'!$Y$50="Media",'Riesgos de gestión'!$AA$50="Mayor"),CONCATENATE("R7C",'Riesgos de gestión'!$O$50),"")</f>
        <v/>
      </c>
      <c r="AG32" s="54" t="str">
        <f>IF(AND('Riesgos de gestión'!$Y$51="Media",'Riesgos de gestión'!$AA$51="Mayor"),CONCATENATE("R7C",'Riesgos de gestión'!$O$51),"")</f>
        <v/>
      </c>
      <c r="AH32" s="55" t="str">
        <f>IF(AND('Riesgos de gestión'!$Y$46="Media",'Riesgos de gestión'!$AA$46="Catastrófico"),CONCATENATE("R7C",'Riesgos de gestión'!$O$46),"")</f>
        <v/>
      </c>
      <c r="AI32" s="56" t="str">
        <f>IF(AND('Riesgos de gestión'!$Y$47="Media",'Riesgos de gestión'!$AA$47="Catastrófico"),CONCATENATE("R7C",'Riesgos de gestión'!$O$47),"")</f>
        <v/>
      </c>
      <c r="AJ32" s="56" t="str">
        <f>IF(AND('Riesgos de gestión'!$Y$48="Media",'Riesgos de gestión'!$AA$48="Catastrófico"),CONCATENATE("R7C",'Riesgos de gestión'!$O$48),"")</f>
        <v/>
      </c>
      <c r="AK32" s="56" t="str">
        <f>IF(AND('Riesgos de gestión'!$Y$49="Media",'Riesgos de gestión'!$AA$49="Catastrófico"),CONCATENATE("R7C",'Riesgos de gestión'!$O$49),"")</f>
        <v/>
      </c>
      <c r="AL32" s="56" t="str">
        <f>IF(AND('Riesgos de gestión'!$Y$50="Media",'Riesgos de gestión'!$AA$50="Catastrófico"),CONCATENATE("R7C",'Riesgos de gestión'!$O$50),"")</f>
        <v/>
      </c>
      <c r="AM32" s="57" t="str">
        <f>IF(AND('Riesgos de gestión'!$Y$51="Media",'Riesgos de gestión'!$AA$51="Catastrófico"),CONCATENATE("R7C",'Riesgos de gestión'!$O$51),"")</f>
        <v/>
      </c>
      <c r="AN32" s="83"/>
      <c r="AO32" s="1251"/>
      <c r="AP32" s="1252"/>
      <c r="AQ32" s="1252"/>
      <c r="AR32" s="1252"/>
      <c r="AS32" s="1252"/>
      <c r="AT32" s="1253"/>
      <c r="AU32" s="83"/>
      <c r="AV32" s="83"/>
      <c r="AW32" s="83"/>
      <c r="AX32" s="83"/>
      <c r="AY32" s="83"/>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row>
    <row r="33" spans="1:80" ht="15" customHeight="1" x14ac:dyDescent="0.25">
      <c r="A33" s="83"/>
      <c r="B33" s="1123"/>
      <c r="C33" s="1123"/>
      <c r="D33" s="1124"/>
      <c r="E33" s="1222"/>
      <c r="F33" s="1221"/>
      <c r="G33" s="1221"/>
      <c r="H33" s="1221"/>
      <c r="I33" s="1237"/>
      <c r="J33" s="67" t="str">
        <f>IF(AND('Riesgos de gestión'!$Y$52="Media",'Riesgos de gestión'!$AA$52="Leve"),CONCATENATE("R8C",'Riesgos de gestión'!$O$52),"")</f>
        <v/>
      </c>
      <c r="K33" s="68" t="str">
        <f>IF(AND('Riesgos de gestión'!$Y$53="Media",'Riesgos de gestión'!$AA$53="Leve"),CONCATENATE("R8C",'Riesgos de gestión'!$O$53),"")</f>
        <v/>
      </c>
      <c r="L33" s="68" t="str">
        <f>IF(AND('Riesgos de gestión'!$Y$54="Media",'Riesgos de gestión'!$AA$54="Leve"),CONCATENATE("R8C",'Riesgos de gestión'!$O$54),"")</f>
        <v/>
      </c>
      <c r="M33" s="68" t="str">
        <f>IF(AND('Riesgos de gestión'!$Y$55="Media",'Riesgos de gestión'!$AA$55="Leve"),CONCATENATE("R8C",'Riesgos de gestión'!$O$55),"")</f>
        <v/>
      </c>
      <c r="N33" s="68" t="str">
        <f>IF(AND('Riesgos de gestión'!$Y$56="Media",'Riesgos de gestión'!$AA$56="Leve"),CONCATENATE("R8C",'Riesgos de gestión'!$O$56),"")</f>
        <v/>
      </c>
      <c r="O33" s="69" t="str">
        <f>IF(AND('Riesgos de gestión'!$Y$57="Media",'Riesgos de gestión'!$AA$57="Leve"),CONCATENATE("R8C",'Riesgos de gestión'!$O$57),"")</f>
        <v/>
      </c>
      <c r="P33" s="67" t="str">
        <f>IF(AND('Riesgos de gestión'!$Y$52="Media",'Riesgos de gestión'!$AA$52="Menor"),CONCATENATE("R8C",'Riesgos de gestión'!$O$52),"")</f>
        <v/>
      </c>
      <c r="Q33" s="68" t="str">
        <f>IF(AND('Riesgos de gestión'!$Y$53="Media",'Riesgos de gestión'!$AA$53="Menor"),CONCATENATE("R8C",'Riesgos de gestión'!$O$53),"")</f>
        <v/>
      </c>
      <c r="R33" s="68" t="str">
        <f>IF(AND('Riesgos de gestión'!$Y$54="Media",'Riesgos de gestión'!$AA$54="Menor"),CONCATENATE("R8C",'Riesgos de gestión'!$O$54),"")</f>
        <v/>
      </c>
      <c r="S33" s="68" t="str">
        <f>IF(AND('Riesgos de gestión'!$Y$55="Media",'Riesgos de gestión'!$AA$55="Menor"),CONCATENATE("R8C",'Riesgos de gestión'!$O$55),"")</f>
        <v/>
      </c>
      <c r="T33" s="68" t="str">
        <f>IF(AND('Riesgos de gestión'!$Y$56="Media",'Riesgos de gestión'!$AA$56="Menor"),CONCATENATE("R8C",'Riesgos de gestión'!$O$56),"")</f>
        <v/>
      </c>
      <c r="U33" s="69" t="str">
        <f>IF(AND('Riesgos de gestión'!$Y$57="Media",'Riesgos de gestión'!$AA$57="Menor"),CONCATENATE("R8C",'Riesgos de gestión'!$O$57),"")</f>
        <v/>
      </c>
      <c r="V33" s="67" t="str">
        <f>IF(AND('Riesgos de gestión'!$Y$52="Media",'Riesgos de gestión'!$AA$52="Moderado"),CONCATENATE("R8C",'Riesgos de gestión'!$O$52),"")</f>
        <v/>
      </c>
      <c r="W33" s="68" t="str">
        <f>IF(AND('Riesgos de gestión'!$Y$53="Media",'Riesgos de gestión'!$AA$53="Moderado"),CONCATENATE("R8C",'Riesgos de gestión'!$O$53),"")</f>
        <v/>
      </c>
      <c r="X33" s="68" t="str">
        <f>IF(AND('Riesgos de gestión'!$Y$54="Media",'Riesgos de gestión'!$AA$54="Moderado"),CONCATENATE("R8C",'Riesgos de gestión'!$O$54),"")</f>
        <v/>
      </c>
      <c r="Y33" s="68" t="str">
        <f>IF(AND('Riesgos de gestión'!$Y$55="Media",'Riesgos de gestión'!$AA$55="Moderado"),CONCATENATE("R8C",'Riesgos de gestión'!$O$55),"")</f>
        <v/>
      </c>
      <c r="Z33" s="68" t="str">
        <f>IF(AND('Riesgos de gestión'!$Y$56="Media",'Riesgos de gestión'!$AA$56="Moderado"),CONCATENATE("R8C",'Riesgos de gestión'!$O$56),"")</f>
        <v/>
      </c>
      <c r="AA33" s="69" t="str">
        <f>IF(AND('Riesgos de gestión'!$Y$57="Media",'Riesgos de gestión'!$AA$57="Moderado"),CONCATENATE("R8C",'Riesgos de gestión'!$O$57),"")</f>
        <v/>
      </c>
      <c r="AB33" s="52" t="str">
        <f>IF(AND('Riesgos de gestión'!$Y$52="Media",'Riesgos de gestión'!$AA$52="Mayor"),CONCATENATE("R8C",'Riesgos de gestión'!$O$52),"")</f>
        <v/>
      </c>
      <c r="AC33" s="53" t="str">
        <f>IF(AND('Riesgos de gestión'!$Y$53="Media",'Riesgos de gestión'!$AA$53="Mayor"),CONCATENATE("R8C",'Riesgos de gestión'!$O$53),"")</f>
        <v/>
      </c>
      <c r="AD33" s="53" t="str">
        <f>IF(AND('Riesgos de gestión'!$Y$54="Media",'Riesgos de gestión'!$AA$54="Mayor"),CONCATENATE("R8C",'Riesgos de gestión'!$O$54),"")</f>
        <v/>
      </c>
      <c r="AE33" s="53" t="str">
        <f>IF(AND('Riesgos de gestión'!$Y$55="Media",'Riesgos de gestión'!$AA$55="Mayor"),CONCATENATE("R8C",'Riesgos de gestión'!$O$55),"")</f>
        <v/>
      </c>
      <c r="AF33" s="53" t="str">
        <f>IF(AND('Riesgos de gestión'!$Y$56="Media",'Riesgos de gestión'!$AA$56="Mayor"),CONCATENATE("R8C",'Riesgos de gestión'!$O$56),"")</f>
        <v/>
      </c>
      <c r="AG33" s="54" t="str">
        <f>IF(AND('Riesgos de gestión'!$Y$57="Media",'Riesgos de gestión'!$AA$57="Mayor"),CONCATENATE("R8C",'Riesgos de gestión'!$O$57),"")</f>
        <v/>
      </c>
      <c r="AH33" s="55" t="str">
        <f>IF(AND('Riesgos de gestión'!$Y$52="Media",'Riesgos de gestión'!$AA$52="Catastrófico"),CONCATENATE("R8C",'Riesgos de gestión'!$O$52),"")</f>
        <v/>
      </c>
      <c r="AI33" s="56" t="str">
        <f>IF(AND('Riesgos de gestión'!$Y$53="Media",'Riesgos de gestión'!$AA$53="Catastrófico"),CONCATENATE("R8C",'Riesgos de gestión'!$O$53),"")</f>
        <v/>
      </c>
      <c r="AJ33" s="56" t="str">
        <f>IF(AND('Riesgos de gestión'!$Y$54="Media",'Riesgos de gestión'!$AA$54="Catastrófico"),CONCATENATE("R8C",'Riesgos de gestión'!$O$54),"")</f>
        <v/>
      </c>
      <c r="AK33" s="56" t="str">
        <f>IF(AND('Riesgos de gestión'!$Y$55="Media",'Riesgos de gestión'!$AA$55="Catastrófico"),CONCATENATE("R8C",'Riesgos de gestión'!$O$55),"")</f>
        <v/>
      </c>
      <c r="AL33" s="56" t="str">
        <f>IF(AND('Riesgos de gestión'!$Y$56="Media",'Riesgos de gestión'!$AA$56="Catastrófico"),CONCATENATE("R8C",'Riesgos de gestión'!$O$56),"")</f>
        <v/>
      </c>
      <c r="AM33" s="57" t="str">
        <f>IF(AND('Riesgos de gestión'!$Y$57="Media",'Riesgos de gestión'!$AA$57="Catastrófico"),CONCATENATE("R8C",'Riesgos de gestión'!$O$57),"")</f>
        <v/>
      </c>
      <c r="AN33" s="83"/>
      <c r="AO33" s="1251"/>
      <c r="AP33" s="1252"/>
      <c r="AQ33" s="1252"/>
      <c r="AR33" s="1252"/>
      <c r="AS33" s="1252"/>
      <c r="AT33" s="1253"/>
      <c r="AU33" s="83"/>
      <c r="AV33" s="83"/>
      <c r="AW33" s="83"/>
      <c r="AX33" s="83"/>
      <c r="AY33" s="83"/>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row>
    <row r="34" spans="1:80" ht="15" customHeight="1" x14ac:dyDescent="0.25">
      <c r="A34" s="83"/>
      <c r="B34" s="1123"/>
      <c r="C34" s="1123"/>
      <c r="D34" s="1124"/>
      <c r="E34" s="1222"/>
      <c r="F34" s="1221"/>
      <c r="G34" s="1221"/>
      <c r="H34" s="1221"/>
      <c r="I34" s="1237"/>
      <c r="J34" s="67" t="str">
        <f>IF(AND('Riesgos de gestión'!$Y$58="Media",'Riesgos de gestión'!$AA$58="Leve"),CONCATENATE("R9C",'Riesgos de gestión'!$O$58),"")</f>
        <v/>
      </c>
      <c r="K34" s="68" t="str">
        <f>IF(AND('Riesgos de gestión'!$Y$59="Media",'Riesgos de gestión'!$AA$59="Leve"),CONCATENATE("R9C",'Riesgos de gestión'!$O$59),"")</f>
        <v/>
      </c>
      <c r="L34" s="68" t="str">
        <f>IF(AND('Riesgos de gestión'!$Y$60="Media",'Riesgos de gestión'!$AA$60="Leve"),CONCATENATE("R9C",'Riesgos de gestión'!$O$60),"")</f>
        <v/>
      </c>
      <c r="M34" s="68" t="str">
        <f>IF(AND('Riesgos de gestión'!$Y$61="Media",'Riesgos de gestión'!$AA$61="Leve"),CONCATENATE("R9C",'Riesgos de gestión'!$O$61),"")</f>
        <v/>
      </c>
      <c r="N34" s="68" t="str">
        <f>IF(AND('Riesgos de gestión'!$Y$62="Media",'Riesgos de gestión'!$AA$62="Leve"),CONCATENATE("R9C",'Riesgos de gestión'!$O$62),"")</f>
        <v/>
      </c>
      <c r="O34" s="69" t="str">
        <f>IF(AND('Riesgos de gestión'!$Y$63="Media",'Riesgos de gestión'!$AA$63="Leve"),CONCATENATE("R9C",'Riesgos de gestión'!$O$63),"")</f>
        <v/>
      </c>
      <c r="P34" s="67" t="str">
        <f>IF(AND('Riesgos de gestión'!$Y$58="Media",'Riesgos de gestión'!$AA$58="Menor"),CONCATENATE("R9C",'Riesgos de gestión'!$O$58),"")</f>
        <v/>
      </c>
      <c r="Q34" s="68" t="str">
        <f>IF(AND('Riesgos de gestión'!$Y$59="Media",'Riesgos de gestión'!$AA$59="Menor"),CONCATENATE("R9C",'Riesgos de gestión'!$O$59),"")</f>
        <v/>
      </c>
      <c r="R34" s="68" t="str">
        <f>IF(AND('Riesgos de gestión'!$Y$60="Media",'Riesgos de gestión'!$AA$60="Menor"),CONCATENATE("R9C",'Riesgos de gestión'!$O$60),"")</f>
        <v/>
      </c>
      <c r="S34" s="68" t="str">
        <f>IF(AND('Riesgos de gestión'!$Y$61="Media",'Riesgos de gestión'!$AA$61="Menor"),CONCATENATE("R9C",'Riesgos de gestión'!$O$61),"")</f>
        <v/>
      </c>
      <c r="T34" s="68" t="str">
        <f>IF(AND('Riesgos de gestión'!$Y$62="Media",'Riesgos de gestión'!$AA$62="Menor"),CONCATENATE("R9C",'Riesgos de gestión'!$O$62),"")</f>
        <v/>
      </c>
      <c r="U34" s="69" t="str">
        <f>IF(AND('Riesgos de gestión'!$Y$63="Media",'Riesgos de gestión'!$AA$63="Menor"),CONCATENATE("R9C",'Riesgos de gestión'!$O$63),"")</f>
        <v/>
      </c>
      <c r="V34" s="67" t="str">
        <f>IF(AND('Riesgos de gestión'!$Y$58="Media",'Riesgos de gestión'!$AA$58="Moderado"),CONCATENATE("R9C",'Riesgos de gestión'!$O$58),"")</f>
        <v/>
      </c>
      <c r="W34" s="68" t="str">
        <f>IF(AND('Riesgos de gestión'!$Y$59="Media",'Riesgos de gestión'!$AA$59="Moderado"),CONCATENATE("R9C",'Riesgos de gestión'!$O$59),"")</f>
        <v/>
      </c>
      <c r="X34" s="68" t="str">
        <f>IF(AND('Riesgos de gestión'!$Y$60="Media",'Riesgos de gestión'!$AA$60="Moderado"),CONCATENATE("R9C",'Riesgos de gestión'!$O$60),"")</f>
        <v/>
      </c>
      <c r="Y34" s="68" t="str">
        <f>IF(AND('Riesgos de gestión'!$Y$61="Media",'Riesgos de gestión'!$AA$61="Moderado"),CONCATENATE("R9C",'Riesgos de gestión'!$O$61),"")</f>
        <v/>
      </c>
      <c r="Z34" s="68" t="str">
        <f>IF(AND('Riesgos de gestión'!$Y$62="Media",'Riesgos de gestión'!$AA$62="Moderado"),CONCATENATE("R9C",'Riesgos de gestión'!$O$62),"")</f>
        <v/>
      </c>
      <c r="AA34" s="69" t="str">
        <f>IF(AND('Riesgos de gestión'!$Y$63="Media",'Riesgos de gestión'!$AA$63="Moderado"),CONCATENATE("R9C",'Riesgos de gestión'!$O$63),"")</f>
        <v/>
      </c>
      <c r="AB34" s="52" t="str">
        <f>IF(AND('Riesgos de gestión'!$Y$58="Media",'Riesgos de gestión'!$AA$58="Mayor"),CONCATENATE("R9C",'Riesgos de gestión'!$O$58),"")</f>
        <v/>
      </c>
      <c r="AC34" s="53" t="str">
        <f>IF(AND('Riesgos de gestión'!$Y$59="Media",'Riesgos de gestión'!$AA$59="Mayor"),CONCATENATE("R9C",'Riesgos de gestión'!$O$59),"")</f>
        <v/>
      </c>
      <c r="AD34" s="53" t="str">
        <f>IF(AND('Riesgos de gestión'!$Y$60="Media",'Riesgos de gestión'!$AA$60="Mayor"),CONCATENATE("R9C",'Riesgos de gestión'!$O$60),"")</f>
        <v/>
      </c>
      <c r="AE34" s="53" t="str">
        <f>IF(AND('Riesgos de gestión'!$Y$61="Media",'Riesgos de gestión'!$AA$61="Mayor"),CONCATENATE("R9C",'Riesgos de gestión'!$O$61),"")</f>
        <v/>
      </c>
      <c r="AF34" s="53" t="str">
        <f>IF(AND('Riesgos de gestión'!$Y$62="Media",'Riesgos de gestión'!$AA$62="Mayor"),CONCATENATE("R9C",'Riesgos de gestión'!$O$62),"")</f>
        <v/>
      </c>
      <c r="AG34" s="54" t="str">
        <f>IF(AND('Riesgos de gestión'!$Y$63="Media",'Riesgos de gestión'!$AA$63="Mayor"),CONCATENATE("R9C",'Riesgos de gestión'!$O$63),"")</f>
        <v/>
      </c>
      <c r="AH34" s="55" t="str">
        <f>IF(AND('Riesgos de gestión'!$Y$58="Media",'Riesgos de gestión'!$AA$58="Catastrófico"),CONCATENATE("R9C",'Riesgos de gestión'!$O$58),"")</f>
        <v/>
      </c>
      <c r="AI34" s="56" t="str">
        <f>IF(AND('Riesgos de gestión'!$Y$59="Media",'Riesgos de gestión'!$AA$59="Catastrófico"),CONCATENATE("R9C",'Riesgos de gestión'!$O$59),"")</f>
        <v/>
      </c>
      <c r="AJ34" s="56" t="str">
        <f>IF(AND('Riesgos de gestión'!$Y$60="Media",'Riesgos de gestión'!$AA$60="Catastrófico"),CONCATENATE("R9C",'Riesgos de gestión'!$O$60),"")</f>
        <v/>
      </c>
      <c r="AK34" s="56" t="str">
        <f>IF(AND('Riesgos de gestión'!$Y$61="Media",'Riesgos de gestión'!$AA$61="Catastrófico"),CONCATENATE("R9C",'Riesgos de gestión'!$O$61),"")</f>
        <v/>
      </c>
      <c r="AL34" s="56" t="str">
        <f>IF(AND('Riesgos de gestión'!$Y$62="Media",'Riesgos de gestión'!$AA$62="Catastrófico"),CONCATENATE("R9C",'Riesgos de gestión'!$O$62),"")</f>
        <v/>
      </c>
      <c r="AM34" s="57" t="str">
        <f>IF(AND('Riesgos de gestión'!$Y$63="Media",'Riesgos de gestión'!$AA$63="Catastrófico"),CONCATENATE("R9C",'Riesgos de gestión'!$O$63),"")</f>
        <v/>
      </c>
      <c r="AN34" s="83"/>
      <c r="AO34" s="1251"/>
      <c r="AP34" s="1252"/>
      <c r="AQ34" s="1252"/>
      <c r="AR34" s="1252"/>
      <c r="AS34" s="1252"/>
      <c r="AT34" s="1253"/>
      <c r="AU34" s="83"/>
      <c r="AV34" s="83"/>
      <c r="AW34" s="83"/>
      <c r="AX34" s="83"/>
      <c r="AY34" s="83"/>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row>
    <row r="35" spans="1:80" ht="15.75" customHeight="1" thickBot="1" x14ac:dyDescent="0.3">
      <c r="A35" s="83"/>
      <c r="B35" s="1123"/>
      <c r="C35" s="1123"/>
      <c r="D35" s="1124"/>
      <c r="E35" s="1223"/>
      <c r="F35" s="1224"/>
      <c r="G35" s="1224"/>
      <c r="H35" s="1224"/>
      <c r="I35" s="1238"/>
      <c r="J35" s="67" t="str">
        <f>IF(AND('Riesgos de gestión'!$Y$64="Media",'Riesgos de gestión'!$AA$64="Leve"),CONCATENATE("R10C",'Riesgos de gestión'!$O$64),"")</f>
        <v/>
      </c>
      <c r="K35" s="68" t="str">
        <f>IF(AND('Riesgos de gestión'!$Y$65="Media",'Riesgos de gestión'!$AA$65="Leve"),CONCATENATE("R10C",'Riesgos de gestión'!$O$65),"")</f>
        <v/>
      </c>
      <c r="L35" s="68" t="str">
        <f>IF(AND('Riesgos de gestión'!$Y$66="Media",'Riesgos de gestión'!$AA$66="Leve"),CONCATENATE("R10C",'Riesgos de gestión'!$O$66),"")</f>
        <v/>
      </c>
      <c r="M35" s="68" t="str">
        <f>IF(AND('Riesgos de gestión'!$Y$67="Media",'Riesgos de gestión'!$AA$67="Leve"),CONCATENATE("R10C",'Riesgos de gestión'!$O$67),"")</f>
        <v/>
      </c>
      <c r="N35" s="68" t="str">
        <f>IF(AND('Riesgos de gestión'!$Y$68="Media",'Riesgos de gestión'!$AA$68="Leve"),CONCATENATE("R10C",'Riesgos de gestión'!$O$68),"")</f>
        <v/>
      </c>
      <c r="O35" s="69" t="str">
        <f>IF(AND('Riesgos de gestión'!$Y$69="Media",'Riesgos de gestión'!$AA$69="Leve"),CONCATENATE("R10C",'Riesgos de gestión'!$O$69),"")</f>
        <v/>
      </c>
      <c r="P35" s="67" t="str">
        <f>IF(AND('Riesgos de gestión'!$Y$64="Media",'Riesgos de gestión'!$AA$64="Menor"),CONCATENATE("R10C",'Riesgos de gestión'!$O$64),"")</f>
        <v/>
      </c>
      <c r="Q35" s="68" t="str">
        <f>IF(AND('Riesgos de gestión'!$Y$65="Media",'Riesgos de gestión'!$AA$65="Menor"),CONCATENATE("R10C",'Riesgos de gestión'!$O$65),"")</f>
        <v/>
      </c>
      <c r="R35" s="68" t="str">
        <f>IF(AND('Riesgos de gestión'!$Y$66="Media",'Riesgos de gestión'!$AA$66="Menor"),CONCATENATE("R10C",'Riesgos de gestión'!$O$66),"")</f>
        <v/>
      </c>
      <c r="S35" s="68" t="str">
        <f>IF(AND('Riesgos de gestión'!$Y$67="Media",'Riesgos de gestión'!$AA$67="Menor"),CONCATENATE("R10C",'Riesgos de gestión'!$O$67),"")</f>
        <v/>
      </c>
      <c r="T35" s="68" t="str">
        <f>IF(AND('Riesgos de gestión'!$Y$68="Media",'Riesgos de gestión'!$AA$68="Menor"),CONCATENATE("R10C",'Riesgos de gestión'!$O$68),"")</f>
        <v/>
      </c>
      <c r="U35" s="69" t="str">
        <f>IF(AND('Riesgos de gestión'!$Y$69="Media",'Riesgos de gestión'!$AA$69="Menor"),CONCATENATE("R10C",'Riesgos de gestión'!$O$69),"")</f>
        <v/>
      </c>
      <c r="V35" s="67" t="str">
        <f>IF(AND('Riesgos de gestión'!$Y$64="Media",'Riesgos de gestión'!$AA$64="Moderado"),CONCATENATE("R10C",'Riesgos de gestión'!$O$64),"")</f>
        <v/>
      </c>
      <c r="W35" s="68" t="str">
        <f>IF(AND('Riesgos de gestión'!$Y$65="Media",'Riesgos de gestión'!$AA$65="Moderado"),CONCATENATE("R10C",'Riesgos de gestión'!$O$65),"")</f>
        <v/>
      </c>
      <c r="X35" s="68" t="str">
        <f>IF(AND('Riesgos de gestión'!$Y$66="Media",'Riesgos de gestión'!$AA$66="Moderado"),CONCATENATE("R10C",'Riesgos de gestión'!$O$66),"")</f>
        <v/>
      </c>
      <c r="Y35" s="68" t="str">
        <f>IF(AND('Riesgos de gestión'!$Y$67="Media",'Riesgos de gestión'!$AA$67="Moderado"),CONCATENATE("R10C",'Riesgos de gestión'!$O$67),"")</f>
        <v/>
      </c>
      <c r="Z35" s="68" t="str">
        <f>IF(AND('Riesgos de gestión'!$Y$68="Media",'Riesgos de gestión'!$AA$68="Moderado"),CONCATENATE("R10C",'Riesgos de gestión'!$O$68),"")</f>
        <v/>
      </c>
      <c r="AA35" s="69" t="str">
        <f>IF(AND('Riesgos de gestión'!$Y$69="Media",'Riesgos de gestión'!$AA$69="Moderado"),CONCATENATE("R10C",'Riesgos de gestión'!$O$69),"")</f>
        <v/>
      </c>
      <c r="AB35" s="58" t="str">
        <f>IF(AND('Riesgos de gestión'!$Y$64="Media",'Riesgos de gestión'!$AA$64="Mayor"),CONCATENATE("R10C",'Riesgos de gestión'!$O$64),"")</f>
        <v/>
      </c>
      <c r="AC35" s="59" t="str">
        <f>IF(AND('Riesgos de gestión'!$Y$65="Media",'Riesgos de gestión'!$AA$65="Mayor"),CONCATENATE("R10C",'Riesgos de gestión'!$O$65),"")</f>
        <v/>
      </c>
      <c r="AD35" s="59" t="str">
        <f>IF(AND('Riesgos de gestión'!$Y$66="Media",'Riesgos de gestión'!$AA$66="Mayor"),CONCATENATE("R10C",'Riesgos de gestión'!$O$66),"")</f>
        <v/>
      </c>
      <c r="AE35" s="59" t="str">
        <f>IF(AND('Riesgos de gestión'!$Y$67="Media",'Riesgos de gestión'!$AA$67="Mayor"),CONCATENATE("R10C",'Riesgos de gestión'!$O$67),"")</f>
        <v/>
      </c>
      <c r="AF35" s="59" t="str">
        <f>IF(AND('Riesgos de gestión'!$Y$68="Media",'Riesgos de gestión'!$AA$68="Mayor"),CONCATENATE("R10C",'Riesgos de gestión'!$O$68),"")</f>
        <v/>
      </c>
      <c r="AG35" s="60" t="str">
        <f>IF(AND('Riesgos de gestión'!$Y$69="Media",'Riesgos de gestión'!$AA$69="Mayor"),CONCATENATE("R10C",'Riesgos de gestión'!$O$69),"")</f>
        <v/>
      </c>
      <c r="AH35" s="61" t="str">
        <f>IF(AND('Riesgos de gestión'!$Y$64="Media",'Riesgos de gestión'!$AA$64="Catastrófico"),CONCATENATE("R10C",'Riesgos de gestión'!$O$64),"")</f>
        <v/>
      </c>
      <c r="AI35" s="62" t="str">
        <f>IF(AND('Riesgos de gestión'!$Y$65="Media",'Riesgos de gestión'!$AA$65="Catastrófico"),CONCATENATE("R10C",'Riesgos de gestión'!$O$65),"")</f>
        <v/>
      </c>
      <c r="AJ35" s="62" t="str">
        <f>IF(AND('Riesgos de gestión'!$Y$66="Media",'Riesgos de gestión'!$AA$66="Catastrófico"),CONCATENATE("R10C",'Riesgos de gestión'!$O$66),"")</f>
        <v/>
      </c>
      <c r="AK35" s="62" t="str">
        <f>IF(AND('Riesgos de gestión'!$Y$67="Media",'Riesgos de gestión'!$AA$67="Catastrófico"),CONCATENATE("R10C",'Riesgos de gestión'!$O$67),"")</f>
        <v/>
      </c>
      <c r="AL35" s="62" t="str">
        <f>IF(AND('Riesgos de gestión'!$Y$68="Media",'Riesgos de gestión'!$AA$68="Catastrófico"),CONCATENATE("R10C",'Riesgos de gestión'!$O$68),"")</f>
        <v/>
      </c>
      <c r="AM35" s="63" t="str">
        <f>IF(AND('Riesgos de gestión'!$Y$69="Media",'Riesgos de gestión'!$AA$69="Catastrófico"),CONCATENATE("R10C",'Riesgos de gestión'!$O$69),"")</f>
        <v/>
      </c>
      <c r="AN35" s="83"/>
      <c r="AO35" s="1254"/>
      <c r="AP35" s="1255"/>
      <c r="AQ35" s="1255"/>
      <c r="AR35" s="1255"/>
      <c r="AS35" s="1255"/>
      <c r="AT35" s="1256"/>
      <c r="AU35" s="83"/>
      <c r="AV35" s="83"/>
      <c r="AW35" s="83"/>
      <c r="AX35" s="83"/>
      <c r="AY35" s="83"/>
      <c r="AZ35" s="83"/>
      <c r="BA35" s="83"/>
      <c r="BB35" s="83"/>
      <c r="BC35" s="83"/>
      <c r="BD35" s="83"/>
      <c r="BE35" s="83"/>
      <c r="BF35" s="83"/>
      <c r="BG35" s="83"/>
      <c r="BH35" s="83"/>
      <c r="BI35" s="83"/>
      <c r="BJ35" s="83"/>
      <c r="BK35" s="83"/>
      <c r="BL35" s="83"/>
      <c r="BM35" s="83"/>
      <c r="BN35" s="83"/>
      <c r="BO35" s="83"/>
      <c r="BP35" s="83"/>
      <c r="BQ35" s="83"/>
      <c r="BR35" s="83"/>
      <c r="BS35" s="83"/>
      <c r="BT35" s="83"/>
      <c r="BU35" s="83"/>
      <c r="BV35" s="83"/>
      <c r="BW35" s="83"/>
      <c r="BX35" s="83"/>
    </row>
    <row r="36" spans="1:80" ht="15" customHeight="1" x14ac:dyDescent="0.25">
      <c r="A36" s="83"/>
      <c r="B36" s="1123"/>
      <c r="C36" s="1123"/>
      <c r="D36" s="1124"/>
      <c r="E36" s="1218" t="s">
        <v>114</v>
      </c>
      <c r="F36" s="1219"/>
      <c r="G36" s="1219"/>
      <c r="H36" s="1219"/>
      <c r="I36" s="1219"/>
      <c r="J36" s="73" t="str">
        <f ca="1">IF(AND('Riesgos de gestión'!$Y$10="Baja",'Riesgos de gestión'!$AA$10="Leve"),CONCATENATE("R1C",'Riesgos de gestión'!$O$10),"")</f>
        <v/>
      </c>
      <c r="K36" s="74" t="str">
        <f>IF(AND('Riesgos de gestión'!$Y$11="Baja",'Riesgos de gestión'!$AA$11="Leve"),CONCATENATE("R1C",'Riesgos de gestión'!$O$11),"")</f>
        <v/>
      </c>
      <c r="L36" s="74" t="str">
        <f>IF(AND('Riesgos de gestión'!$Y$12="Baja",'Riesgos de gestión'!$AA$12="Leve"),CONCATENATE("R1C",'Riesgos de gestión'!$O$12),"")</f>
        <v/>
      </c>
      <c r="M36" s="74" t="str">
        <f>IF(AND('Riesgos de gestión'!$Y$13="Baja",'Riesgos de gestión'!$AA$13="Leve"),CONCATENATE("R1C",'Riesgos de gestión'!$O$13),"")</f>
        <v/>
      </c>
      <c r="N36" s="74" t="str">
        <f>IF(AND('Riesgos de gestión'!$Y$14="Baja",'Riesgos de gestión'!$AA$14="Leve"),CONCATENATE("R1C",'Riesgos de gestión'!$O$14),"")</f>
        <v/>
      </c>
      <c r="O36" s="75" t="str">
        <f>IF(AND('Riesgos de gestión'!$Y$15="Baja",'Riesgos de gestión'!$AA$15="Leve"),CONCATENATE("R1C",'Riesgos de gestión'!$O$15),"")</f>
        <v/>
      </c>
      <c r="P36" s="64" t="str">
        <f ca="1">IF(AND('Riesgos de gestión'!$Y$10="Baja",'Riesgos de gestión'!$AA$10="Menor"),CONCATENATE("R1C",'Riesgos de gestión'!$O$10),"")</f>
        <v/>
      </c>
      <c r="Q36" s="65" t="str">
        <f>IF(AND('Riesgos de gestión'!$Y$11="Baja",'Riesgos de gestión'!$AA$11="Menor"),CONCATENATE("R1C",'Riesgos de gestión'!$O$11),"")</f>
        <v/>
      </c>
      <c r="R36" s="65" t="str">
        <f>IF(AND('Riesgos de gestión'!$Y$12="Baja",'Riesgos de gestión'!$AA$12="Menor"),CONCATENATE("R1C",'Riesgos de gestión'!$O$12),"")</f>
        <v/>
      </c>
      <c r="S36" s="65" t="str">
        <f>IF(AND('Riesgos de gestión'!$Y$13="Baja",'Riesgos de gestión'!$AA$13="Menor"),CONCATENATE("R1C",'Riesgos de gestión'!$O$13),"")</f>
        <v/>
      </c>
      <c r="T36" s="65" t="str">
        <f>IF(AND('Riesgos de gestión'!$Y$14="Baja",'Riesgos de gestión'!$AA$14="Menor"),CONCATENATE("R1C",'Riesgos de gestión'!$O$14),"")</f>
        <v/>
      </c>
      <c r="U36" s="66" t="str">
        <f>IF(AND('Riesgos de gestión'!$Y$15="Baja",'Riesgos de gestión'!$AA$15="Menor"),CONCATENATE("R1C",'Riesgos de gestión'!$O$15),"")</f>
        <v/>
      </c>
      <c r="V36" s="64" t="str">
        <f ca="1">IF(AND('Riesgos de gestión'!$Y$10="Baja",'Riesgos de gestión'!$AA$10="Moderado"),CONCATENATE("R1C",'Riesgos de gestión'!$O$10),"")</f>
        <v/>
      </c>
      <c r="W36" s="65" t="str">
        <f>IF(AND('Riesgos de gestión'!$Y$11="Baja",'Riesgos de gestión'!$AA$11="Moderado"),CONCATENATE("R1C",'Riesgos de gestión'!$O$11),"")</f>
        <v/>
      </c>
      <c r="X36" s="65" t="str">
        <f>IF(AND('Riesgos de gestión'!$Y$12="Baja",'Riesgos de gestión'!$AA$12="Moderado"),CONCATENATE("R1C",'Riesgos de gestión'!$O$12),"")</f>
        <v/>
      </c>
      <c r="Y36" s="65" t="str">
        <f>IF(AND('Riesgos de gestión'!$Y$13="Baja",'Riesgos de gestión'!$AA$13="Moderado"),CONCATENATE("R1C",'Riesgos de gestión'!$O$13),"")</f>
        <v/>
      </c>
      <c r="Z36" s="65" t="str">
        <f>IF(AND('Riesgos de gestión'!$Y$14="Baja",'Riesgos de gestión'!$AA$14="Moderado"),CONCATENATE("R1C",'Riesgos de gestión'!$O$14),"")</f>
        <v/>
      </c>
      <c r="AA36" s="66" t="str">
        <f>IF(AND('Riesgos de gestión'!$Y$15="Baja",'Riesgos de gestión'!$AA$15="Moderado"),CONCATENATE("R1C",'Riesgos de gestión'!$O$15),"")</f>
        <v/>
      </c>
      <c r="AB36" s="46" t="str">
        <f ca="1">IF(AND('Riesgos de gestión'!$Y$10="Baja",'Riesgos de gestión'!$AA$10="Mayor"),CONCATENATE("R1C",'Riesgos de gestión'!$O$10),"")</f>
        <v/>
      </c>
      <c r="AC36" s="47" t="str">
        <f>IF(AND('Riesgos de gestión'!$Y$11="Baja",'Riesgos de gestión'!$AA$11="Mayor"),CONCATENATE("R1C",'Riesgos de gestión'!$O$11),"")</f>
        <v/>
      </c>
      <c r="AD36" s="47" t="str">
        <f>IF(AND('Riesgos de gestión'!$Y$12="Baja",'Riesgos de gestión'!$AA$12="Mayor"),CONCATENATE("R1C",'Riesgos de gestión'!$O$12),"")</f>
        <v/>
      </c>
      <c r="AE36" s="47" t="str">
        <f>IF(AND('Riesgos de gestión'!$Y$13="Baja",'Riesgos de gestión'!$AA$13="Mayor"),CONCATENATE("R1C",'Riesgos de gestión'!$O$13),"")</f>
        <v/>
      </c>
      <c r="AF36" s="47" t="str">
        <f>IF(AND('Riesgos de gestión'!$Y$14="Baja",'Riesgos de gestión'!$AA$14="Mayor"),CONCATENATE("R1C",'Riesgos de gestión'!$O$14),"")</f>
        <v/>
      </c>
      <c r="AG36" s="48" t="str">
        <f>IF(AND('Riesgos de gestión'!$Y$15="Baja",'Riesgos de gestión'!$AA$15="Mayor"),CONCATENATE("R1C",'Riesgos de gestión'!$O$15),"")</f>
        <v/>
      </c>
      <c r="AH36" s="49" t="str">
        <f ca="1">IF(AND('Riesgos de gestión'!$Y$10="Baja",'Riesgos de gestión'!$AA$10="Catastrófico"),CONCATENATE("R1C",'Riesgos de gestión'!$O$10),"")</f>
        <v/>
      </c>
      <c r="AI36" s="50" t="str">
        <f>IF(AND('Riesgos de gestión'!$Y$11="Baja",'Riesgos de gestión'!$AA$11="Catastrófico"),CONCATENATE("R1C",'Riesgos de gestión'!$O$11),"")</f>
        <v/>
      </c>
      <c r="AJ36" s="50" t="str">
        <f>IF(AND('Riesgos de gestión'!$Y$12="Baja",'Riesgos de gestión'!$AA$12="Catastrófico"),CONCATENATE("R1C",'Riesgos de gestión'!$O$12),"")</f>
        <v/>
      </c>
      <c r="AK36" s="50" t="str">
        <f>IF(AND('Riesgos de gestión'!$Y$13="Baja",'Riesgos de gestión'!$AA$13="Catastrófico"),CONCATENATE("R1C",'Riesgos de gestión'!$O$13),"")</f>
        <v/>
      </c>
      <c r="AL36" s="50" t="str">
        <f>IF(AND('Riesgos de gestión'!$Y$14="Baja",'Riesgos de gestión'!$AA$14="Catastrófico"),CONCATENATE("R1C",'Riesgos de gestión'!$O$14),"")</f>
        <v/>
      </c>
      <c r="AM36" s="51" t="str">
        <f>IF(AND('Riesgos de gestión'!$Y$15="Baja",'Riesgos de gestión'!$AA$15="Catastrófico"),CONCATENATE("R1C",'Riesgos de gestión'!$O$15),"")</f>
        <v/>
      </c>
      <c r="AN36" s="83"/>
      <c r="AO36" s="1239" t="s">
        <v>82</v>
      </c>
      <c r="AP36" s="1240"/>
      <c r="AQ36" s="1240"/>
      <c r="AR36" s="1240"/>
      <c r="AS36" s="1240"/>
      <c r="AT36" s="1241"/>
      <c r="AU36" s="83"/>
      <c r="AV36" s="83"/>
      <c r="AW36" s="83"/>
      <c r="AX36" s="83"/>
      <c r="AY36" s="83"/>
      <c r="AZ36" s="83"/>
      <c r="BA36" s="83"/>
      <c r="BB36" s="83"/>
      <c r="BC36" s="83"/>
      <c r="BD36" s="83"/>
      <c r="BE36" s="83"/>
      <c r="BF36" s="83"/>
      <c r="BG36" s="83"/>
      <c r="BH36" s="83"/>
      <c r="BI36" s="83"/>
      <c r="BJ36" s="83"/>
      <c r="BK36" s="83"/>
      <c r="BL36" s="83"/>
      <c r="BM36" s="83"/>
      <c r="BN36" s="83"/>
      <c r="BO36" s="83"/>
      <c r="BP36" s="83"/>
      <c r="BQ36" s="83"/>
      <c r="BR36" s="83"/>
      <c r="BS36" s="83"/>
      <c r="BT36" s="83"/>
      <c r="BU36" s="83"/>
      <c r="BV36" s="83"/>
      <c r="BW36" s="83"/>
      <c r="BX36" s="83"/>
    </row>
    <row r="37" spans="1:80" ht="15" customHeight="1" x14ac:dyDescent="0.25">
      <c r="A37" s="83"/>
      <c r="B37" s="1123"/>
      <c r="C37" s="1123"/>
      <c r="D37" s="1124"/>
      <c r="E37" s="1220"/>
      <c r="F37" s="1221"/>
      <c r="G37" s="1221"/>
      <c r="H37" s="1221"/>
      <c r="I37" s="1221"/>
      <c r="J37" s="76" t="str">
        <f>IF(AND('Riesgos de gestión'!$Y$16="Baja",'Riesgos de gestión'!$AA$16="Leve"),CONCATENATE("R2C",'Riesgos de gestión'!$O$16),"")</f>
        <v/>
      </c>
      <c r="K37" s="77" t="str">
        <f>IF(AND('Riesgos de gestión'!$Y$17="Baja",'Riesgos de gestión'!$AA$17="Leve"),CONCATENATE("R2C",'Riesgos de gestión'!$O$17),"")</f>
        <v/>
      </c>
      <c r="L37" s="77" t="str">
        <f>IF(AND('Riesgos de gestión'!$Y$18="Baja",'Riesgos de gestión'!$AA$18="Leve"),CONCATENATE("R2C",'Riesgos de gestión'!$O$18),"")</f>
        <v/>
      </c>
      <c r="M37" s="77" t="str">
        <f>IF(AND('Riesgos de gestión'!$Y$19="Baja",'Riesgos de gestión'!$AA$19="Leve"),CONCATENATE("R2C",'Riesgos de gestión'!$O$19),"")</f>
        <v/>
      </c>
      <c r="N37" s="77" t="str">
        <f>IF(AND('Riesgos de gestión'!$Y$20="Baja",'Riesgos de gestión'!$AA$20="Leve"),CONCATENATE("R2C",'Riesgos de gestión'!$O$20),"")</f>
        <v/>
      </c>
      <c r="O37" s="78" t="str">
        <f>IF(AND('Riesgos de gestión'!$Y$21="Baja",'Riesgos de gestión'!$AA$21="Leve"),CONCATENATE("R2C",'Riesgos de gestión'!$O$21),"")</f>
        <v/>
      </c>
      <c r="P37" s="67" t="str">
        <f>IF(AND('Riesgos de gestión'!$Y$16="Baja",'Riesgos de gestión'!$AA$16="Menor"),CONCATENATE("R2C",'Riesgos de gestión'!$O$16),"")</f>
        <v/>
      </c>
      <c r="Q37" s="68" t="str">
        <f>IF(AND('Riesgos de gestión'!$Y$17="Baja",'Riesgos de gestión'!$AA$17="Menor"),CONCATENATE("R2C",'Riesgos de gestión'!$O$17),"")</f>
        <v/>
      </c>
      <c r="R37" s="68" t="str">
        <f>IF(AND('Riesgos de gestión'!$Y$18="Baja",'Riesgos de gestión'!$AA$18="Menor"),CONCATENATE("R2C",'Riesgos de gestión'!$O$18),"")</f>
        <v/>
      </c>
      <c r="S37" s="68" t="str">
        <f>IF(AND('Riesgos de gestión'!$Y$19="Baja",'Riesgos de gestión'!$AA$19="Menor"),CONCATENATE("R2C",'Riesgos de gestión'!$O$19),"")</f>
        <v/>
      </c>
      <c r="T37" s="68" t="str">
        <f>IF(AND('Riesgos de gestión'!$Y$20="Baja",'Riesgos de gestión'!$AA$20="Menor"),CONCATENATE("R2C",'Riesgos de gestión'!$O$20),"")</f>
        <v/>
      </c>
      <c r="U37" s="69" t="str">
        <f>IF(AND('Riesgos de gestión'!$Y$21="Baja",'Riesgos de gestión'!$AA$21="Menor"),CONCATENATE("R2C",'Riesgos de gestión'!$O$21),"")</f>
        <v/>
      </c>
      <c r="V37" s="67" t="str">
        <f>IF(AND('Riesgos de gestión'!$Y$16="Baja",'Riesgos de gestión'!$AA$16="Moderado"),CONCATENATE("R2C",'Riesgos de gestión'!$O$16),"")</f>
        <v/>
      </c>
      <c r="W37" s="68" t="str">
        <f>IF(AND('Riesgos de gestión'!$Y$17="Baja",'Riesgos de gestión'!$AA$17="Moderado"),CONCATENATE("R2C",'Riesgos de gestión'!$O$17),"")</f>
        <v/>
      </c>
      <c r="X37" s="68" t="str">
        <f>IF(AND('Riesgos de gestión'!$Y$18="Baja",'Riesgos de gestión'!$AA$18="Moderado"),CONCATENATE("R2C",'Riesgos de gestión'!$O$18),"")</f>
        <v/>
      </c>
      <c r="Y37" s="68" t="str">
        <f>IF(AND('Riesgos de gestión'!$Y$19="Baja",'Riesgos de gestión'!$AA$19="Moderado"),CONCATENATE("R2C",'Riesgos de gestión'!$O$19),"")</f>
        <v/>
      </c>
      <c r="Z37" s="68" t="str">
        <f>IF(AND('Riesgos de gestión'!$Y$20="Baja",'Riesgos de gestión'!$AA$20="Moderado"),CONCATENATE("R2C",'Riesgos de gestión'!$O$20),"")</f>
        <v/>
      </c>
      <c r="AA37" s="69" t="str">
        <f>IF(AND('Riesgos de gestión'!$Y$21="Baja",'Riesgos de gestión'!$AA$21="Moderado"),CONCATENATE("R2C",'Riesgos de gestión'!$O$21),"")</f>
        <v/>
      </c>
      <c r="AB37" s="52" t="str">
        <f>IF(AND('Riesgos de gestión'!$Y$16="Baja",'Riesgos de gestión'!$AA$16="Mayor"),CONCATENATE("R2C",'Riesgos de gestión'!$O$16),"")</f>
        <v/>
      </c>
      <c r="AC37" s="53" t="str">
        <f>IF(AND('Riesgos de gestión'!$Y$17="Baja",'Riesgos de gestión'!$AA$17="Mayor"),CONCATENATE("R2C",'Riesgos de gestión'!$O$17),"")</f>
        <v/>
      </c>
      <c r="AD37" s="53" t="str">
        <f>IF(AND('Riesgos de gestión'!$Y$18="Baja",'Riesgos de gestión'!$AA$18="Mayor"),CONCATENATE("R2C",'Riesgos de gestión'!$O$18),"")</f>
        <v/>
      </c>
      <c r="AE37" s="53" t="str">
        <f>IF(AND('Riesgos de gestión'!$Y$19="Baja",'Riesgos de gestión'!$AA$19="Mayor"),CONCATENATE("R2C",'Riesgos de gestión'!$O$19),"")</f>
        <v/>
      </c>
      <c r="AF37" s="53" t="str">
        <f>IF(AND('Riesgos de gestión'!$Y$20="Baja",'Riesgos de gestión'!$AA$20="Mayor"),CONCATENATE("R2C",'Riesgos de gestión'!$O$20),"")</f>
        <v/>
      </c>
      <c r="AG37" s="54" t="str">
        <f>IF(AND('Riesgos de gestión'!$Y$21="Baja",'Riesgos de gestión'!$AA$21="Mayor"),CONCATENATE("R2C",'Riesgos de gestión'!$O$21),"")</f>
        <v/>
      </c>
      <c r="AH37" s="55" t="str">
        <f>IF(AND('Riesgos de gestión'!$Y$16="Baja",'Riesgos de gestión'!$AA$16="Catastrófico"),CONCATENATE("R2C",'Riesgos de gestión'!$O$16),"")</f>
        <v/>
      </c>
      <c r="AI37" s="56" t="str">
        <f>IF(AND('Riesgos de gestión'!$Y$17="Baja",'Riesgos de gestión'!$AA$17="Catastrófico"),CONCATENATE("R2C",'Riesgos de gestión'!$O$17),"")</f>
        <v/>
      </c>
      <c r="AJ37" s="56" t="str">
        <f>IF(AND('Riesgos de gestión'!$Y$18="Baja",'Riesgos de gestión'!$AA$18="Catastrófico"),CONCATENATE("R2C",'Riesgos de gestión'!$O$18),"")</f>
        <v/>
      </c>
      <c r="AK37" s="56" t="str">
        <f>IF(AND('Riesgos de gestión'!$Y$19="Baja",'Riesgos de gestión'!$AA$19="Catastrófico"),CONCATENATE("R2C",'Riesgos de gestión'!$O$19),"")</f>
        <v/>
      </c>
      <c r="AL37" s="56" t="str">
        <f>IF(AND('Riesgos de gestión'!$Y$20="Baja",'Riesgos de gestión'!$AA$20="Catastrófico"),CONCATENATE("R2C",'Riesgos de gestión'!$O$20),"")</f>
        <v/>
      </c>
      <c r="AM37" s="57" t="str">
        <f>IF(AND('Riesgos de gestión'!$Y$21="Baja",'Riesgos de gestión'!$AA$21="Catastrófico"),CONCATENATE("R2C",'Riesgos de gestión'!$O$21),"")</f>
        <v/>
      </c>
      <c r="AN37" s="83"/>
      <c r="AO37" s="1242"/>
      <c r="AP37" s="1243"/>
      <c r="AQ37" s="1243"/>
      <c r="AR37" s="1243"/>
      <c r="AS37" s="1243"/>
      <c r="AT37" s="1244"/>
      <c r="AU37" s="83"/>
      <c r="AV37" s="83"/>
      <c r="AW37" s="83"/>
      <c r="AX37" s="83"/>
      <c r="AY37" s="83"/>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row>
    <row r="38" spans="1:80" ht="15" customHeight="1" x14ac:dyDescent="0.25">
      <c r="A38" s="83"/>
      <c r="B38" s="1123"/>
      <c r="C38" s="1123"/>
      <c r="D38" s="1124"/>
      <c r="E38" s="1222"/>
      <c r="F38" s="1221"/>
      <c r="G38" s="1221"/>
      <c r="H38" s="1221"/>
      <c r="I38" s="1221"/>
      <c r="J38" s="76" t="str">
        <f>IF(AND('Riesgos de gestión'!$Y$22="Baja",'Riesgos de gestión'!$AA$22="Leve"),CONCATENATE("R3C",'Riesgos de gestión'!$O$22),"")</f>
        <v/>
      </c>
      <c r="K38" s="77" t="str">
        <f>IF(AND('Riesgos de gestión'!$Y$23="Baja",'Riesgos de gestión'!$AA$23="Leve"),CONCATENATE("R3C",'Riesgos de gestión'!$O$23),"")</f>
        <v/>
      </c>
      <c r="L38" s="77" t="str">
        <f>IF(AND('Riesgos de gestión'!$Y$24="Baja",'Riesgos de gestión'!$AA$24="Leve"),CONCATENATE("R3C",'Riesgos de gestión'!$O$24),"")</f>
        <v/>
      </c>
      <c r="M38" s="77" t="str">
        <f>IF(AND('Riesgos de gestión'!$Y$25="Baja",'Riesgos de gestión'!$AA$25="Leve"),CONCATENATE("R3C",'Riesgos de gestión'!$O$25),"")</f>
        <v/>
      </c>
      <c r="N38" s="77" t="str">
        <f>IF(AND('Riesgos de gestión'!$Y$26="Baja",'Riesgos de gestión'!$AA$26="Leve"),CONCATENATE("R3C",'Riesgos de gestión'!$O$26),"")</f>
        <v/>
      </c>
      <c r="O38" s="78" t="str">
        <f>IF(AND('Riesgos de gestión'!$Y$27="Baja",'Riesgos de gestión'!$AA$27="Leve"),CONCATENATE("R3C",'Riesgos de gestión'!$O$27),"")</f>
        <v/>
      </c>
      <c r="P38" s="67" t="str">
        <f>IF(AND('Riesgos de gestión'!$Y$22="Baja",'Riesgos de gestión'!$AA$22="Menor"),CONCATENATE("R3C",'Riesgos de gestión'!$O$22),"")</f>
        <v/>
      </c>
      <c r="Q38" s="68" t="str">
        <f>IF(AND('Riesgos de gestión'!$Y$23="Baja",'Riesgos de gestión'!$AA$23="Menor"),CONCATENATE("R3C",'Riesgos de gestión'!$O$23),"")</f>
        <v/>
      </c>
      <c r="R38" s="68" t="str">
        <f>IF(AND('Riesgos de gestión'!$Y$24="Baja",'Riesgos de gestión'!$AA$24="Menor"),CONCATENATE("R3C",'Riesgos de gestión'!$O$24),"")</f>
        <v/>
      </c>
      <c r="S38" s="68" t="str">
        <f>IF(AND('Riesgos de gestión'!$Y$25="Baja",'Riesgos de gestión'!$AA$25="Menor"),CONCATENATE("R3C",'Riesgos de gestión'!$O$25),"")</f>
        <v/>
      </c>
      <c r="T38" s="68" t="str">
        <f>IF(AND('Riesgos de gestión'!$Y$26="Baja",'Riesgos de gestión'!$AA$26="Menor"),CONCATENATE("R3C",'Riesgos de gestión'!$O$26),"")</f>
        <v/>
      </c>
      <c r="U38" s="69" t="str">
        <f>IF(AND('Riesgos de gestión'!$Y$27="Baja",'Riesgos de gestión'!$AA$27="Menor"),CONCATENATE("R3C",'Riesgos de gestión'!$O$27),"")</f>
        <v/>
      </c>
      <c r="V38" s="67" t="str">
        <f>IF(AND('Riesgos de gestión'!$Y$22="Baja",'Riesgos de gestión'!$AA$22="Moderado"),CONCATENATE("R3C",'Riesgos de gestión'!$O$22),"")</f>
        <v/>
      </c>
      <c r="W38" s="68" t="str">
        <f>IF(AND('Riesgos de gestión'!$Y$23="Baja",'Riesgos de gestión'!$AA$23="Moderado"),CONCATENATE("R3C",'Riesgos de gestión'!$O$23),"")</f>
        <v/>
      </c>
      <c r="X38" s="68" t="str">
        <f>IF(AND('Riesgos de gestión'!$Y$24="Baja",'Riesgos de gestión'!$AA$24="Moderado"),CONCATENATE("R3C",'Riesgos de gestión'!$O$24),"")</f>
        <v/>
      </c>
      <c r="Y38" s="68" t="str">
        <f>IF(AND('Riesgos de gestión'!$Y$25="Baja",'Riesgos de gestión'!$AA$25="Moderado"),CONCATENATE("R3C",'Riesgos de gestión'!$O$25),"")</f>
        <v/>
      </c>
      <c r="Z38" s="68" t="str">
        <f>IF(AND('Riesgos de gestión'!$Y$26="Baja",'Riesgos de gestión'!$AA$26="Moderado"),CONCATENATE("R3C",'Riesgos de gestión'!$O$26),"")</f>
        <v/>
      </c>
      <c r="AA38" s="69" t="str">
        <f>IF(AND('Riesgos de gestión'!$Y$27="Baja",'Riesgos de gestión'!$AA$27="Moderado"),CONCATENATE("R3C",'Riesgos de gestión'!$O$27),"")</f>
        <v/>
      </c>
      <c r="AB38" s="52" t="str">
        <f>IF(AND('Riesgos de gestión'!$Y$22="Baja",'Riesgos de gestión'!$AA$22="Mayor"),CONCATENATE("R3C",'Riesgos de gestión'!$O$22),"")</f>
        <v/>
      </c>
      <c r="AC38" s="53" t="str">
        <f>IF(AND('Riesgos de gestión'!$Y$23="Baja",'Riesgos de gestión'!$AA$23="Mayor"),CONCATENATE("R3C",'Riesgos de gestión'!$O$23),"")</f>
        <v/>
      </c>
      <c r="AD38" s="53" t="str">
        <f>IF(AND('Riesgos de gestión'!$Y$24="Baja",'Riesgos de gestión'!$AA$24="Mayor"),CONCATENATE("R3C",'Riesgos de gestión'!$O$24),"")</f>
        <v/>
      </c>
      <c r="AE38" s="53" t="str">
        <f>IF(AND('Riesgos de gestión'!$Y$25="Baja",'Riesgos de gestión'!$AA$25="Mayor"),CONCATENATE("R3C",'Riesgos de gestión'!$O$25),"")</f>
        <v/>
      </c>
      <c r="AF38" s="53" t="str">
        <f>IF(AND('Riesgos de gestión'!$Y$26="Baja",'Riesgos de gestión'!$AA$26="Mayor"),CONCATENATE("R3C",'Riesgos de gestión'!$O$26),"")</f>
        <v/>
      </c>
      <c r="AG38" s="54" t="str">
        <f>IF(AND('Riesgos de gestión'!$Y$27="Baja",'Riesgos de gestión'!$AA$27="Mayor"),CONCATENATE("R3C",'Riesgos de gestión'!$O$27),"")</f>
        <v/>
      </c>
      <c r="AH38" s="55" t="str">
        <f>IF(AND('Riesgos de gestión'!$Y$22="Baja",'Riesgos de gestión'!$AA$22="Catastrófico"),CONCATENATE("R3C",'Riesgos de gestión'!$O$22),"")</f>
        <v/>
      </c>
      <c r="AI38" s="56" t="str">
        <f>IF(AND('Riesgos de gestión'!$Y$23="Baja",'Riesgos de gestión'!$AA$23="Catastrófico"),CONCATENATE("R3C",'Riesgos de gestión'!$O$23),"")</f>
        <v/>
      </c>
      <c r="AJ38" s="56" t="str">
        <f>IF(AND('Riesgos de gestión'!$Y$24="Baja",'Riesgos de gestión'!$AA$24="Catastrófico"),CONCATENATE("R3C",'Riesgos de gestión'!$O$24),"")</f>
        <v/>
      </c>
      <c r="AK38" s="56" t="str">
        <f>IF(AND('Riesgos de gestión'!$Y$25="Baja",'Riesgos de gestión'!$AA$25="Catastrófico"),CONCATENATE("R3C",'Riesgos de gestión'!$O$25),"")</f>
        <v/>
      </c>
      <c r="AL38" s="56" t="str">
        <f>IF(AND('Riesgos de gestión'!$Y$26="Baja",'Riesgos de gestión'!$AA$26="Catastrófico"),CONCATENATE("R3C",'Riesgos de gestión'!$O$26),"")</f>
        <v/>
      </c>
      <c r="AM38" s="57" t="str">
        <f>IF(AND('Riesgos de gestión'!$Y$27="Baja",'Riesgos de gestión'!$AA$27="Catastrófico"),CONCATENATE("R3C",'Riesgos de gestión'!$O$27),"")</f>
        <v/>
      </c>
      <c r="AN38" s="83"/>
      <c r="AO38" s="1242"/>
      <c r="AP38" s="1243"/>
      <c r="AQ38" s="1243"/>
      <c r="AR38" s="1243"/>
      <c r="AS38" s="1243"/>
      <c r="AT38" s="1244"/>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row>
    <row r="39" spans="1:80" ht="15" customHeight="1" x14ac:dyDescent="0.25">
      <c r="A39" s="83"/>
      <c r="B39" s="1123"/>
      <c r="C39" s="1123"/>
      <c r="D39" s="1124"/>
      <c r="E39" s="1222"/>
      <c r="F39" s="1221"/>
      <c r="G39" s="1221"/>
      <c r="H39" s="1221"/>
      <c r="I39" s="1221"/>
      <c r="J39" s="76" t="str">
        <f>IF(AND('Riesgos de gestión'!$Y$28="Baja",'Riesgos de gestión'!$AA$28="Leve"),CONCATENATE("R4C",'Riesgos de gestión'!$O$28),"")</f>
        <v/>
      </c>
      <c r="K39" s="77" t="str">
        <f>IF(AND('Riesgos de gestión'!$Y$29="Baja",'Riesgos de gestión'!$AA$29="Leve"),CONCATENATE("R4C",'Riesgos de gestión'!$O$29),"")</f>
        <v/>
      </c>
      <c r="L39" s="77" t="str">
        <f>IF(AND('Riesgos de gestión'!$Y$30="Baja",'Riesgos de gestión'!$AA$30="Leve"),CONCATENATE("R4C",'Riesgos de gestión'!$O$30),"")</f>
        <v/>
      </c>
      <c r="M39" s="77" t="str">
        <f>IF(AND('Riesgos de gestión'!$Y$31="Baja",'Riesgos de gestión'!$AA$31="Leve"),CONCATENATE("R4C",'Riesgos de gestión'!$O$31),"")</f>
        <v/>
      </c>
      <c r="N39" s="77" t="str">
        <f>IF(AND('Riesgos de gestión'!$Y$32="Baja",'Riesgos de gestión'!$AA$32="Leve"),CONCATENATE("R4C",'Riesgos de gestión'!$O$32),"")</f>
        <v/>
      </c>
      <c r="O39" s="78" t="str">
        <f>IF(AND('Riesgos de gestión'!$Y$33="Baja",'Riesgos de gestión'!$AA$33="Leve"),CONCATENATE("R4C",'Riesgos de gestión'!$O$33),"")</f>
        <v/>
      </c>
      <c r="P39" s="67" t="str">
        <f>IF(AND('Riesgos de gestión'!$Y$28="Baja",'Riesgos de gestión'!$AA$28="Menor"),CONCATENATE("R4C",'Riesgos de gestión'!$O$28),"")</f>
        <v/>
      </c>
      <c r="Q39" s="68" t="str">
        <f>IF(AND('Riesgos de gestión'!$Y$29="Baja",'Riesgos de gestión'!$AA$29="Menor"),CONCATENATE("R4C",'Riesgos de gestión'!$O$29),"")</f>
        <v/>
      </c>
      <c r="R39" s="68" t="str">
        <f>IF(AND('Riesgos de gestión'!$Y$30="Baja",'Riesgos de gestión'!$AA$30="Menor"),CONCATENATE("R4C",'Riesgos de gestión'!$O$30),"")</f>
        <v/>
      </c>
      <c r="S39" s="68" t="str">
        <f>IF(AND('Riesgos de gestión'!$Y$31="Baja",'Riesgos de gestión'!$AA$31="Menor"),CONCATENATE("R4C",'Riesgos de gestión'!$O$31),"")</f>
        <v/>
      </c>
      <c r="T39" s="68" t="str">
        <f>IF(AND('Riesgos de gestión'!$Y$32="Baja",'Riesgos de gestión'!$AA$32="Menor"),CONCATENATE("R4C",'Riesgos de gestión'!$O$32),"")</f>
        <v/>
      </c>
      <c r="U39" s="69" t="str">
        <f>IF(AND('Riesgos de gestión'!$Y$33="Baja",'Riesgos de gestión'!$AA$33="Menor"),CONCATENATE("R4C",'Riesgos de gestión'!$O$33),"")</f>
        <v/>
      </c>
      <c r="V39" s="67" t="str">
        <f>IF(AND('Riesgos de gestión'!$Y$28="Baja",'Riesgos de gestión'!$AA$28="Moderado"),CONCATENATE("R4C",'Riesgos de gestión'!$O$28),"")</f>
        <v/>
      </c>
      <c r="W39" s="68" t="str">
        <f>IF(AND('Riesgos de gestión'!$Y$29="Baja",'Riesgos de gestión'!$AA$29="Moderado"),CONCATENATE("R4C",'Riesgos de gestión'!$O$29),"")</f>
        <v/>
      </c>
      <c r="X39" s="68" t="str">
        <f>IF(AND('Riesgos de gestión'!$Y$30="Baja",'Riesgos de gestión'!$AA$30="Moderado"),CONCATENATE("R4C",'Riesgos de gestión'!$O$30),"")</f>
        <v/>
      </c>
      <c r="Y39" s="68" t="str">
        <f>IF(AND('Riesgos de gestión'!$Y$31="Baja",'Riesgos de gestión'!$AA$31="Moderado"),CONCATENATE("R4C",'Riesgos de gestión'!$O$31),"")</f>
        <v/>
      </c>
      <c r="Z39" s="68" t="str">
        <f>IF(AND('Riesgos de gestión'!$Y$32="Baja",'Riesgos de gestión'!$AA$32="Moderado"),CONCATENATE("R4C",'Riesgos de gestión'!$O$32),"")</f>
        <v/>
      </c>
      <c r="AA39" s="69" t="str">
        <f>IF(AND('Riesgos de gestión'!$Y$33="Baja",'Riesgos de gestión'!$AA$33="Moderado"),CONCATENATE("R4C",'Riesgos de gestión'!$O$33),"")</f>
        <v/>
      </c>
      <c r="AB39" s="52" t="str">
        <f>IF(AND('Riesgos de gestión'!$Y$28="Baja",'Riesgos de gestión'!$AA$28="Mayor"),CONCATENATE("R4C",'Riesgos de gestión'!$O$28),"")</f>
        <v/>
      </c>
      <c r="AC39" s="53" t="str">
        <f>IF(AND('Riesgos de gestión'!$Y$29="Baja",'Riesgos de gestión'!$AA$29="Mayor"),CONCATENATE("R4C",'Riesgos de gestión'!$O$29),"")</f>
        <v/>
      </c>
      <c r="AD39" s="53" t="str">
        <f>IF(AND('Riesgos de gestión'!$Y$30="Baja",'Riesgos de gestión'!$AA$30="Mayor"),CONCATENATE("R4C",'Riesgos de gestión'!$O$30),"")</f>
        <v/>
      </c>
      <c r="AE39" s="53" t="str">
        <f>IF(AND('Riesgos de gestión'!$Y$31="Baja",'Riesgos de gestión'!$AA$31="Mayor"),CONCATENATE("R4C",'Riesgos de gestión'!$O$31),"")</f>
        <v/>
      </c>
      <c r="AF39" s="53" t="str">
        <f>IF(AND('Riesgos de gestión'!$Y$32="Baja",'Riesgos de gestión'!$AA$32="Mayor"),CONCATENATE("R4C",'Riesgos de gestión'!$O$32),"")</f>
        <v/>
      </c>
      <c r="AG39" s="54" t="str">
        <f>IF(AND('Riesgos de gestión'!$Y$33="Baja",'Riesgos de gestión'!$AA$33="Mayor"),CONCATENATE("R4C",'Riesgos de gestión'!$O$33),"")</f>
        <v/>
      </c>
      <c r="AH39" s="55" t="str">
        <f>IF(AND('Riesgos de gestión'!$Y$28="Baja",'Riesgos de gestión'!$AA$28="Catastrófico"),CONCATENATE("R4C",'Riesgos de gestión'!$O$28),"")</f>
        <v/>
      </c>
      <c r="AI39" s="56" t="str">
        <f>IF(AND('Riesgos de gestión'!$Y$29="Baja",'Riesgos de gestión'!$AA$29="Catastrófico"),CONCATENATE("R4C",'Riesgos de gestión'!$O$29),"")</f>
        <v/>
      </c>
      <c r="AJ39" s="56" t="str">
        <f>IF(AND('Riesgos de gestión'!$Y$30="Baja",'Riesgos de gestión'!$AA$30="Catastrófico"),CONCATENATE("R4C",'Riesgos de gestión'!$O$30),"")</f>
        <v/>
      </c>
      <c r="AK39" s="56" t="str">
        <f>IF(AND('Riesgos de gestión'!$Y$31="Baja",'Riesgos de gestión'!$AA$31="Catastrófico"),CONCATENATE("R4C",'Riesgos de gestión'!$O$31),"")</f>
        <v/>
      </c>
      <c r="AL39" s="56" t="str">
        <f>IF(AND('Riesgos de gestión'!$Y$32="Baja",'Riesgos de gestión'!$AA$32="Catastrófico"),CONCATENATE("R4C",'Riesgos de gestión'!$O$32),"")</f>
        <v/>
      </c>
      <c r="AM39" s="57" t="str">
        <f>IF(AND('Riesgos de gestión'!$Y$33="Baja",'Riesgos de gestión'!$AA$33="Catastrófico"),CONCATENATE("R4C",'Riesgos de gestión'!$O$33),"")</f>
        <v/>
      </c>
      <c r="AN39" s="83"/>
      <c r="AO39" s="1242"/>
      <c r="AP39" s="1243"/>
      <c r="AQ39" s="1243"/>
      <c r="AR39" s="1243"/>
      <c r="AS39" s="1243"/>
      <c r="AT39" s="1244"/>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row>
    <row r="40" spans="1:80" ht="15" customHeight="1" x14ac:dyDescent="0.25">
      <c r="A40" s="83"/>
      <c r="B40" s="1123"/>
      <c r="C40" s="1123"/>
      <c r="D40" s="1124"/>
      <c r="E40" s="1222"/>
      <c r="F40" s="1221"/>
      <c r="G40" s="1221"/>
      <c r="H40" s="1221"/>
      <c r="I40" s="1221"/>
      <c r="J40" s="76" t="str">
        <f>IF(AND('Riesgos de gestión'!$Y$34="Baja",'Riesgos de gestión'!$AA$34="Leve"),CONCATENATE("R5C",'Riesgos de gestión'!$O$34),"")</f>
        <v/>
      </c>
      <c r="K40" s="77" t="str">
        <f>IF(AND('Riesgos de gestión'!$Y$35="Baja",'Riesgos de gestión'!$AA$35="Leve"),CONCATENATE("R5C",'Riesgos de gestión'!$O$35),"")</f>
        <v/>
      </c>
      <c r="L40" s="77" t="str">
        <f>IF(AND('Riesgos de gestión'!$Y$36="Baja",'Riesgos de gestión'!$AA$36="Leve"),CONCATENATE("R5C",'Riesgos de gestión'!$O$36),"")</f>
        <v/>
      </c>
      <c r="M40" s="77" t="str">
        <f>IF(AND('Riesgos de gestión'!$Y$37="Baja",'Riesgos de gestión'!$AA$37="Leve"),CONCATENATE("R5C",'Riesgos de gestión'!$O$37),"")</f>
        <v/>
      </c>
      <c r="N40" s="77" t="str">
        <f>IF(AND('Riesgos de gestión'!$Y$38="Baja",'Riesgos de gestión'!$AA$38="Leve"),CONCATENATE("R5C",'Riesgos de gestión'!$O$38),"")</f>
        <v/>
      </c>
      <c r="O40" s="78" t="str">
        <f>IF(AND('Riesgos de gestión'!$Y$39="Baja",'Riesgos de gestión'!$AA$39="Leve"),CONCATENATE("R5C",'Riesgos de gestión'!$O$39),"")</f>
        <v/>
      </c>
      <c r="P40" s="67" t="str">
        <f>IF(AND('Riesgos de gestión'!$Y$34="Baja",'Riesgos de gestión'!$AA$34="Menor"),CONCATENATE("R5C",'Riesgos de gestión'!$O$34),"")</f>
        <v/>
      </c>
      <c r="Q40" s="68" t="str">
        <f>IF(AND('Riesgos de gestión'!$Y$35="Baja",'Riesgos de gestión'!$AA$35="Menor"),CONCATENATE("R5C",'Riesgos de gestión'!$O$35),"")</f>
        <v/>
      </c>
      <c r="R40" s="68" t="str">
        <f>IF(AND('Riesgos de gestión'!$Y$36="Baja",'Riesgos de gestión'!$AA$36="Menor"),CONCATENATE("R5C",'Riesgos de gestión'!$O$36),"")</f>
        <v/>
      </c>
      <c r="S40" s="68" t="str">
        <f>IF(AND('Riesgos de gestión'!$Y$37="Baja",'Riesgos de gestión'!$AA$37="Menor"),CONCATENATE("R5C",'Riesgos de gestión'!$O$37),"")</f>
        <v/>
      </c>
      <c r="T40" s="68" t="str">
        <f>IF(AND('Riesgos de gestión'!$Y$38="Baja",'Riesgos de gestión'!$AA$38="Menor"),CONCATENATE("R5C",'Riesgos de gestión'!$O$38),"")</f>
        <v/>
      </c>
      <c r="U40" s="69" t="str">
        <f>IF(AND('Riesgos de gestión'!$Y$39="Baja",'Riesgos de gestión'!$AA$39="Menor"),CONCATENATE("R5C",'Riesgos de gestión'!$O$39),"")</f>
        <v/>
      </c>
      <c r="V40" s="67" t="str">
        <f>IF(AND('Riesgos de gestión'!$Y$34="Baja",'Riesgos de gestión'!$AA$34="Moderado"),CONCATENATE("R5C",'Riesgos de gestión'!$O$34),"")</f>
        <v/>
      </c>
      <c r="W40" s="68" t="str">
        <f>IF(AND('Riesgos de gestión'!$Y$35="Baja",'Riesgos de gestión'!$AA$35="Moderado"),CONCATENATE("R5C",'Riesgos de gestión'!$O$35),"")</f>
        <v/>
      </c>
      <c r="X40" s="68" t="str">
        <f>IF(AND('Riesgos de gestión'!$Y$36="Baja",'Riesgos de gestión'!$AA$36="Moderado"),CONCATENATE("R5C",'Riesgos de gestión'!$O$36),"")</f>
        <v/>
      </c>
      <c r="Y40" s="68" t="str">
        <f>IF(AND('Riesgos de gestión'!$Y$37="Baja",'Riesgos de gestión'!$AA$37="Moderado"),CONCATENATE("R5C",'Riesgos de gestión'!$O$37),"")</f>
        <v/>
      </c>
      <c r="Z40" s="68" t="str">
        <f>IF(AND('Riesgos de gestión'!$Y$38="Baja",'Riesgos de gestión'!$AA$38="Moderado"),CONCATENATE("R5C",'Riesgos de gestión'!$O$38),"")</f>
        <v/>
      </c>
      <c r="AA40" s="69" t="str">
        <f>IF(AND('Riesgos de gestión'!$Y$39="Baja",'Riesgos de gestión'!$AA$39="Moderado"),CONCATENATE("R5C",'Riesgos de gestión'!$O$39),"")</f>
        <v/>
      </c>
      <c r="AB40" s="52" t="str">
        <f>IF(AND('Riesgos de gestión'!$Y$34="Baja",'Riesgos de gestión'!$AA$34="Mayor"),CONCATENATE("R5C",'Riesgos de gestión'!$O$34),"")</f>
        <v/>
      </c>
      <c r="AC40" s="53" t="str">
        <f>IF(AND('Riesgos de gestión'!$Y$35="Baja",'Riesgos de gestión'!$AA$35="Mayor"),CONCATENATE("R5C",'Riesgos de gestión'!$O$35),"")</f>
        <v/>
      </c>
      <c r="AD40" s="53" t="str">
        <f>IF(AND('Riesgos de gestión'!$Y$36="Baja",'Riesgos de gestión'!$AA$36="Mayor"),CONCATENATE("R5C",'Riesgos de gestión'!$O$36),"")</f>
        <v/>
      </c>
      <c r="AE40" s="53" t="str">
        <f>IF(AND('Riesgos de gestión'!$Y$37="Baja",'Riesgos de gestión'!$AA$37="Mayor"),CONCATENATE("R5C",'Riesgos de gestión'!$O$37),"")</f>
        <v/>
      </c>
      <c r="AF40" s="53" t="str">
        <f>IF(AND('Riesgos de gestión'!$Y$38="Baja",'Riesgos de gestión'!$AA$38="Mayor"),CONCATENATE("R5C",'Riesgos de gestión'!$O$38),"")</f>
        <v/>
      </c>
      <c r="AG40" s="54" t="str">
        <f>IF(AND('Riesgos de gestión'!$Y$39="Baja",'Riesgos de gestión'!$AA$39="Mayor"),CONCATENATE("R5C",'Riesgos de gestión'!$O$39),"")</f>
        <v/>
      </c>
      <c r="AH40" s="55" t="str">
        <f>IF(AND('Riesgos de gestión'!$Y$34="Baja",'Riesgos de gestión'!$AA$34="Catastrófico"),CONCATENATE("R5C",'Riesgos de gestión'!$O$34),"")</f>
        <v/>
      </c>
      <c r="AI40" s="56" t="str">
        <f>IF(AND('Riesgos de gestión'!$Y$35="Baja",'Riesgos de gestión'!$AA$35="Catastrófico"),CONCATENATE("R5C",'Riesgos de gestión'!$O$35),"")</f>
        <v/>
      </c>
      <c r="AJ40" s="56" t="str">
        <f>IF(AND('Riesgos de gestión'!$Y$36="Baja",'Riesgos de gestión'!$AA$36="Catastrófico"),CONCATENATE("R5C",'Riesgos de gestión'!$O$36),"")</f>
        <v/>
      </c>
      <c r="AK40" s="56" t="str">
        <f>IF(AND('Riesgos de gestión'!$Y$37="Baja",'Riesgos de gestión'!$AA$37="Catastrófico"),CONCATENATE("R5C",'Riesgos de gestión'!$O$37),"")</f>
        <v/>
      </c>
      <c r="AL40" s="56" t="str">
        <f>IF(AND('Riesgos de gestión'!$Y$38="Baja",'Riesgos de gestión'!$AA$38="Catastrófico"),CONCATENATE("R5C",'Riesgos de gestión'!$O$38),"")</f>
        <v/>
      </c>
      <c r="AM40" s="57" t="str">
        <f>IF(AND('Riesgos de gestión'!$Y$39="Baja",'Riesgos de gestión'!$AA$39="Catastrófico"),CONCATENATE("R5C",'Riesgos de gestión'!$O$39),"")</f>
        <v/>
      </c>
      <c r="AN40" s="83"/>
      <c r="AO40" s="1242"/>
      <c r="AP40" s="1243"/>
      <c r="AQ40" s="1243"/>
      <c r="AR40" s="1243"/>
      <c r="AS40" s="1243"/>
      <c r="AT40" s="1244"/>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row>
    <row r="41" spans="1:80" ht="15" customHeight="1" x14ac:dyDescent="0.25">
      <c r="A41" s="83"/>
      <c r="B41" s="1123"/>
      <c r="C41" s="1123"/>
      <c r="D41" s="1124"/>
      <c r="E41" s="1222"/>
      <c r="F41" s="1221"/>
      <c r="G41" s="1221"/>
      <c r="H41" s="1221"/>
      <c r="I41" s="1221"/>
      <c r="J41" s="76" t="str">
        <f>IF(AND('Riesgos de gestión'!$Y$40="Baja",'Riesgos de gestión'!$AA$40="Leve"),CONCATENATE("R6C",'Riesgos de gestión'!$O$40),"")</f>
        <v/>
      </c>
      <c r="K41" s="77" t="str">
        <f>IF(AND('Riesgos de gestión'!$Y$41="Baja",'Riesgos de gestión'!$AA$41="Leve"),CONCATENATE("R6C",'Riesgos de gestión'!$O$41),"")</f>
        <v/>
      </c>
      <c r="L41" s="77" t="str">
        <f>IF(AND('Riesgos de gestión'!$Y$42="Baja",'Riesgos de gestión'!$AA$42="Leve"),CONCATENATE("R6C",'Riesgos de gestión'!$O$42),"")</f>
        <v/>
      </c>
      <c r="M41" s="77" t="str">
        <f>IF(AND('Riesgos de gestión'!$Y$43="Baja",'Riesgos de gestión'!$AA$43="Leve"),CONCATENATE("R6C",'Riesgos de gestión'!$O$43),"")</f>
        <v/>
      </c>
      <c r="N41" s="77" t="str">
        <f>IF(AND('Riesgos de gestión'!$Y$44="Baja",'Riesgos de gestión'!$AA$44="Leve"),CONCATENATE("R6C",'Riesgos de gestión'!$O$44),"")</f>
        <v/>
      </c>
      <c r="O41" s="78" t="str">
        <f>IF(AND('Riesgos de gestión'!$Y$45="Baja",'Riesgos de gestión'!$AA$45="Leve"),CONCATENATE("R6C",'Riesgos de gestión'!$O$45),"")</f>
        <v/>
      </c>
      <c r="P41" s="67" t="str">
        <f>IF(AND('Riesgos de gestión'!$Y$40="Baja",'Riesgos de gestión'!$AA$40="Menor"),CONCATENATE("R6C",'Riesgos de gestión'!$O$40),"")</f>
        <v/>
      </c>
      <c r="Q41" s="68" t="str">
        <f>IF(AND('Riesgos de gestión'!$Y$41="Baja",'Riesgos de gestión'!$AA$41="Menor"),CONCATENATE("R6C",'Riesgos de gestión'!$O$41),"")</f>
        <v/>
      </c>
      <c r="R41" s="68" t="str">
        <f>IF(AND('Riesgos de gestión'!$Y$42="Baja",'Riesgos de gestión'!$AA$42="Menor"),CONCATENATE("R6C",'Riesgos de gestión'!$O$42),"")</f>
        <v/>
      </c>
      <c r="S41" s="68" t="str">
        <f>IF(AND('Riesgos de gestión'!$Y$43="Baja",'Riesgos de gestión'!$AA$43="Menor"),CONCATENATE("R6C",'Riesgos de gestión'!$O$43),"")</f>
        <v/>
      </c>
      <c r="T41" s="68" t="str">
        <f>IF(AND('Riesgos de gestión'!$Y$44="Baja",'Riesgos de gestión'!$AA$44="Menor"),CONCATENATE("R6C",'Riesgos de gestión'!$O$44),"")</f>
        <v/>
      </c>
      <c r="U41" s="69" t="str">
        <f>IF(AND('Riesgos de gestión'!$Y$45="Baja",'Riesgos de gestión'!$AA$45="Menor"),CONCATENATE("R6C",'Riesgos de gestión'!$O$45),"")</f>
        <v/>
      </c>
      <c r="V41" s="67" t="str">
        <f>IF(AND('Riesgos de gestión'!$Y$40="Baja",'Riesgos de gestión'!$AA$40="Moderado"),CONCATENATE("R6C",'Riesgos de gestión'!$O$40),"")</f>
        <v/>
      </c>
      <c r="W41" s="68" t="str">
        <f>IF(AND('Riesgos de gestión'!$Y$41="Baja",'Riesgos de gestión'!$AA$41="Moderado"),CONCATENATE("R6C",'Riesgos de gestión'!$O$41),"")</f>
        <v/>
      </c>
      <c r="X41" s="68" t="str">
        <f>IF(AND('Riesgos de gestión'!$Y$42="Baja",'Riesgos de gestión'!$AA$42="Moderado"),CONCATENATE("R6C",'Riesgos de gestión'!$O$42),"")</f>
        <v/>
      </c>
      <c r="Y41" s="68" t="str">
        <f>IF(AND('Riesgos de gestión'!$Y$43="Baja",'Riesgos de gestión'!$AA$43="Moderado"),CONCATENATE("R6C",'Riesgos de gestión'!$O$43),"")</f>
        <v/>
      </c>
      <c r="Z41" s="68" t="str">
        <f>IF(AND('Riesgos de gestión'!$Y$44="Baja",'Riesgos de gestión'!$AA$44="Moderado"),CONCATENATE("R6C",'Riesgos de gestión'!$O$44),"")</f>
        <v/>
      </c>
      <c r="AA41" s="69" t="str">
        <f>IF(AND('Riesgos de gestión'!$Y$45="Baja",'Riesgos de gestión'!$AA$45="Moderado"),CONCATENATE("R6C",'Riesgos de gestión'!$O$45),"")</f>
        <v/>
      </c>
      <c r="AB41" s="52" t="str">
        <f>IF(AND('Riesgos de gestión'!$Y$40="Baja",'Riesgos de gestión'!$AA$40="Mayor"),CONCATENATE("R6C",'Riesgos de gestión'!$O$40),"")</f>
        <v/>
      </c>
      <c r="AC41" s="53" t="str">
        <f>IF(AND('Riesgos de gestión'!$Y$41="Baja",'Riesgos de gestión'!$AA$41="Mayor"),CONCATENATE("R6C",'Riesgos de gestión'!$O$41),"")</f>
        <v/>
      </c>
      <c r="AD41" s="53" t="str">
        <f>IF(AND('Riesgos de gestión'!$Y$42="Baja",'Riesgos de gestión'!$AA$42="Mayor"),CONCATENATE("R6C",'Riesgos de gestión'!$O$42),"")</f>
        <v/>
      </c>
      <c r="AE41" s="53" t="str">
        <f>IF(AND('Riesgos de gestión'!$Y$43="Baja",'Riesgos de gestión'!$AA$43="Mayor"),CONCATENATE("R6C",'Riesgos de gestión'!$O$43),"")</f>
        <v/>
      </c>
      <c r="AF41" s="53" t="str">
        <f>IF(AND('Riesgos de gestión'!$Y$44="Baja",'Riesgos de gestión'!$AA$44="Mayor"),CONCATENATE("R6C",'Riesgos de gestión'!$O$44),"")</f>
        <v/>
      </c>
      <c r="AG41" s="54" t="str">
        <f>IF(AND('Riesgos de gestión'!$Y$45="Baja",'Riesgos de gestión'!$AA$45="Mayor"),CONCATENATE("R6C",'Riesgos de gestión'!$O$45),"")</f>
        <v/>
      </c>
      <c r="AH41" s="55" t="str">
        <f>IF(AND('Riesgos de gestión'!$Y$40="Baja",'Riesgos de gestión'!$AA$40="Catastrófico"),CONCATENATE("R6C",'Riesgos de gestión'!$O$40),"")</f>
        <v/>
      </c>
      <c r="AI41" s="56" t="str">
        <f>IF(AND('Riesgos de gestión'!$Y$41="Baja",'Riesgos de gestión'!$AA$41="Catastrófico"),CONCATENATE("R6C",'Riesgos de gestión'!$O$41),"")</f>
        <v/>
      </c>
      <c r="AJ41" s="56" t="str">
        <f>IF(AND('Riesgos de gestión'!$Y$42="Baja",'Riesgos de gestión'!$AA$42="Catastrófico"),CONCATENATE("R6C",'Riesgos de gestión'!$O$42),"")</f>
        <v/>
      </c>
      <c r="AK41" s="56" t="str">
        <f>IF(AND('Riesgos de gestión'!$Y$43="Baja",'Riesgos de gestión'!$AA$43="Catastrófico"),CONCATENATE("R6C",'Riesgos de gestión'!$O$43),"")</f>
        <v/>
      </c>
      <c r="AL41" s="56" t="str">
        <f>IF(AND('Riesgos de gestión'!$Y$44="Baja",'Riesgos de gestión'!$AA$44="Catastrófico"),CONCATENATE("R6C",'Riesgos de gestión'!$O$44),"")</f>
        <v/>
      </c>
      <c r="AM41" s="57" t="str">
        <f>IF(AND('Riesgos de gestión'!$Y$45="Baja",'Riesgos de gestión'!$AA$45="Catastrófico"),CONCATENATE("R6C",'Riesgos de gestión'!$O$45),"")</f>
        <v/>
      </c>
      <c r="AN41" s="83"/>
      <c r="AO41" s="1242"/>
      <c r="AP41" s="1243"/>
      <c r="AQ41" s="1243"/>
      <c r="AR41" s="1243"/>
      <c r="AS41" s="1243"/>
      <c r="AT41" s="1244"/>
      <c r="AU41" s="83"/>
      <c r="AV41" s="83"/>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row>
    <row r="42" spans="1:80" ht="15" customHeight="1" x14ac:dyDescent="0.25">
      <c r="A42" s="83"/>
      <c r="B42" s="1123"/>
      <c r="C42" s="1123"/>
      <c r="D42" s="1124"/>
      <c r="E42" s="1222"/>
      <c r="F42" s="1221"/>
      <c r="G42" s="1221"/>
      <c r="H42" s="1221"/>
      <c r="I42" s="1221"/>
      <c r="J42" s="76" t="str">
        <f>IF(AND('Riesgos de gestión'!$Y$46="Baja",'Riesgos de gestión'!$AA$46="Leve"),CONCATENATE("R7C",'Riesgos de gestión'!$O$46),"")</f>
        <v/>
      </c>
      <c r="K42" s="77" t="str">
        <f>IF(AND('Riesgos de gestión'!$Y$47="Baja",'Riesgos de gestión'!$AA$47="Leve"),CONCATENATE("R7C",'Riesgos de gestión'!$O$47),"")</f>
        <v/>
      </c>
      <c r="L42" s="77" t="str">
        <f>IF(AND('Riesgos de gestión'!$Y$48="Baja",'Riesgos de gestión'!$AA$48="Leve"),CONCATENATE("R7C",'Riesgos de gestión'!$O$48),"")</f>
        <v/>
      </c>
      <c r="M42" s="77" t="str">
        <f>IF(AND('Riesgos de gestión'!$Y$49="Baja",'Riesgos de gestión'!$AA$49="Leve"),CONCATENATE("R7C",'Riesgos de gestión'!$O$49),"")</f>
        <v/>
      </c>
      <c r="N42" s="77" t="str">
        <f>IF(AND('Riesgos de gestión'!$Y$50="Baja",'Riesgos de gestión'!$AA$50="Leve"),CONCATENATE("R7C",'Riesgos de gestión'!$O$50),"")</f>
        <v/>
      </c>
      <c r="O42" s="78" t="str">
        <f>IF(AND('Riesgos de gestión'!$Y$51="Baja",'Riesgos de gestión'!$AA$51="Leve"),CONCATENATE("R7C",'Riesgos de gestión'!$O$51),"")</f>
        <v/>
      </c>
      <c r="P42" s="67" t="str">
        <f>IF(AND('Riesgos de gestión'!$Y$46="Baja",'Riesgos de gestión'!$AA$46="Menor"),CONCATENATE("R7C",'Riesgos de gestión'!$O$46),"")</f>
        <v/>
      </c>
      <c r="Q42" s="68" t="str">
        <f>IF(AND('Riesgos de gestión'!$Y$47="Baja",'Riesgos de gestión'!$AA$47="Menor"),CONCATENATE("R7C",'Riesgos de gestión'!$O$47),"")</f>
        <v/>
      </c>
      <c r="R42" s="68" t="str">
        <f>IF(AND('Riesgos de gestión'!$Y$48="Baja",'Riesgos de gestión'!$AA$48="Menor"),CONCATENATE("R7C",'Riesgos de gestión'!$O$48),"")</f>
        <v/>
      </c>
      <c r="S42" s="68" t="str">
        <f>IF(AND('Riesgos de gestión'!$Y$49="Baja",'Riesgos de gestión'!$AA$49="Menor"),CONCATENATE("R7C",'Riesgos de gestión'!$O$49),"")</f>
        <v/>
      </c>
      <c r="T42" s="68" t="str">
        <f>IF(AND('Riesgos de gestión'!$Y$50="Baja",'Riesgos de gestión'!$AA$50="Menor"),CONCATENATE("R7C",'Riesgos de gestión'!$O$50),"")</f>
        <v/>
      </c>
      <c r="U42" s="69" t="str">
        <f>IF(AND('Riesgos de gestión'!$Y$51="Baja",'Riesgos de gestión'!$AA$51="Menor"),CONCATENATE("R7C",'Riesgos de gestión'!$O$51),"")</f>
        <v/>
      </c>
      <c r="V42" s="67" t="str">
        <f>IF(AND('Riesgos de gestión'!$Y$46="Baja",'Riesgos de gestión'!$AA$46="Moderado"),CONCATENATE("R7C",'Riesgos de gestión'!$O$46),"")</f>
        <v/>
      </c>
      <c r="W42" s="68" t="str">
        <f>IF(AND('Riesgos de gestión'!$Y$47="Baja",'Riesgos de gestión'!$AA$47="Moderado"),CONCATENATE("R7C",'Riesgos de gestión'!$O$47),"")</f>
        <v/>
      </c>
      <c r="X42" s="68" t="str">
        <f>IF(AND('Riesgos de gestión'!$Y$48="Baja",'Riesgos de gestión'!$AA$48="Moderado"),CONCATENATE("R7C",'Riesgos de gestión'!$O$48),"")</f>
        <v/>
      </c>
      <c r="Y42" s="68" t="str">
        <f>IF(AND('Riesgos de gestión'!$Y$49="Baja",'Riesgos de gestión'!$AA$49="Moderado"),CONCATENATE("R7C",'Riesgos de gestión'!$O$49),"")</f>
        <v/>
      </c>
      <c r="Z42" s="68" t="str">
        <f>IF(AND('Riesgos de gestión'!$Y$50="Baja",'Riesgos de gestión'!$AA$50="Moderado"),CONCATENATE("R7C",'Riesgos de gestión'!$O$50),"")</f>
        <v/>
      </c>
      <c r="AA42" s="69" t="str">
        <f>IF(AND('Riesgos de gestión'!$Y$51="Baja",'Riesgos de gestión'!$AA$51="Moderado"),CONCATENATE("R7C",'Riesgos de gestión'!$O$51),"")</f>
        <v/>
      </c>
      <c r="AB42" s="52" t="str">
        <f>IF(AND('Riesgos de gestión'!$Y$46="Baja",'Riesgos de gestión'!$AA$46="Mayor"),CONCATENATE("R7C",'Riesgos de gestión'!$O$46),"")</f>
        <v/>
      </c>
      <c r="AC42" s="53" t="str">
        <f>IF(AND('Riesgos de gestión'!$Y$47="Baja",'Riesgos de gestión'!$AA$47="Mayor"),CONCATENATE("R7C",'Riesgos de gestión'!$O$47),"")</f>
        <v/>
      </c>
      <c r="AD42" s="53" t="str">
        <f>IF(AND('Riesgos de gestión'!$Y$48="Baja",'Riesgos de gestión'!$AA$48="Mayor"),CONCATENATE("R7C",'Riesgos de gestión'!$O$48),"")</f>
        <v/>
      </c>
      <c r="AE42" s="53" t="str">
        <f>IF(AND('Riesgos de gestión'!$Y$49="Baja",'Riesgos de gestión'!$AA$49="Mayor"),CONCATENATE("R7C",'Riesgos de gestión'!$O$49),"")</f>
        <v/>
      </c>
      <c r="AF42" s="53" t="str">
        <f>IF(AND('Riesgos de gestión'!$Y$50="Baja",'Riesgos de gestión'!$AA$50="Mayor"),CONCATENATE("R7C",'Riesgos de gestión'!$O$50),"")</f>
        <v/>
      </c>
      <c r="AG42" s="54" t="str">
        <f>IF(AND('Riesgos de gestión'!$Y$51="Baja",'Riesgos de gestión'!$AA$51="Mayor"),CONCATENATE("R7C",'Riesgos de gestión'!$O$51),"")</f>
        <v/>
      </c>
      <c r="AH42" s="55" t="str">
        <f>IF(AND('Riesgos de gestión'!$Y$46="Baja",'Riesgos de gestión'!$AA$46="Catastrófico"),CONCATENATE("R7C",'Riesgos de gestión'!$O$46),"")</f>
        <v/>
      </c>
      <c r="AI42" s="56" t="str">
        <f>IF(AND('Riesgos de gestión'!$Y$47="Baja",'Riesgos de gestión'!$AA$47="Catastrófico"),CONCATENATE("R7C",'Riesgos de gestión'!$O$47),"")</f>
        <v/>
      </c>
      <c r="AJ42" s="56" t="str">
        <f>IF(AND('Riesgos de gestión'!$Y$48="Baja",'Riesgos de gestión'!$AA$48="Catastrófico"),CONCATENATE("R7C",'Riesgos de gestión'!$O$48),"")</f>
        <v/>
      </c>
      <c r="AK42" s="56" t="str">
        <f>IF(AND('Riesgos de gestión'!$Y$49="Baja",'Riesgos de gestión'!$AA$49="Catastrófico"),CONCATENATE("R7C",'Riesgos de gestión'!$O$49),"")</f>
        <v/>
      </c>
      <c r="AL42" s="56" t="str">
        <f>IF(AND('Riesgos de gestión'!$Y$50="Baja",'Riesgos de gestión'!$AA$50="Catastrófico"),CONCATENATE("R7C",'Riesgos de gestión'!$O$50),"")</f>
        <v/>
      </c>
      <c r="AM42" s="57" t="str">
        <f>IF(AND('Riesgos de gestión'!$Y$51="Baja",'Riesgos de gestión'!$AA$51="Catastrófico"),CONCATENATE("R7C",'Riesgos de gestión'!$O$51),"")</f>
        <v/>
      </c>
      <c r="AN42" s="83"/>
      <c r="AO42" s="1242"/>
      <c r="AP42" s="1243"/>
      <c r="AQ42" s="1243"/>
      <c r="AR42" s="1243"/>
      <c r="AS42" s="1243"/>
      <c r="AT42" s="1244"/>
      <c r="AU42" s="83"/>
      <c r="AV42" s="83"/>
      <c r="AW42" s="83"/>
      <c r="AX42" s="83"/>
      <c r="AY42" s="83"/>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row>
    <row r="43" spans="1:80" ht="15" customHeight="1" x14ac:dyDescent="0.25">
      <c r="A43" s="83"/>
      <c r="B43" s="1123"/>
      <c r="C43" s="1123"/>
      <c r="D43" s="1124"/>
      <c r="E43" s="1222"/>
      <c r="F43" s="1221"/>
      <c r="G43" s="1221"/>
      <c r="H43" s="1221"/>
      <c r="I43" s="1221"/>
      <c r="J43" s="76" t="str">
        <f>IF(AND('Riesgos de gestión'!$Y$52="Baja",'Riesgos de gestión'!$AA$52="Leve"),CONCATENATE("R8C",'Riesgos de gestión'!$O$52),"")</f>
        <v/>
      </c>
      <c r="K43" s="77" t="str">
        <f>IF(AND('Riesgos de gestión'!$Y$53="Baja",'Riesgos de gestión'!$AA$53="Leve"),CONCATENATE("R8C",'Riesgos de gestión'!$O$53),"")</f>
        <v/>
      </c>
      <c r="L43" s="77" t="str">
        <f>IF(AND('Riesgos de gestión'!$Y$54="Baja",'Riesgos de gestión'!$AA$54="Leve"),CONCATENATE("R8C",'Riesgos de gestión'!$O$54),"")</f>
        <v/>
      </c>
      <c r="M43" s="77" t="str">
        <f>IF(AND('Riesgos de gestión'!$Y$55="Baja",'Riesgos de gestión'!$AA$55="Leve"),CONCATENATE("R8C",'Riesgos de gestión'!$O$55),"")</f>
        <v/>
      </c>
      <c r="N43" s="77" t="str">
        <f>IF(AND('Riesgos de gestión'!$Y$56="Baja",'Riesgos de gestión'!$AA$56="Leve"),CONCATENATE("R8C",'Riesgos de gestión'!$O$56),"")</f>
        <v/>
      </c>
      <c r="O43" s="78" t="str">
        <f>IF(AND('Riesgos de gestión'!$Y$57="Baja",'Riesgos de gestión'!$AA$57="Leve"),CONCATENATE("R8C",'Riesgos de gestión'!$O$57),"")</f>
        <v/>
      </c>
      <c r="P43" s="67" t="str">
        <f>IF(AND('Riesgos de gestión'!$Y$52="Baja",'Riesgos de gestión'!$AA$52="Menor"),CONCATENATE("R8C",'Riesgos de gestión'!$O$52),"")</f>
        <v/>
      </c>
      <c r="Q43" s="68" t="str">
        <f>IF(AND('Riesgos de gestión'!$Y$53="Baja",'Riesgos de gestión'!$AA$53="Menor"),CONCATENATE("R8C",'Riesgos de gestión'!$O$53),"")</f>
        <v/>
      </c>
      <c r="R43" s="68" t="str">
        <f>IF(AND('Riesgos de gestión'!$Y$54="Baja",'Riesgos de gestión'!$AA$54="Menor"),CONCATENATE("R8C",'Riesgos de gestión'!$O$54),"")</f>
        <v/>
      </c>
      <c r="S43" s="68" t="str">
        <f>IF(AND('Riesgos de gestión'!$Y$55="Baja",'Riesgos de gestión'!$AA$55="Menor"),CONCATENATE("R8C",'Riesgos de gestión'!$O$55),"")</f>
        <v/>
      </c>
      <c r="T43" s="68" t="str">
        <f>IF(AND('Riesgos de gestión'!$Y$56="Baja",'Riesgos de gestión'!$AA$56="Menor"),CONCATENATE("R8C",'Riesgos de gestión'!$O$56),"")</f>
        <v/>
      </c>
      <c r="U43" s="69" t="str">
        <f>IF(AND('Riesgos de gestión'!$Y$57="Baja",'Riesgos de gestión'!$AA$57="Menor"),CONCATENATE("R8C",'Riesgos de gestión'!$O$57),"")</f>
        <v/>
      </c>
      <c r="V43" s="67" t="str">
        <f>IF(AND('Riesgos de gestión'!$Y$52="Baja",'Riesgos de gestión'!$AA$52="Moderado"),CONCATENATE("R8C",'Riesgos de gestión'!$O$52),"")</f>
        <v/>
      </c>
      <c r="W43" s="68" t="str">
        <f>IF(AND('Riesgos de gestión'!$Y$53="Baja",'Riesgos de gestión'!$AA$53="Moderado"),CONCATENATE("R8C",'Riesgos de gestión'!$O$53),"")</f>
        <v/>
      </c>
      <c r="X43" s="68" t="str">
        <f>IF(AND('Riesgos de gestión'!$Y$54="Baja",'Riesgos de gestión'!$AA$54="Moderado"),CONCATENATE("R8C",'Riesgos de gestión'!$O$54),"")</f>
        <v/>
      </c>
      <c r="Y43" s="68" t="str">
        <f>IF(AND('Riesgos de gestión'!$Y$55="Baja",'Riesgos de gestión'!$AA$55="Moderado"),CONCATENATE("R8C",'Riesgos de gestión'!$O$55),"")</f>
        <v/>
      </c>
      <c r="Z43" s="68" t="str">
        <f>IF(AND('Riesgos de gestión'!$Y$56="Baja",'Riesgos de gestión'!$AA$56="Moderado"),CONCATENATE("R8C",'Riesgos de gestión'!$O$56),"")</f>
        <v/>
      </c>
      <c r="AA43" s="69" t="str">
        <f>IF(AND('Riesgos de gestión'!$Y$57="Baja",'Riesgos de gestión'!$AA$57="Moderado"),CONCATENATE("R8C",'Riesgos de gestión'!$O$57),"")</f>
        <v/>
      </c>
      <c r="AB43" s="52" t="str">
        <f>IF(AND('Riesgos de gestión'!$Y$52="Baja",'Riesgos de gestión'!$AA$52="Mayor"),CONCATENATE("R8C",'Riesgos de gestión'!$O$52),"")</f>
        <v/>
      </c>
      <c r="AC43" s="53" t="str">
        <f>IF(AND('Riesgos de gestión'!$Y$53="Baja",'Riesgos de gestión'!$AA$53="Mayor"),CONCATENATE("R8C",'Riesgos de gestión'!$O$53),"")</f>
        <v/>
      </c>
      <c r="AD43" s="53" t="str">
        <f>IF(AND('Riesgos de gestión'!$Y$54="Baja",'Riesgos de gestión'!$AA$54="Mayor"),CONCATENATE("R8C",'Riesgos de gestión'!$O$54),"")</f>
        <v/>
      </c>
      <c r="AE43" s="53" t="str">
        <f>IF(AND('Riesgos de gestión'!$Y$55="Baja",'Riesgos de gestión'!$AA$55="Mayor"),CONCATENATE("R8C",'Riesgos de gestión'!$O$55),"")</f>
        <v/>
      </c>
      <c r="AF43" s="53" t="str">
        <f>IF(AND('Riesgos de gestión'!$Y$56="Baja",'Riesgos de gestión'!$AA$56="Mayor"),CONCATENATE("R8C",'Riesgos de gestión'!$O$56),"")</f>
        <v/>
      </c>
      <c r="AG43" s="54" t="str">
        <f>IF(AND('Riesgos de gestión'!$Y$57="Baja",'Riesgos de gestión'!$AA$57="Mayor"),CONCATENATE("R8C",'Riesgos de gestión'!$O$57),"")</f>
        <v/>
      </c>
      <c r="AH43" s="55" t="str">
        <f>IF(AND('Riesgos de gestión'!$Y$52="Baja",'Riesgos de gestión'!$AA$52="Catastrófico"),CONCATENATE("R8C",'Riesgos de gestión'!$O$52),"")</f>
        <v/>
      </c>
      <c r="AI43" s="56" t="str">
        <f>IF(AND('Riesgos de gestión'!$Y$53="Baja",'Riesgos de gestión'!$AA$53="Catastrófico"),CONCATENATE("R8C",'Riesgos de gestión'!$O$53),"")</f>
        <v/>
      </c>
      <c r="AJ43" s="56" t="str">
        <f>IF(AND('Riesgos de gestión'!$Y$54="Baja",'Riesgos de gestión'!$AA$54="Catastrófico"),CONCATENATE("R8C",'Riesgos de gestión'!$O$54),"")</f>
        <v/>
      </c>
      <c r="AK43" s="56" t="str">
        <f>IF(AND('Riesgos de gestión'!$Y$55="Baja",'Riesgos de gestión'!$AA$55="Catastrófico"),CONCATENATE("R8C",'Riesgos de gestión'!$O$55),"")</f>
        <v/>
      </c>
      <c r="AL43" s="56" t="str">
        <f>IF(AND('Riesgos de gestión'!$Y$56="Baja",'Riesgos de gestión'!$AA$56="Catastrófico"),CONCATENATE("R8C",'Riesgos de gestión'!$O$56),"")</f>
        <v/>
      </c>
      <c r="AM43" s="57" t="str">
        <f>IF(AND('Riesgos de gestión'!$Y$57="Baja",'Riesgos de gestión'!$AA$57="Catastrófico"),CONCATENATE("R8C",'Riesgos de gestión'!$O$57),"")</f>
        <v/>
      </c>
      <c r="AN43" s="83"/>
      <c r="AO43" s="1242"/>
      <c r="AP43" s="1243"/>
      <c r="AQ43" s="1243"/>
      <c r="AR43" s="1243"/>
      <c r="AS43" s="1243"/>
      <c r="AT43" s="1244"/>
      <c r="AU43" s="83"/>
      <c r="AV43" s="83"/>
      <c r="AW43" s="83"/>
      <c r="AX43" s="83"/>
      <c r="AY43" s="83"/>
      <c r="AZ43" s="83"/>
      <c r="BA43" s="83"/>
      <c r="BB43" s="83"/>
      <c r="BC43" s="83"/>
      <c r="BD43" s="83"/>
      <c r="BE43" s="83"/>
      <c r="BF43" s="83"/>
      <c r="BG43" s="83"/>
      <c r="BH43" s="83"/>
      <c r="BI43" s="83"/>
      <c r="BJ43" s="83"/>
      <c r="BK43" s="83"/>
      <c r="BL43" s="83"/>
      <c r="BM43" s="83"/>
      <c r="BN43" s="83"/>
      <c r="BO43" s="83"/>
      <c r="BP43" s="83"/>
      <c r="BQ43" s="83"/>
      <c r="BR43" s="83"/>
      <c r="BS43" s="83"/>
      <c r="BT43" s="83"/>
      <c r="BU43" s="83"/>
      <c r="BV43" s="83"/>
      <c r="BW43" s="83"/>
      <c r="BX43" s="83"/>
    </row>
    <row r="44" spans="1:80" ht="15" customHeight="1" x14ac:dyDescent="0.25">
      <c r="A44" s="83"/>
      <c r="B44" s="1123"/>
      <c r="C44" s="1123"/>
      <c r="D44" s="1124"/>
      <c r="E44" s="1222"/>
      <c r="F44" s="1221"/>
      <c r="G44" s="1221"/>
      <c r="H44" s="1221"/>
      <c r="I44" s="1221"/>
      <c r="J44" s="76" t="str">
        <f>IF(AND('Riesgos de gestión'!$Y$58="Baja",'Riesgos de gestión'!$AA$58="Leve"),CONCATENATE("R9C",'Riesgos de gestión'!$O$58),"")</f>
        <v/>
      </c>
      <c r="K44" s="77" t="str">
        <f>IF(AND('Riesgos de gestión'!$Y$59="Baja",'Riesgos de gestión'!$AA$59="Leve"),CONCATENATE("R9C",'Riesgos de gestión'!$O$59),"")</f>
        <v/>
      </c>
      <c r="L44" s="77" t="str">
        <f>IF(AND('Riesgos de gestión'!$Y$60="Baja",'Riesgos de gestión'!$AA$60="Leve"),CONCATENATE("R9C",'Riesgos de gestión'!$O$60),"")</f>
        <v/>
      </c>
      <c r="M44" s="77" t="str">
        <f>IF(AND('Riesgos de gestión'!$Y$61="Baja",'Riesgos de gestión'!$AA$61="Leve"),CONCATENATE("R9C",'Riesgos de gestión'!$O$61),"")</f>
        <v/>
      </c>
      <c r="N44" s="77" t="str">
        <f>IF(AND('Riesgos de gestión'!$Y$62="Baja",'Riesgos de gestión'!$AA$62="Leve"),CONCATENATE("R9C",'Riesgos de gestión'!$O$62),"")</f>
        <v/>
      </c>
      <c r="O44" s="78" t="str">
        <f>IF(AND('Riesgos de gestión'!$Y$63="Baja",'Riesgos de gestión'!$AA$63="Leve"),CONCATENATE("R9C",'Riesgos de gestión'!$O$63),"")</f>
        <v/>
      </c>
      <c r="P44" s="67" t="str">
        <f>IF(AND('Riesgos de gestión'!$Y$58="Baja",'Riesgos de gestión'!$AA$58="Menor"),CONCATENATE("R9C",'Riesgos de gestión'!$O$58),"")</f>
        <v/>
      </c>
      <c r="Q44" s="68" t="str">
        <f>IF(AND('Riesgos de gestión'!$Y$59="Baja",'Riesgos de gestión'!$AA$59="Menor"),CONCATENATE("R9C",'Riesgos de gestión'!$O$59),"")</f>
        <v/>
      </c>
      <c r="R44" s="68" t="str">
        <f>IF(AND('Riesgos de gestión'!$Y$60="Baja",'Riesgos de gestión'!$AA$60="Menor"),CONCATENATE("R9C",'Riesgos de gestión'!$O$60),"")</f>
        <v/>
      </c>
      <c r="S44" s="68" t="str">
        <f>IF(AND('Riesgos de gestión'!$Y$61="Baja",'Riesgos de gestión'!$AA$61="Menor"),CONCATENATE("R9C",'Riesgos de gestión'!$O$61),"")</f>
        <v/>
      </c>
      <c r="T44" s="68" t="str">
        <f>IF(AND('Riesgos de gestión'!$Y$62="Baja",'Riesgos de gestión'!$AA$62="Menor"),CONCATENATE("R9C",'Riesgos de gestión'!$O$62),"")</f>
        <v/>
      </c>
      <c r="U44" s="69" t="str">
        <f>IF(AND('Riesgos de gestión'!$Y$63="Baja",'Riesgos de gestión'!$AA$63="Menor"),CONCATENATE("R9C",'Riesgos de gestión'!$O$63),"")</f>
        <v/>
      </c>
      <c r="V44" s="67" t="str">
        <f>IF(AND('Riesgos de gestión'!$Y$58="Baja",'Riesgos de gestión'!$AA$58="Moderado"),CONCATENATE("R9C",'Riesgos de gestión'!$O$58),"")</f>
        <v/>
      </c>
      <c r="W44" s="68" t="str">
        <f>IF(AND('Riesgos de gestión'!$Y$59="Baja",'Riesgos de gestión'!$AA$59="Moderado"),CONCATENATE("R9C",'Riesgos de gestión'!$O$59),"")</f>
        <v/>
      </c>
      <c r="X44" s="68" t="str">
        <f>IF(AND('Riesgos de gestión'!$Y$60="Baja",'Riesgos de gestión'!$AA$60="Moderado"),CONCATENATE("R9C",'Riesgos de gestión'!$O$60),"")</f>
        <v/>
      </c>
      <c r="Y44" s="68" t="str">
        <f>IF(AND('Riesgos de gestión'!$Y$61="Baja",'Riesgos de gestión'!$AA$61="Moderado"),CONCATENATE("R9C",'Riesgos de gestión'!$O$61),"")</f>
        <v/>
      </c>
      <c r="Z44" s="68" t="str">
        <f>IF(AND('Riesgos de gestión'!$Y$62="Baja",'Riesgos de gestión'!$AA$62="Moderado"),CONCATENATE("R9C",'Riesgos de gestión'!$O$62),"")</f>
        <v/>
      </c>
      <c r="AA44" s="69" t="str">
        <f>IF(AND('Riesgos de gestión'!$Y$63="Baja",'Riesgos de gestión'!$AA$63="Moderado"),CONCATENATE("R9C",'Riesgos de gestión'!$O$63),"")</f>
        <v/>
      </c>
      <c r="AB44" s="52" t="str">
        <f>IF(AND('Riesgos de gestión'!$Y$58="Baja",'Riesgos de gestión'!$AA$58="Mayor"),CONCATENATE("R9C",'Riesgos de gestión'!$O$58),"")</f>
        <v/>
      </c>
      <c r="AC44" s="53" t="str">
        <f>IF(AND('Riesgos de gestión'!$Y$59="Baja",'Riesgos de gestión'!$AA$59="Mayor"),CONCATENATE("R9C",'Riesgos de gestión'!$O$59),"")</f>
        <v/>
      </c>
      <c r="AD44" s="53" t="str">
        <f>IF(AND('Riesgos de gestión'!$Y$60="Baja",'Riesgos de gestión'!$AA$60="Mayor"),CONCATENATE("R9C",'Riesgos de gestión'!$O$60),"")</f>
        <v/>
      </c>
      <c r="AE44" s="53" t="str">
        <f>IF(AND('Riesgos de gestión'!$Y$61="Baja",'Riesgos de gestión'!$AA$61="Mayor"),CONCATENATE("R9C",'Riesgos de gestión'!$O$61),"")</f>
        <v/>
      </c>
      <c r="AF44" s="53" t="str">
        <f>IF(AND('Riesgos de gestión'!$Y$62="Baja",'Riesgos de gestión'!$AA$62="Mayor"),CONCATENATE("R9C",'Riesgos de gestión'!$O$62),"")</f>
        <v/>
      </c>
      <c r="AG44" s="54" t="str">
        <f>IF(AND('Riesgos de gestión'!$Y$63="Baja",'Riesgos de gestión'!$AA$63="Mayor"),CONCATENATE("R9C",'Riesgos de gestión'!$O$63),"")</f>
        <v/>
      </c>
      <c r="AH44" s="55" t="str">
        <f>IF(AND('Riesgos de gestión'!$Y$58="Baja",'Riesgos de gestión'!$AA$58="Catastrófico"),CONCATENATE("R9C",'Riesgos de gestión'!$O$58),"")</f>
        <v/>
      </c>
      <c r="AI44" s="56" t="str">
        <f>IF(AND('Riesgos de gestión'!$Y$59="Baja",'Riesgos de gestión'!$AA$59="Catastrófico"),CONCATENATE("R9C",'Riesgos de gestión'!$O$59),"")</f>
        <v/>
      </c>
      <c r="AJ44" s="56" t="str">
        <f>IF(AND('Riesgos de gestión'!$Y$60="Baja",'Riesgos de gestión'!$AA$60="Catastrófico"),CONCATENATE("R9C",'Riesgos de gestión'!$O$60),"")</f>
        <v/>
      </c>
      <c r="AK44" s="56" t="str">
        <f>IF(AND('Riesgos de gestión'!$Y$61="Baja",'Riesgos de gestión'!$AA$61="Catastrófico"),CONCATENATE("R9C",'Riesgos de gestión'!$O$61),"")</f>
        <v/>
      </c>
      <c r="AL44" s="56" t="str">
        <f>IF(AND('Riesgos de gestión'!$Y$62="Baja",'Riesgos de gestión'!$AA$62="Catastrófico"),CONCATENATE("R9C",'Riesgos de gestión'!$O$62),"")</f>
        <v/>
      </c>
      <c r="AM44" s="57" t="str">
        <f>IF(AND('Riesgos de gestión'!$Y$63="Baja",'Riesgos de gestión'!$AA$63="Catastrófico"),CONCATENATE("R9C",'Riesgos de gestión'!$O$63),"")</f>
        <v/>
      </c>
      <c r="AN44" s="83"/>
      <c r="AO44" s="1242"/>
      <c r="AP44" s="1243"/>
      <c r="AQ44" s="1243"/>
      <c r="AR44" s="1243"/>
      <c r="AS44" s="1243"/>
      <c r="AT44" s="1244"/>
      <c r="AU44" s="83"/>
      <c r="AV44" s="83"/>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row>
    <row r="45" spans="1:80" ht="15.75" customHeight="1" thickBot="1" x14ac:dyDescent="0.3">
      <c r="A45" s="83"/>
      <c r="B45" s="1123"/>
      <c r="C45" s="1123"/>
      <c r="D45" s="1124"/>
      <c r="E45" s="1223"/>
      <c r="F45" s="1224"/>
      <c r="G45" s="1224"/>
      <c r="H45" s="1224"/>
      <c r="I45" s="1224"/>
      <c r="J45" s="79" t="str">
        <f>IF(AND('Riesgos de gestión'!$Y$64="Baja",'Riesgos de gestión'!$AA$64="Leve"),CONCATENATE("R10C",'Riesgos de gestión'!$O$64),"")</f>
        <v/>
      </c>
      <c r="K45" s="80" t="str">
        <f>IF(AND('Riesgos de gestión'!$Y$65="Baja",'Riesgos de gestión'!$AA$65="Leve"),CONCATENATE("R10C",'Riesgos de gestión'!$O$65),"")</f>
        <v/>
      </c>
      <c r="L45" s="80" t="str">
        <f>IF(AND('Riesgos de gestión'!$Y$66="Baja",'Riesgos de gestión'!$AA$66="Leve"),CONCATENATE("R10C",'Riesgos de gestión'!$O$66),"")</f>
        <v/>
      </c>
      <c r="M45" s="80" t="str">
        <f>IF(AND('Riesgos de gestión'!$Y$67="Baja",'Riesgos de gestión'!$AA$67="Leve"),CONCATENATE("R10C",'Riesgos de gestión'!$O$67),"")</f>
        <v/>
      </c>
      <c r="N45" s="80" t="str">
        <f>IF(AND('Riesgos de gestión'!$Y$68="Baja",'Riesgos de gestión'!$AA$68="Leve"),CONCATENATE("R10C",'Riesgos de gestión'!$O$68),"")</f>
        <v/>
      </c>
      <c r="O45" s="81" t="str">
        <f>IF(AND('Riesgos de gestión'!$Y$69="Baja",'Riesgos de gestión'!$AA$69="Leve"),CONCATENATE("R10C",'Riesgos de gestión'!$O$69),"")</f>
        <v/>
      </c>
      <c r="P45" s="67" t="str">
        <f>IF(AND('Riesgos de gestión'!$Y$64="Baja",'Riesgos de gestión'!$AA$64="Menor"),CONCATENATE("R10C",'Riesgos de gestión'!$O$64),"")</f>
        <v/>
      </c>
      <c r="Q45" s="68" t="str">
        <f>IF(AND('Riesgos de gestión'!$Y$65="Baja",'Riesgos de gestión'!$AA$65="Menor"),CONCATENATE("R10C",'Riesgos de gestión'!$O$65),"")</f>
        <v/>
      </c>
      <c r="R45" s="68" t="str">
        <f>IF(AND('Riesgos de gestión'!$Y$66="Baja",'Riesgos de gestión'!$AA$66="Menor"),CONCATENATE("R10C",'Riesgos de gestión'!$O$66),"")</f>
        <v/>
      </c>
      <c r="S45" s="68" t="str">
        <f>IF(AND('Riesgos de gestión'!$Y$67="Baja",'Riesgos de gestión'!$AA$67="Menor"),CONCATENATE("R10C",'Riesgos de gestión'!$O$67),"")</f>
        <v/>
      </c>
      <c r="T45" s="68" t="str">
        <f>IF(AND('Riesgos de gestión'!$Y$68="Baja",'Riesgos de gestión'!$AA$68="Menor"),CONCATENATE("R10C",'Riesgos de gestión'!$O$68),"")</f>
        <v/>
      </c>
      <c r="U45" s="69" t="str">
        <f>IF(AND('Riesgos de gestión'!$Y$69="Baja",'Riesgos de gestión'!$AA$69="Menor"),CONCATENATE("R10C",'Riesgos de gestión'!$O$69),"")</f>
        <v/>
      </c>
      <c r="V45" s="70" t="str">
        <f>IF(AND('Riesgos de gestión'!$Y$64="Baja",'Riesgos de gestión'!$AA$64="Moderado"),CONCATENATE("R10C",'Riesgos de gestión'!$O$64),"")</f>
        <v/>
      </c>
      <c r="W45" s="71" t="str">
        <f>IF(AND('Riesgos de gestión'!$Y$65="Baja",'Riesgos de gestión'!$AA$65="Moderado"),CONCATENATE("R10C",'Riesgos de gestión'!$O$65),"")</f>
        <v/>
      </c>
      <c r="X45" s="71" t="str">
        <f>IF(AND('Riesgos de gestión'!$Y$66="Baja",'Riesgos de gestión'!$AA$66="Moderado"),CONCATENATE("R10C",'Riesgos de gestión'!$O$66),"")</f>
        <v/>
      </c>
      <c r="Y45" s="71" t="str">
        <f>IF(AND('Riesgos de gestión'!$Y$67="Baja",'Riesgos de gestión'!$AA$67="Moderado"),CONCATENATE("R10C",'Riesgos de gestión'!$O$67),"")</f>
        <v/>
      </c>
      <c r="Z45" s="71" t="str">
        <f>IF(AND('Riesgos de gestión'!$Y$68="Baja",'Riesgos de gestión'!$AA$68="Moderado"),CONCATENATE("R10C",'Riesgos de gestión'!$O$68),"")</f>
        <v/>
      </c>
      <c r="AA45" s="72" t="str">
        <f>IF(AND('Riesgos de gestión'!$Y$69="Baja",'Riesgos de gestión'!$AA$69="Moderado"),CONCATENATE("R10C",'Riesgos de gestión'!$O$69),"")</f>
        <v/>
      </c>
      <c r="AB45" s="58" t="str">
        <f>IF(AND('Riesgos de gestión'!$Y$64="Baja",'Riesgos de gestión'!$AA$64="Mayor"),CONCATENATE("R10C",'Riesgos de gestión'!$O$64),"")</f>
        <v/>
      </c>
      <c r="AC45" s="59" t="str">
        <f>IF(AND('Riesgos de gestión'!$Y$65="Baja",'Riesgos de gestión'!$AA$65="Mayor"),CONCATENATE("R10C",'Riesgos de gestión'!$O$65),"")</f>
        <v/>
      </c>
      <c r="AD45" s="59" t="str">
        <f>IF(AND('Riesgos de gestión'!$Y$66="Baja",'Riesgos de gestión'!$AA$66="Mayor"),CONCATENATE("R10C",'Riesgos de gestión'!$O$66),"")</f>
        <v/>
      </c>
      <c r="AE45" s="59" t="str">
        <f>IF(AND('Riesgos de gestión'!$Y$67="Baja",'Riesgos de gestión'!$AA$67="Mayor"),CONCATENATE("R10C",'Riesgos de gestión'!$O$67),"")</f>
        <v/>
      </c>
      <c r="AF45" s="59" t="str">
        <f>IF(AND('Riesgos de gestión'!$Y$68="Baja",'Riesgos de gestión'!$AA$68="Mayor"),CONCATENATE("R10C",'Riesgos de gestión'!$O$68),"")</f>
        <v/>
      </c>
      <c r="AG45" s="60" t="str">
        <f>IF(AND('Riesgos de gestión'!$Y$69="Baja",'Riesgos de gestión'!$AA$69="Mayor"),CONCATENATE("R10C",'Riesgos de gestión'!$O$69),"")</f>
        <v/>
      </c>
      <c r="AH45" s="61" t="str">
        <f>IF(AND('Riesgos de gestión'!$Y$64="Baja",'Riesgos de gestión'!$AA$64="Catastrófico"),CONCATENATE("R10C",'Riesgos de gestión'!$O$64),"")</f>
        <v/>
      </c>
      <c r="AI45" s="62" t="str">
        <f>IF(AND('Riesgos de gestión'!$Y$65="Baja",'Riesgos de gestión'!$AA$65="Catastrófico"),CONCATENATE("R10C",'Riesgos de gestión'!$O$65),"")</f>
        <v/>
      </c>
      <c r="AJ45" s="62" t="str">
        <f>IF(AND('Riesgos de gestión'!$Y$66="Baja",'Riesgos de gestión'!$AA$66="Catastrófico"),CONCATENATE("R10C",'Riesgos de gestión'!$O$66),"")</f>
        <v/>
      </c>
      <c r="AK45" s="62" t="str">
        <f>IF(AND('Riesgos de gestión'!$Y$67="Baja",'Riesgos de gestión'!$AA$67="Catastrófico"),CONCATENATE("R10C",'Riesgos de gestión'!$O$67),"")</f>
        <v/>
      </c>
      <c r="AL45" s="62" t="str">
        <f>IF(AND('Riesgos de gestión'!$Y$68="Baja",'Riesgos de gestión'!$AA$68="Catastrófico"),CONCATENATE("R10C",'Riesgos de gestión'!$O$68),"")</f>
        <v/>
      </c>
      <c r="AM45" s="63" t="str">
        <f>IF(AND('Riesgos de gestión'!$Y$69="Baja",'Riesgos de gestión'!$AA$69="Catastrófico"),CONCATENATE("R10C",'Riesgos de gestión'!$O$69),"")</f>
        <v/>
      </c>
      <c r="AN45" s="83"/>
      <c r="AO45" s="1245"/>
      <c r="AP45" s="1246"/>
      <c r="AQ45" s="1246"/>
      <c r="AR45" s="1246"/>
      <c r="AS45" s="1246"/>
      <c r="AT45" s="1247"/>
    </row>
    <row r="46" spans="1:80" ht="46.5" customHeight="1" x14ac:dyDescent="0.35">
      <c r="A46" s="83"/>
      <c r="B46" s="1123"/>
      <c r="C46" s="1123"/>
      <c r="D46" s="1124"/>
      <c r="E46" s="1218" t="s">
        <v>113</v>
      </c>
      <c r="F46" s="1219"/>
      <c r="G46" s="1219"/>
      <c r="H46" s="1219"/>
      <c r="I46" s="1236"/>
      <c r="J46" s="73" t="str">
        <f ca="1">IF(AND('Riesgos de gestión'!$Y$10="Muy Baja",'Riesgos de gestión'!$AA$10="Leve"),CONCATENATE("R1C",'Riesgos de gestión'!$O$10),"")</f>
        <v/>
      </c>
      <c r="K46" s="74" t="str">
        <f>IF(AND('Riesgos de gestión'!$Y$11="Muy Baja",'Riesgos de gestión'!$AA$11="Leve"),CONCATENATE("R1C",'Riesgos de gestión'!$O$11),"")</f>
        <v/>
      </c>
      <c r="L46" s="74" t="str">
        <f>IF(AND('Riesgos de gestión'!$Y$12="Muy Baja",'Riesgos de gestión'!$AA$12="Leve"),CONCATENATE("R1C",'Riesgos de gestión'!$O$12),"")</f>
        <v/>
      </c>
      <c r="M46" s="74" t="str">
        <f>IF(AND('Riesgos de gestión'!$Y$13="Muy Baja",'Riesgos de gestión'!$AA$13="Leve"),CONCATENATE("R1C",'Riesgos de gestión'!$O$13),"")</f>
        <v/>
      </c>
      <c r="N46" s="74" t="str">
        <f>IF(AND('Riesgos de gestión'!$Y$14="Muy Baja",'Riesgos de gestión'!$AA$14="Leve"),CONCATENATE("R1C",'Riesgos de gestión'!$O$14),"")</f>
        <v/>
      </c>
      <c r="O46" s="75" t="str">
        <f>IF(AND('Riesgos de gestión'!$Y$15="Muy Baja",'Riesgos de gestión'!$AA$15="Leve"),CONCATENATE("R1C",'Riesgos de gestión'!$O$15),"")</f>
        <v/>
      </c>
      <c r="P46" s="73" t="str">
        <f ca="1">IF(AND('Riesgos de gestión'!$Y$10="Muy Baja",'Riesgos de gestión'!$AA$10="Menor"),CONCATENATE("R1C",'Riesgos de gestión'!$O$10),"")</f>
        <v/>
      </c>
      <c r="Q46" s="74" t="str">
        <f>IF(AND('Riesgos de gestión'!$Y$11="Muy Baja",'Riesgos de gestión'!$AA$11="Menor"),CONCATENATE("R1C",'Riesgos de gestión'!$O$11),"")</f>
        <v/>
      </c>
      <c r="R46" s="74" t="str">
        <f>IF(AND('Riesgos de gestión'!$Y$12="Muy Baja",'Riesgos de gestión'!$AA$12="Menor"),CONCATENATE("R1C",'Riesgos de gestión'!$O$12),"")</f>
        <v/>
      </c>
      <c r="S46" s="74" t="str">
        <f>IF(AND('Riesgos de gestión'!$Y$13="Muy Baja",'Riesgos de gestión'!$AA$13="Menor"),CONCATENATE("R1C",'Riesgos de gestión'!$O$13),"")</f>
        <v/>
      </c>
      <c r="T46" s="74" t="str">
        <f>IF(AND('Riesgos de gestión'!$Y$14="Muy Baja",'Riesgos de gestión'!$AA$14="Menor"),CONCATENATE("R1C",'Riesgos de gestión'!$O$14),"")</f>
        <v/>
      </c>
      <c r="U46" s="75" t="str">
        <f>IF(AND('Riesgos de gestión'!$Y$15="Muy Baja",'Riesgos de gestión'!$AA$15="Menor"),CONCATENATE("R1C",'Riesgos de gestión'!$O$15),"")</f>
        <v/>
      </c>
      <c r="V46" s="64" t="str">
        <f ca="1">IF(AND('Riesgos de gestión'!$Y$10="Muy Baja",'Riesgos de gestión'!$AA$10="Moderado"),CONCATENATE("R1C",'Riesgos de gestión'!$O$10),"")</f>
        <v/>
      </c>
      <c r="W46" s="82" t="str">
        <f>IF(AND('Riesgos de gestión'!$Y$11="Muy Baja",'Riesgos de gestión'!$AA$11="Moderado"),CONCATENATE("R1C",'Riesgos de gestión'!$O$11),"")</f>
        <v/>
      </c>
      <c r="X46" s="65" t="str">
        <f>IF(AND('Riesgos de gestión'!$Y$12="Muy Baja",'Riesgos de gestión'!$AA$12="Moderado"),CONCATENATE("R1C",'Riesgos de gestión'!$O$12),"")</f>
        <v/>
      </c>
      <c r="Y46" s="65" t="str">
        <f>IF(AND('Riesgos de gestión'!$Y$13="Muy Baja",'Riesgos de gestión'!$AA$13="Moderado"),CONCATENATE("R1C",'Riesgos de gestión'!$O$13),"")</f>
        <v/>
      </c>
      <c r="Z46" s="65" t="str">
        <f>IF(AND('Riesgos de gestión'!$Y$14="Muy Baja",'Riesgos de gestión'!$AA$14="Moderado"),CONCATENATE("R1C",'Riesgos de gestión'!$O$14),"")</f>
        <v/>
      </c>
      <c r="AA46" s="66" t="str">
        <f>IF(AND('Riesgos de gestión'!$Y$15="Muy Baja",'Riesgos de gestión'!$AA$15="Moderado"),CONCATENATE("R1C",'Riesgos de gestión'!$O$15),"")</f>
        <v/>
      </c>
      <c r="AB46" s="46" t="str">
        <f ca="1">IF(AND('Riesgos de gestión'!$Y$10="Muy Baja",'Riesgos de gestión'!$AA$10="Mayor"),CONCATENATE("R1C",'Riesgos de gestión'!$O$10),"")</f>
        <v/>
      </c>
      <c r="AC46" s="47" t="str">
        <f>IF(AND('Riesgos de gestión'!$Y$11="Muy Baja",'Riesgos de gestión'!$AA$11="Mayor"),CONCATENATE("R1C",'Riesgos de gestión'!$O$11),"")</f>
        <v/>
      </c>
      <c r="AD46" s="47" t="str">
        <f>IF(AND('Riesgos de gestión'!$Y$12="Muy Baja",'Riesgos de gestión'!$AA$12="Mayor"),CONCATENATE("R1C",'Riesgos de gestión'!$O$12),"")</f>
        <v/>
      </c>
      <c r="AE46" s="47" t="str">
        <f>IF(AND('Riesgos de gestión'!$Y$13="Muy Baja",'Riesgos de gestión'!$AA$13="Mayor"),CONCATENATE("R1C",'Riesgos de gestión'!$O$13),"")</f>
        <v/>
      </c>
      <c r="AF46" s="47" t="str">
        <f>IF(AND('Riesgos de gestión'!$Y$14="Muy Baja",'Riesgos de gestión'!$AA$14="Mayor"),CONCATENATE("R1C",'Riesgos de gestión'!$O$14),"")</f>
        <v/>
      </c>
      <c r="AG46" s="48" t="str">
        <f>IF(AND('Riesgos de gestión'!$Y$15="Muy Baja",'Riesgos de gestión'!$AA$15="Mayor"),CONCATENATE("R1C",'Riesgos de gestión'!$O$15),"")</f>
        <v/>
      </c>
      <c r="AH46" s="49" t="str">
        <f ca="1">IF(AND('Riesgos de gestión'!$Y$10="Muy Baja",'Riesgos de gestión'!$AA$10="Catastrófico"),CONCATENATE("R1C",'Riesgos de gestión'!$O$10),"")</f>
        <v>R1C1</v>
      </c>
      <c r="AI46" s="50" t="str">
        <f>IF(AND('Riesgos de gestión'!$Y$11="Muy Baja",'Riesgos de gestión'!$AA$11="Catastrófico"),CONCATENATE("R1C",'Riesgos de gestión'!$O$11),"")</f>
        <v/>
      </c>
      <c r="AJ46" s="50" t="str">
        <f>IF(AND('Riesgos de gestión'!$Y$12="Muy Baja",'Riesgos de gestión'!$AA$12="Catastrófico"),CONCATENATE("R1C",'Riesgos de gestión'!$O$12),"")</f>
        <v/>
      </c>
      <c r="AK46" s="50" t="str">
        <f>IF(AND('Riesgos de gestión'!$Y$13="Muy Baja",'Riesgos de gestión'!$AA$13="Catastrófico"),CONCATENATE("R1C",'Riesgos de gestión'!$O$13),"")</f>
        <v/>
      </c>
      <c r="AL46" s="50" t="str">
        <f>IF(AND('Riesgos de gestión'!$Y$14="Muy Baja",'Riesgos de gestión'!$AA$14="Catastrófico"),CONCATENATE("R1C",'Riesgos de gestión'!$O$14),"")</f>
        <v/>
      </c>
      <c r="AM46" s="51" t="str">
        <f>IF(AND('Riesgos de gestión'!$Y$15="Muy Baja",'Riesgos de gestión'!$AA$15="Catastrófico"),CONCATENATE("R1C",'Riesgos de gestión'!$O$15),"")</f>
        <v/>
      </c>
      <c r="AN46" s="83"/>
      <c r="AO46" s="83"/>
      <c r="AP46" s="83"/>
      <c r="AQ46" s="83"/>
      <c r="AR46" s="83"/>
      <c r="AS46" s="83"/>
      <c r="AT46" s="83"/>
      <c r="AU46" s="83"/>
      <c r="AV46" s="83"/>
      <c r="AW46" s="83"/>
      <c r="AX46" s="83"/>
      <c r="AY46" s="83"/>
      <c r="AZ46" s="83"/>
      <c r="BA46" s="83"/>
      <c r="BB46" s="83"/>
      <c r="BC46" s="83"/>
      <c r="BD46" s="83"/>
      <c r="BE46" s="83"/>
      <c r="BF46" s="83"/>
      <c r="BG46" s="83"/>
      <c r="BH46" s="83"/>
      <c r="BI46" s="83"/>
      <c r="BJ46" s="83"/>
      <c r="BK46" s="83"/>
      <c r="BL46" s="83"/>
      <c r="BM46" s="83"/>
      <c r="BN46" s="83"/>
      <c r="BO46" s="83"/>
      <c r="BP46" s="83"/>
      <c r="BQ46" s="83"/>
      <c r="BR46" s="83"/>
      <c r="BS46" s="83"/>
      <c r="BT46" s="83"/>
      <c r="BU46" s="83"/>
      <c r="BV46" s="83"/>
      <c r="BW46" s="83"/>
      <c r="BX46" s="83"/>
      <c r="BY46" s="83"/>
      <c r="BZ46" s="83"/>
      <c r="CA46" s="83"/>
      <c r="CB46" s="83"/>
    </row>
    <row r="47" spans="1:80" ht="46.5" customHeight="1" x14ac:dyDescent="0.25">
      <c r="A47" s="83"/>
      <c r="B47" s="1123"/>
      <c r="C47" s="1123"/>
      <c r="D47" s="1124"/>
      <c r="E47" s="1220"/>
      <c r="F47" s="1221"/>
      <c r="G47" s="1221"/>
      <c r="H47" s="1221"/>
      <c r="I47" s="1237"/>
      <c r="J47" s="76" t="str">
        <f>IF(AND('Riesgos de gestión'!$Y$16="Muy Baja",'Riesgos de gestión'!$AA$16="Leve"),CONCATENATE("R2C",'Riesgos de gestión'!$O$16),"")</f>
        <v/>
      </c>
      <c r="K47" s="77" t="str">
        <f>IF(AND('Riesgos de gestión'!$Y$17="Muy Baja",'Riesgos de gestión'!$AA$17="Leve"),CONCATENATE("R2C",'Riesgos de gestión'!$O$17),"")</f>
        <v/>
      </c>
      <c r="L47" s="77" t="str">
        <f>IF(AND('Riesgos de gestión'!$Y$18="Muy Baja",'Riesgos de gestión'!$AA$18="Leve"),CONCATENATE("R2C",'Riesgos de gestión'!$O$18),"")</f>
        <v/>
      </c>
      <c r="M47" s="77" t="str">
        <f>IF(AND('Riesgos de gestión'!$Y$19="Muy Baja",'Riesgos de gestión'!$AA$19="Leve"),CONCATENATE("R2C",'Riesgos de gestión'!$O$19),"")</f>
        <v/>
      </c>
      <c r="N47" s="77" t="str">
        <f>IF(AND('Riesgos de gestión'!$Y$20="Muy Baja",'Riesgos de gestión'!$AA$20="Leve"),CONCATENATE("R2C",'Riesgos de gestión'!$O$20),"")</f>
        <v/>
      </c>
      <c r="O47" s="78" t="str">
        <f>IF(AND('Riesgos de gestión'!$Y$21="Muy Baja",'Riesgos de gestión'!$AA$21="Leve"),CONCATENATE("R2C",'Riesgos de gestión'!$O$21),"")</f>
        <v/>
      </c>
      <c r="P47" s="76" t="str">
        <f>IF(AND('Riesgos de gestión'!$Y$16="Muy Baja",'Riesgos de gestión'!$AA$16="Menor"),CONCATENATE("R2C",'Riesgos de gestión'!$O$16),"")</f>
        <v/>
      </c>
      <c r="Q47" s="77" t="str">
        <f>IF(AND('Riesgos de gestión'!$Y$17="Muy Baja",'Riesgos de gestión'!$AA$17="Menor"),CONCATENATE("R2C",'Riesgos de gestión'!$O$17),"")</f>
        <v/>
      </c>
      <c r="R47" s="77" t="str">
        <f>IF(AND('Riesgos de gestión'!$Y$18="Muy Baja",'Riesgos de gestión'!$AA$18="Menor"),CONCATENATE("R2C",'Riesgos de gestión'!$O$18),"")</f>
        <v/>
      </c>
      <c r="S47" s="77" t="str">
        <f>IF(AND('Riesgos de gestión'!$Y$19="Muy Baja",'Riesgos de gestión'!$AA$19="Menor"),CONCATENATE("R2C",'Riesgos de gestión'!$O$19),"")</f>
        <v/>
      </c>
      <c r="T47" s="77" t="str">
        <f>IF(AND('Riesgos de gestión'!$Y$20="Muy Baja",'Riesgos de gestión'!$AA$20="Menor"),CONCATENATE("R2C",'Riesgos de gestión'!$O$20),"")</f>
        <v/>
      </c>
      <c r="U47" s="78" t="str">
        <f>IF(AND('Riesgos de gestión'!$Y$21="Muy Baja",'Riesgos de gestión'!$AA$21="Menor"),CONCATENATE("R2C",'Riesgos de gestión'!$O$21),"")</f>
        <v/>
      </c>
      <c r="V47" s="67" t="str">
        <f>IF(AND('Riesgos de gestión'!$Y$16="Muy Baja",'Riesgos de gestión'!$AA$16="Moderado"),CONCATENATE("R2C",'Riesgos de gestión'!$O$16),"")</f>
        <v/>
      </c>
      <c r="W47" s="68" t="str">
        <f>IF(AND('Riesgos de gestión'!$Y$17="Muy Baja",'Riesgos de gestión'!$AA$17="Moderado"),CONCATENATE("R2C",'Riesgos de gestión'!$O$17),"")</f>
        <v/>
      </c>
      <c r="X47" s="68" t="str">
        <f>IF(AND('Riesgos de gestión'!$Y$18="Muy Baja",'Riesgos de gestión'!$AA$18="Moderado"),CONCATENATE("R2C",'Riesgos de gestión'!$O$18),"")</f>
        <v/>
      </c>
      <c r="Y47" s="68" t="str">
        <f>IF(AND('Riesgos de gestión'!$Y$19="Muy Baja",'Riesgos de gestión'!$AA$19="Moderado"),CONCATENATE("R2C",'Riesgos de gestión'!$O$19),"")</f>
        <v/>
      </c>
      <c r="Z47" s="68" t="str">
        <f>IF(AND('Riesgos de gestión'!$Y$20="Muy Baja",'Riesgos de gestión'!$AA$20="Moderado"),CONCATENATE("R2C",'Riesgos de gestión'!$O$20),"")</f>
        <v/>
      </c>
      <c r="AA47" s="69" t="str">
        <f>IF(AND('Riesgos de gestión'!$Y$21="Muy Baja",'Riesgos de gestión'!$AA$21="Moderado"),CONCATENATE("R2C",'Riesgos de gestión'!$O$21),"")</f>
        <v/>
      </c>
      <c r="AB47" s="52" t="str">
        <f>IF(AND('Riesgos de gestión'!$Y$16="Muy Baja",'Riesgos de gestión'!$AA$16="Mayor"),CONCATENATE("R2C",'Riesgos de gestión'!$O$16),"")</f>
        <v/>
      </c>
      <c r="AC47" s="53" t="str">
        <f>IF(AND('Riesgos de gestión'!$Y$17="Muy Baja",'Riesgos de gestión'!$AA$17="Mayor"),CONCATENATE("R2C",'Riesgos de gestión'!$O$17),"")</f>
        <v/>
      </c>
      <c r="AD47" s="53" t="str">
        <f>IF(AND('Riesgos de gestión'!$Y$18="Muy Baja",'Riesgos de gestión'!$AA$18="Mayor"),CONCATENATE("R2C",'Riesgos de gestión'!$O$18),"")</f>
        <v/>
      </c>
      <c r="AE47" s="53" t="str">
        <f>IF(AND('Riesgos de gestión'!$Y$19="Muy Baja",'Riesgos de gestión'!$AA$19="Mayor"),CONCATENATE("R2C",'Riesgos de gestión'!$O$19),"")</f>
        <v/>
      </c>
      <c r="AF47" s="53" t="str">
        <f>IF(AND('Riesgos de gestión'!$Y$20="Muy Baja",'Riesgos de gestión'!$AA$20="Mayor"),CONCATENATE("R2C",'Riesgos de gestión'!$O$20),"")</f>
        <v/>
      </c>
      <c r="AG47" s="54" t="str">
        <f>IF(AND('Riesgos de gestión'!$Y$21="Muy Baja",'Riesgos de gestión'!$AA$21="Mayor"),CONCATENATE("R2C",'Riesgos de gestión'!$O$21),"")</f>
        <v/>
      </c>
      <c r="AH47" s="55" t="str">
        <f>IF(AND('Riesgos de gestión'!$Y$16="Muy Baja",'Riesgos de gestión'!$AA$16="Catastrófico"),CONCATENATE("R2C",'Riesgos de gestión'!$O$16),"")</f>
        <v/>
      </c>
      <c r="AI47" s="56" t="str">
        <f>IF(AND('Riesgos de gestión'!$Y$17="Muy Baja",'Riesgos de gestión'!$AA$17="Catastrófico"),CONCATENATE("R2C",'Riesgos de gestión'!$O$17),"")</f>
        <v/>
      </c>
      <c r="AJ47" s="56" t="str">
        <f>IF(AND('Riesgos de gestión'!$Y$18="Muy Baja",'Riesgos de gestión'!$AA$18="Catastrófico"),CONCATENATE("R2C",'Riesgos de gestión'!$O$18),"")</f>
        <v/>
      </c>
      <c r="AK47" s="56" t="str">
        <f>IF(AND('Riesgos de gestión'!$Y$19="Muy Baja",'Riesgos de gestión'!$AA$19="Catastrófico"),CONCATENATE("R2C",'Riesgos de gestión'!$O$19),"")</f>
        <v/>
      </c>
      <c r="AL47" s="56" t="str">
        <f>IF(AND('Riesgos de gestión'!$Y$20="Muy Baja",'Riesgos de gestión'!$AA$20="Catastrófico"),CONCATENATE("R2C",'Riesgos de gestión'!$O$20),"")</f>
        <v/>
      </c>
      <c r="AM47" s="57" t="str">
        <f>IF(AND('Riesgos de gestión'!$Y$21="Muy Baja",'Riesgos de gestión'!$AA$21="Catastrófico"),CONCATENATE("R2C",'Riesgos de gestión'!$O$21),"")</f>
        <v/>
      </c>
      <c r="AN47" s="83"/>
      <c r="AO47" s="83"/>
      <c r="AP47" s="83"/>
      <c r="AQ47" s="83"/>
      <c r="AR47" s="83"/>
      <c r="AS47" s="83"/>
      <c r="AT47" s="83"/>
      <c r="AU47" s="83"/>
      <c r="AV47" s="83"/>
      <c r="AW47" s="83"/>
      <c r="AX47" s="83"/>
      <c r="AY47" s="83"/>
      <c r="AZ47" s="83"/>
      <c r="BA47" s="83"/>
      <c r="BB47" s="83"/>
      <c r="BC47" s="83"/>
      <c r="BD47" s="83"/>
      <c r="BE47" s="83"/>
      <c r="BF47" s="83"/>
      <c r="BG47" s="83"/>
      <c r="BH47" s="83"/>
      <c r="BI47" s="83"/>
      <c r="BJ47" s="83"/>
      <c r="BK47" s="83"/>
      <c r="BL47" s="83"/>
      <c r="BM47" s="83"/>
      <c r="BN47" s="83"/>
      <c r="BO47" s="83"/>
      <c r="BP47" s="83"/>
      <c r="BQ47" s="83"/>
      <c r="BR47" s="83"/>
      <c r="BS47" s="83"/>
      <c r="BT47" s="83"/>
      <c r="BU47" s="83"/>
      <c r="BV47" s="83"/>
      <c r="BW47" s="83"/>
      <c r="BX47" s="83"/>
      <c r="BY47" s="83"/>
      <c r="BZ47" s="83"/>
      <c r="CA47" s="83"/>
      <c r="CB47" s="83"/>
    </row>
    <row r="48" spans="1:80" ht="15" customHeight="1" x14ac:dyDescent="0.25">
      <c r="A48" s="83"/>
      <c r="B48" s="1123"/>
      <c r="C48" s="1123"/>
      <c r="D48" s="1124"/>
      <c r="E48" s="1220"/>
      <c r="F48" s="1221"/>
      <c r="G48" s="1221"/>
      <c r="H48" s="1221"/>
      <c r="I48" s="1237"/>
      <c r="J48" s="76" t="str">
        <f>IF(AND('Riesgos de gestión'!$Y$22="Muy Baja",'Riesgos de gestión'!$AA$22="Leve"),CONCATENATE("R3C",'Riesgos de gestión'!$O$22),"")</f>
        <v/>
      </c>
      <c r="K48" s="77" t="str">
        <f>IF(AND('Riesgos de gestión'!$Y$23="Muy Baja",'Riesgos de gestión'!$AA$23="Leve"),CONCATENATE("R3C",'Riesgos de gestión'!$O$23),"")</f>
        <v/>
      </c>
      <c r="L48" s="77" t="str">
        <f>IF(AND('Riesgos de gestión'!$Y$24="Muy Baja",'Riesgos de gestión'!$AA$24="Leve"),CONCATENATE("R3C",'Riesgos de gestión'!$O$24),"")</f>
        <v/>
      </c>
      <c r="M48" s="77" t="str">
        <f>IF(AND('Riesgos de gestión'!$Y$25="Muy Baja",'Riesgos de gestión'!$AA$25="Leve"),CONCATENATE("R3C",'Riesgos de gestión'!$O$25),"")</f>
        <v/>
      </c>
      <c r="N48" s="77" t="str">
        <f>IF(AND('Riesgos de gestión'!$Y$26="Muy Baja",'Riesgos de gestión'!$AA$26="Leve"),CONCATENATE("R3C",'Riesgos de gestión'!$O$26),"")</f>
        <v/>
      </c>
      <c r="O48" s="78" t="str">
        <f>IF(AND('Riesgos de gestión'!$Y$27="Muy Baja",'Riesgos de gestión'!$AA$27="Leve"),CONCATENATE("R3C",'Riesgos de gestión'!$O$27),"")</f>
        <v/>
      </c>
      <c r="P48" s="76" t="str">
        <f>IF(AND('Riesgos de gestión'!$Y$22="Muy Baja",'Riesgos de gestión'!$AA$22="Menor"),CONCATENATE("R3C",'Riesgos de gestión'!$O$22),"")</f>
        <v/>
      </c>
      <c r="Q48" s="77" t="str">
        <f>IF(AND('Riesgos de gestión'!$Y$23="Muy Baja",'Riesgos de gestión'!$AA$23="Menor"),CONCATENATE("R3C",'Riesgos de gestión'!$O$23),"")</f>
        <v/>
      </c>
      <c r="R48" s="77" t="str">
        <f>IF(AND('Riesgos de gestión'!$Y$24="Muy Baja",'Riesgos de gestión'!$AA$24="Menor"),CONCATENATE("R3C",'Riesgos de gestión'!$O$24),"")</f>
        <v/>
      </c>
      <c r="S48" s="77" t="str">
        <f>IF(AND('Riesgos de gestión'!$Y$25="Muy Baja",'Riesgos de gestión'!$AA$25="Menor"),CONCATENATE("R3C",'Riesgos de gestión'!$O$25),"")</f>
        <v/>
      </c>
      <c r="T48" s="77" t="str">
        <f>IF(AND('Riesgos de gestión'!$Y$26="Muy Baja",'Riesgos de gestión'!$AA$26="Menor"),CONCATENATE("R3C",'Riesgos de gestión'!$O$26),"")</f>
        <v/>
      </c>
      <c r="U48" s="78" t="str">
        <f>IF(AND('Riesgos de gestión'!$Y$27="Muy Baja",'Riesgos de gestión'!$AA$27="Menor"),CONCATENATE("R3C",'Riesgos de gestión'!$O$27),"")</f>
        <v/>
      </c>
      <c r="V48" s="67" t="str">
        <f>IF(AND('Riesgos de gestión'!$Y$22="Muy Baja",'Riesgos de gestión'!$AA$22="Moderado"),CONCATENATE("R3C",'Riesgos de gestión'!$O$22),"")</f>
        <v/>
      </c>
      <c r="W48" s="68" t="str">
        <f>IF(AND('Riesgos de gestión'!$Y$23="Muy Baja",'Riesgos de gestión'!$AA$23="Moderado"),CONCATENATE("R3C",'Riesgos de gestión'!$O$23),"")</f>
        <v/>
      </c>
      <c r="X48" s="68" t="str">
        <f>IF(AND('Riesgos de gestión'!$Y$24="Muy Baja",'Riesgos de gestión'!$AA$24="Moderado"),CONCATENATE("R3C",'Riesgos de gestión'!$O$24),"")</f>
        <v/>
      </c>
      <c r="Y48" s="68" t="str">
        <f>IF(AND('Riesgos de gestión'!$Y$25="Muy Baja",'Riesgos de gestión'!$AA$25="Moderado"),CONCATENATE("R3C",'Riesgos de gestión'!$O$25),"")</f>
        <v/>
      </c>
      <c r="Z48" s="68" t="str">
        <f>IF(AND('Riesgos de gestión'!$Y$26="Muy Baja",'Riesgos de gestión'!$AA$26="Moderado"),CONCATENATE("R3C",'Riesgos de gestión'!$O$26),"")</f>
        <v/>
      </c>
      <c r="AA48" s="69" t="str">
        <f>IF(AND('Riesgos de gestión'!$Y$27="Muy Baja",'Riesgos de gestión'!$AA$27="Moderado"),CONCATENATE("R3C",'Riesgos de gestión'!$O$27),"")</f>
        <v/>
      </c>
      <c r="AB48" s="52" t="str">
        <f>IF(AND('Riesgos de gestión'!$Y$22="Muy Baja",'Riesgos de gestión'!$AA$22="Mayor"),CONCATENATE("R3C",'Riesgos de gestión'!$O$22),"")</f>
        <v/>
      </c>
      <c r="AC48" s="53" t="str">
        <f>IF(AND('Riesgos de gestión'!$Y$23="Muy Baja",'Riesgos de gestión'!$AA$23="Mayor"),CONCATENATE("R3C",'Riesgos de gestión'!$O$23),"")</f>
        <v/>
      </c>
      <c r="AD48" s="53" t="str">
        <f>IF(AND('Riesgos de gestión'!$Y$24="Muy Baja",'Riesgos de gestión'!$AA$24="Mayor"),CONCATENATE("R3C",'Riesgos de gestión'!$O$24),"")</f>
        <v/>
      </c>
      <c r="AE48" s="53" t="str">
        <f>IF(AND('Riesgos de gestión'!$Y$25="Muy Baja",'Riesgos de gestión'!$AA$25="Mayor"),CONCATENATE("R3C",'Riesgos de gestión'!$O$25),"")</f>
        <v/>
      </c>
      <c r="AF48" s="53" t="str">
        <f>IF(AND('Riesgos de gestión'!$Y$26="Muy Baja",'Riesgos de gestión'!$AA$26="Mayor"),CONCATENATE("R3C",'Riesgos de gestión'!$O$26),"")</f>
        <v/>
      </c>
      <c r="AG48" s="54" t="str">
        <f>IF(AND('Riesgos de gestión'!$Y$27="Muy Baja",'Riesgos de gestión'!$AA$27="Mayor"),CONCATENATE("R3C",'Riesgos de gestión'!$O$27),"")</f>
        <v/>
      </c>
      <c r="AH48" s="55" t="str">
        <f>IF(AND('Riesgos de gestión'!$Y$22="Muy Baja",'Riesgos de gestión'!$AA$22="Catastrófico"),CONCATENATE("R3C",'Riesgos de gestión'!$O$22),"")</f>
        <v/>
      </c>
      <c r="AI48" s="56" t="str">
        <f>IF(AND('Riesgos de gestión'!$Y$23="Muy Baja",'Riesgos de gestión'!$AA$23="Catastrófico"),CONCATENATE("R3C",'Riesgos de gestión'!$O$23),"")</f>
        <v/>
      </c>
      <c r="AJ48" s="56" t="str">
        <f>IF(AND('Riesgos de gestión'!$Y$24="Muy Baja",'Riesgos de gestión'!$AA$24="Catastrófico"),CONCATENATE("R3C",'Riesgos de gestión'!$O$24),"")</f>
        <v/>
      </c>
      <c r="AK48" s="56" t="str">
        <f>IF(AND('Riesgos de gestión'!$Y$25="Muy Baja",'Riesgos de gestión'!$AA$25="Catastrófico"),CONCATENATE("R3C",'Riesgos de gestión'!$O$25),"")</f>
        <v/>
      </c>
      <c r="AL48" s="56" t="str">
        <f>IF(AND('Riesgos de gestión'!$Y$26="Muy Baja",'Riesgos de gestión'!$AA$26="Catastrófico"),CONCATENATE("R3C",'Riesgos de gestión'!$O$26),"")</f>
        <v/>
      </c>
      <c r="AM48" s="57" t="str">
        <f>IF(AND('Riesgos de gestión'!$Y$27="Muy Baja",'Riesgos de gestión'!$AA$27="Catastrófico"),CONCATENATE("R3C",'Riesgos de gestión'!$O$27),"")</f>
        <v/>
      </c>
      <c r="AN48" s="83"/>
      <c r="AO48" s="83"/>
      <c r="AP48" s="83"/>
      <c r="AQ48" s="83"/>
      <c r="AR48" s="83"/>
      <c r="AS48" s="83"/>
      <c r="AT48" s="83"/>
      <c r="AU48" s="83"/>
      <c r="AV48" s="83"/>
      <c r="AW48" s="83"/>
      <c r="AX48" s="83"/>
      <c r="AY48" s="83"/>
      <c r="AZ48" s="83"/>
      <c r="BA48" s="83"/>
      <c r="BB48" s="83"/>
      <c r="BC48" s="83"/>
      <c r="BD48" s="83"/>
      <c r="BE48" s="83"/>
      <c r="BF48" s="83"/>
      <c r="BG48" s="83"/>
      <c r="BH48" s="83"/>
      <c r="BI48" s="83"/>
      <c r="BJ48" s="83"/>
      <c r="BK48" s="83"/>
      <c r="BL48" s="83"/>
      <c r="BM48" s="83"/>
      <c r="BN48" s="83"/>
      <c r="BO48" s="83"/>
      <c r="BP48" s="83"/>
      <c r="BQ48" s="83"/>
      <c r="BR48" s="83"/>
      <c r="BS48" s="83"/>
      <c r="BT48" s="83"/>
      <c r="BU48" s="83"/>
      <c r="BV48" s="83"/>
      <c r="BW48" s="83"/>
      <c r="BX48" s="83"/>
      <c r="BY48" s="83"/>
      <c r="BZ48" s="83"/>
      <c r="CA48" s="83"/>
      <c r="CB48" s="83"/>
    </row>
    <row r="49" spans="1:80" ht="15" customHeight="1" x14ac:dyDescent="0.25">
      <c r="A49" s="83"/>
      <c r="B49" s="1123"/>
      <c r="C49" s="1123"/>
      <c r="D49" s="1124"/>
      <c r="E49" s="1222"/>
      <c r="F49" s="1221"/>
      <c r="G49" s="1221"/>
      <c r="H49" s="1221"/>
      <c r="I49" s="1237"/>
      <c r="J49" s="76" t="str">
        <f>IF(AND('Riesgos de gestión'!$Y$28="Muy Baja",'Riesgos de gestión'!$AA$28="Leve"),CONCATENATE("R4C",'Riesgos de gestión'!$O$28),"")</f>
        <v/>
      </c>
      <c r="K49" s="77" t="str">
        <f>IF(AND('Riesgos de gestión'!$Y$29="Muy Baja",'Riesgos de gestión'!$AA$29="Leve"),CONCATENATE("R4C",'Riesgos de gestión'!$O$29),"")</f>
        <v/>
      </c>
      <c r="L49" s="77" t="str">
        <f>IF(AND('Riesgos de gestión'!$Y$30="Muy Baja",'Riesgos de gestión'!$AA$30="Leve"),CONCATENATE("R4C",'Riesgos de gestión'!$O$30),"")</f>
        <v/>
      </c>
      <c r="M49" s="77" t="str">
        <f>IF(AND('Riesgos de gestión'!$Y$31="Muy Baja",'Riesgos de gestión'!$AA$31="Leve"),CONCATENATE("R4C",'Riesgos de gestión'!$O$31),"")</f>
        <v/>
      </c>
      <c r="N49" s="77" t="str">
        <f>IF(AND('Riesgos de gestión'!$Y$32="Muy Baja",'Riesgos de gestión'!$AA$32="Leve"),CONCATENATE("R4C",'Riesgos de gestión'!$O$32),"")</f>
        <v/>
      </c>
      <c r="O49" s="78" t="str">
        <f>IF(AND('Riesgos de gestión'!$Y$33="Muy Baja",'Riesgos de gestión'!$AA$33="Leve"),CONCATENATE("R4C",'Riesgos de gestión'!$O$33),"")</f>
        <v/>
      </c>
      <c r="P49" s="76" t="str">
        <f>IF(AND('Riesgos de gestión'!$Y$28="Muy Baja",'Riesgos de gestión'!$AA$28="Menor"),CONCATENATE("R4C",'Riesgos de gestión'!$O$28),"")</f>
        <v/>
      </c>
      <c r="Q49" s="77" t="str">
        <f>IF(AND('Riesgos de gestión'!$Y$29="Muy Baja",'Riesgos de gestión'!$AA$29="Menor"),CONCATENATE("R4C",'Riesgos de gestión'!$O$29),"")</f>
        <v/>
      </c>
      <c r="R49" s="77" t="str">
        <f>IF(AND('Riesgos de gestión'!$Y$30="Muy Baja",'Riesgos de gestión'!$AA$30="Menor"),CONCATENATE("R4C",'Riesgos de gestión'!$O$30),"")</f>
        <v/>
      </c>
      <c r="S49" s="77" t="str">
        <f>IF(AND('Riesgos de gestión'!$Y$31="Muy Baja",'Riesgos de gestión'!$AA$31="Menor"),CONCATENATE("R4C",'Riesgos de gestión'!$O$31),"")</f>
        <v/>
      </c>
      <c r="T49" s="77" t="str">
        <f>IF(AND('Riesgos de gestión'!$Y$32="Muy Baja",'Riesgos de gestión'!$AA$32="Menor"),CONCATENATE("R4C",'Riesgos de gestión'!$O$32),"")</f>
        <v/>
      </c>
      <c r="U49" s="78" t="str">
        <f>IF(AND('Riesgos de gestión'!$Y$33="Muy Baja",'Riesgos de gestión'!$AA$33="Menor"),CONCATENATE("R4C",'Riesgos de gestión'!$O$33),"")</f>
        <v/>
      </c>
      <c r="V49" s="67" t="str">
        <f>IF(AND('Riesgos de gestión'!$Y$28="Muy Baja",'Riesgos de gestión'!$AA$28="Moderado"),CONCATENATE("R4C",'Riesgos de gestión'!$O$28),"")</f>
        <v/>
      </c>
      <c r="W49" s="68" t="str">
        <f>IF(AND('Riesgos de gestión'!$Y$29="Muy Baja",'Riesgos de gestión'!$AA$29="Moderado"),CONCATENATE("R4C",'Riesgos de gestión'!$O$29),"")</f>
        <v/>
      </c>
      <c r="X49" s="68" t="str">
        <f>IF(AND('Riesgos de gestión'!$Y$30="Muy Baja",'Riesgos de gestión'!$AA$30="Moderado"),CONCATENATE("R4C",'Riesgos de gestión'!$O$30),"")</f>
        <v/>
      </c>
      <c r="Y49" s="68" t="str">
        <f>IF(AND('Riesgos de gestión'!$Y$31="Muy Baja",'Riesgos de gestión'!$AA$31="Moderado"),CONCATENATE("R4C",'Riesgos de gestión'!$O$31),"")</f>
        <v/>
      </c>
      <c r="Z49" s="68" t="str">
        <f>IF(AND('Riesgos de gestión'!$Y$32="Muy Baja",'Riesgos de gestión'!$AA$32="Moderado"),CONCATENATE("R4C",'Riesgos de gestión'!$O$32),"")</f>
        <v/>
      </c>
      <c r="AA49" s="69" t="str">
        <f>IF(AND('Riesgos de gestión'!$Y$33="Muy Baja",'Riesgos de gestión'!$AA$33="Moderado"),CONCATENATE("R4C",'Riesgos de gestión'!$O$33),"")</f>
        <v/>
      </c>
      <c r="AB49" s="52" t="str">
        <f>IF(AND('Riesgos de gestión'!$Y$28="Muy Baja",'Riesgos de gestión'!$AA$28="Mayor"),CONCATENATE("R4C",'Riesgos de gestión'!$O$28),"")</f>
        <v/>
      </c>
      <c r="AC49" s="53" t="str">
        <f>IF(AND('Riesgos de gestión'!$Y$29="Muy Baja",'Riesgos de gestión'!$AA$29="Mayor"),CONCATENATE("R4C",'Riesgos de gestión'!$O$29),"")</f>
        <v/>
      </c>
      <c r="AD49" s="53" t="str">
        <f>IF(AND('Riesgos de gestión'!$Y$30="Muy Baja",'Riesgos de gestión'!$AA$30="Mayor"),CONCATENATE("R4C",'Riesgos de gestión'!$O$30),"")</f>
        <v/>
      </c>
      <c r="AE49" s="53" t="str">
        <f>IF(AND('Riesgos de gestión'!$Y$31="Muy Baja",'Riesgos de gestión'!$AA$31="Mayor"),CONCATENATE("R4C",'Riesgos de gestión'!$O$31),"")</f>
        <v/>
      </c>
      <c r="AF49" s="53" t="str">
        <f>IF(AND('Riesgos de gestión'!$Y$32="Muy Baja",'Riesgos de gestión'!$AA$32="Mayor"),CONCATENATE("R4C",'Riesgos de gestión'!$O$32),"")</f>
        <v/>
      </c>
      <c r="AG49" s="54" t="str">
        <f>IF(AND('Riesgos de gestión'!$Y$33="Muy Baja",'Riesgos de gestión'!$AA$33="Mayor"),CONCATENATE("R4C",'Riesgos de gestión'!$O$33),"")</f>
        <v/>
      </c>
      <c r="AH49" s="55" t="str">
        <f>IF(AND('Riesgos de gestión'!$Y$28="Muy Baja",'Riesgos de gestión'!$AA$28="Catastrófico"),CONCATENATE("R4C",'Riesgos de gestión'!$O$28),"")</f>
        <v/>
      </c>
      <c r="AI49" s="56" t="str">
        <f>IF(AND('Riesgos de gestión'!$Y$29="Muy Baja",'Riesgos de gestión'!$AA$29="Catastrófico"),CONCATENATE("R4C",'Riesgos de gestión'!$O$29),"")</f>
        <v/>
      </c>
      <c r="AJ49" s="56" t="str">
        <f>IF(AND('Riesgos de gestión'!$Y$30="Muy Baja",'Riesgos de gestión'!$AA$30="Catastrófico"),CONCATENATE("R4C",'Riesgos de gestión'!$O$30),"")</f>
        <v/>
      </c>
      <c r="AK49" s="56" t="str">
        <f>IF(AND('Riesgos de gestión'!$Y$31="Muy Baja",'Riesgos de gestión'!$AA$31="Catastrófico"),CONCATENATE("R4C",'Riesgos de gestión'!$O$31),"")</f>
        <v/>
      </c>
      <c r="AL49" s="56" t="str">
        <f>IF(AND('Riesgos de gestión'!$Y$32="Muy Baja",'Riesgos de gestión'!$AA$32="Catastrófico"),CONCATENATE("R4C",'Riesgos de gestión'!$O$32),"")</f>
        <v/>
      </c>
      <c r="AM49" s="57" t="str">
        <f>IF(AND('Riesgos de gestión'!$Y$33="Muy Baja",'Riesgos de gestión'!$AA$33="Catastrófico"),CONCATENATE("R4C",'Riesgos de gestión'!$O$33),"")</f>
        <v/>
      </c>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row>
    <row r="50" spans="1:80" ht="15" customHeight="1" x14ac:dyDescent="0.25">
      <c r="A50" s="83"/>
      <c r="B50" s="1123"/>
      <c r="C50" s="1123"/>
      <c r="D50" s="1124"/>
      <c r="E50" s="1222"/>
      <c r="F50" s="1221"/>
      <c r="G50" s="1221"/>
      <c r="H50" s="1221"/>
      <c r="I50" s="1237"/>
      <c r="J50" s="76" t="str">
        <f>IF(AND('Riesgos de gestión'!$Y$34="Muy Baja",'Riesgos de gestión'!$AA$34="Leve"),CONCATENATE("R5C",'Riesgos de gestión'!$O$34),"")</f>
        <v/>
      </c>
      <c r="K50" s="77" t="str">
        <f>IF(AND('Riesgos de gestión'!$Y$35="Muy Baja",'Riesgos de gestión'!$AA$35="Leve"),CONCATENATE("R5C",'Riesgos de gestión'!$O$35),"")</f>
        <v/>
      </c>
      <c r="L50" s="77" t="str">
        <f>IF(AND('Riesgos de gestión'!$Y$36="Muy Baja",'Riesgos de gestión'!$AA$36="Leve"),CONCATENATE("R5C",'Riesgos de gestión'!$O$36),"")</f>
        <v/>
      </c>
      <c r="M50" s="77" t="str">
        <f>IF(AND('Riesgos de gestión'!$Y$37="Muy Baja",'Riesgos de gestión'!$AA$37="Leve"),CONCATENATE("R5C",'Riesgos de gestión'!$O$37),"")</f>
        <v/>
      </c>
      <c r="N50" s="77" t="str">
        <f>IF(AND('Riesgos de gestión'!$Y$38="Muy Baja",'Riesgos de gestión'!$AA$38="Leve"),CONCATENATE("R5C",'Riesgos de gestión'!$O$38),"")</f>
        <v/>
      </c>
      <c r="O50" s="78" t="str">
        <f>IF(AND('Riesgos de gestión'!$Y$39="Muy Baja",'Riesgos de gestión'!$AA$39="Leve"),CONCATENATE("R5C",'Riesgos de gestión'!$O$39),"")</f>
        <v/>
      </c>
      <c r="P50" s="76" t="str">
        <f>IF(AND('Riesgos de gestión'!$Y$34="Muy Baja",'Riesgos de gestión'!$AA$34="Menor"),CONCATENATE("R5C",'Riesgos de gestión'!$O$34),"")</f>
        <v/>
      </c>
      <c r="Q50" s="77" t="str">
        <f>IF(AND('Riesgos de gestión'!$Y$35="Muy Baja",'Riesgos de gestión'!$AA$35="Menor"),CONCATENATE("R5C",'Riesgos de gestión'!$O$35),"")</f>
        <v/>
      </c>
      <c r="R50" s="77" t="str">
        <f>IF(AND('Riesgos de gestión'!$Y$36="Muy Baja",'Riesgos de gestión'!$AA$36="Menor"),CONCATENATE("R5C",'Riesgos de gestión'!$O$36),"")</f>
        <v/>
      </c>
      <c r="S50" s="77" t="str">
        <f>IF(AND('Riesgos de gestión'!$Y$37="Muy Baja",'Riesgos de gestión'!$AA$37="Menor"),CONCATENATE("R5C",'Riesgos de gestión'!$O$37),"")</f>
        <v/>
      </c>
      <c r="T50" s="77" t="str">
        <f>IF(AND('Riesgos de gestión'!$Y$38="Muy Baja",'Riesgos de gestión'!$AA$38="Menor"),CONCATENATE("R5C",'Riesgos de gestión'!$O$38),"")</f>
        <v/>
      </c>
      <c r="U50" s="78" t="str">
        <f>IF(AND('Riesgos de gestión'!$Y$39="Muy Baja",'Riesgos de gestión'!$AA$39="Menor"),CONCATENATE("R5C",'Riesgos de gestión'!$O$39),"")</f>
        <v/>
      </c>
      <c r="V50" s="67" t="str">
        <f>IF(AND('Riesgos de gestión'!$Y$34="Muy Baja",'Riesgos de gestión'!$AA$34="Moderado"),CONCATENATE("R5C",'Riesgos de gestión'!$O$34),"")</f>
        <v/>
      </c>
      <c r="W50" s="68" t="str">
        <f>IF(AND('Riesgos de gestión'!$Y$35="Muy Baja",'Riesgos de gestión'!$AA$35="Moderado"),CONCATENATE("R5C",'Riesgos de gestión'!$O$35),"")</f>
        <v/>
      </c>
      <c r="X50" s="68" t="str">
        <f>IF(AND('Riesgos de gestión'!$Y$36="Muy Baja",'Riesgos de gestión'!$AA$36="Moderado"),CONCATENATE("R5C",'Riesgos de gestión'!$O$36),"")</f>
        <v/>
      </c>
      <c r="Y50" s="68" t="str">
        <f>IF(AND('Riesgos de gestión'!$Y$37="Muy Baja",'Riesgos de gestión'!$AA$37="Moderado"),CONCATENATE("R5C",'Riesgos de gestión'!$O$37),"")</f>
        <v/>
      </c>
      <c r="Z50" s="68" t="str">
        <f>IF(AND('Riesgos de gestión'!$Y$38="Muy Baja",'Riesgos de gestión'!$AA$38="Moderado"),CONCATENATE("R5C",'Riesgos de gestión'!$O$38),"")</f>
        <v/>
      </c>
      <c r="AA50" s="69" t="str">
        <f>IF(AND('Riesgos de gestión'!$Y$39="Muy Baja",'Riesgos de gestión'!$AA$39="Moderado"),CONCATENATE("R5C",'Riesgos de gestión'!$O$39),"")</f>
        <v/>
      </c>
      <c r="AB50" s="52" t="str">
        <f>IF(AND('Riesgos de gestión'!$Y$34="Muy Baja",'Riesgos de gestión'!$AA$34="Mayor"),CONCATENATE("R5C",'Riesgos de gestión'!$O$34),"")</f>
        <v/>
      </c>
      <c r="AC50" s="53" t="str">
        <f>IF(AND('Riesgos de gestión'!$Y$35="Muy Baja",'Riesgos de gestión'!$AA$35="Mayor"),CONCATENATE("R5C",'Riesgos de gestión'!$O$35),"")</f>
        <v/>
      </c>
      <c r="AD50" s="53" t="str">
        <f>IF(AND('Riesgos de gestión'!$Y$36="Muy Baja",'Riesgos de gestión'!$AA$36="Mayor"),CONCATENATE("R5C",'Riesgos de gestión'!$O$36),"")</f>
        <v/>
      </c>
      <c r="AE50" s="53" t="str">
        <f>IF(AND('Riesgos de gestión'!$Y$37="Muy Baja",'Riesgos de gestión'!$AA$37="Mayor"),CONCATENATE("R5C",'Riesgos de gestión'!$O$37),"")</f>
        <v/>
      </c>
      <c r="AF50" s="53" t="str">
        <f>IF(AND('Riesgos de gestión'!$Y$38="Muy Baja",'Riesgos de gestión'!$AA$38="Mayor"),CONCATENATE("R5C",'Riesgos de gestión'!$O$38),"")</f>
        <v/>
      </c>
      <c r="AG50" s="54" t="str">
        <f>IF(AND('Riesgos de gestión'!$Y$39="Muy Baja",'Riesgos de gestión'!$AA$39="Mayor"),CONCATENATE("R5C",'Riesgos de gestión'!$O$39),"")</f>
        <v/>
      </c>
      <c r="AH50" s="55" t="str">
        <f>IF(AND('Riesgos de gestión'!$Y$34="Muy Baja",'Riesgos de gestión'!$AA$34="Catastrófico"),CONCATENATE("R5C",'Riesgos de gestión'!$O$34),"")</f>
        <v/>
      </c>
      <c r="AI50" s="56" t="str">
        <f>IF(AND('Riesgos de gestión'!$Y$35="Muy Baja",'Riesgos de gestión'!$AA$35="Catastrófico"),CONCATENATE("R5C",'Riesgos de gestión'!$O$35),"")</f>
        <v/>
      </c>
      <c r="AJ50" s="56" t="str">
        <f>IF(AND('Riesgos de gestión'!$Y$36="Muy Baja",'Riesgos de gestión'!$AA$36="Catastrófico"),CONCATENATE("R5C",'Riesgos de gestión'!$O$36),"")</f>
        <v/>
      </c>
      <c r="AK50" s="56" t="str">
        <f>IF(AND('Riesgos de gestión'!$Y$37="Muy Baja",'Riesgos de gestión'!$AA$37="Catastrófico"),CONCATENATE("R5C",'Riesgos de gestión'!$O$37),"")</f>
        <v/>
      </c>
      <c r="AL50" s="56" t="str">
        <f>IF(AND('Riesgos de gestión'!$Y$38="Muy Baja",'Riesgos de gestión'!$AA$38="Catastrófico"),CONCATENATE("R5C",'Riesgos de gestión'!$O$38),"")</f>
        <v/>
      </c>
      <c r="AM50" s="57" t="str">
        <f>IF(AND('Riesgos de gestión'!$Y$39="Muy Baja",'Riesgos de gestión'!$AA$39="Catastrófico"),CONCATENATE("R5C",'Riesgos de gestión'!$O$39),"")</f>
        <v/>
      </c>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row>
    <row r="51" spans="1:80" ht="15" customHeight="1" x14ac:dyDescent="0.25">
      <c r="A51" s="83"/>
      <c r="B51" s="1123"/>
      <c r="C51" s="1123"/>
      <c r="D51" s="1124"/>
      <c r="E51" s="1222"/>
      <c r="F51" s="1221"/>
      <c r="G51" s="1221"/>
      <c r="H51" s="1221"/>
      <c r="I51" s="1237"/>
      <c r="J51" s="76" t="str">
        <f>IF(AND('Riesgos de gestión'!$Y$40="Muy Baja",'Riesgos de gestión'!$AA$40="Leve"),CONCATENATE("R6C",'Riesgos de gestión'!$O$40),"")</f>
        <v/>
      </c>
      <c r="K51" s="77" t="str">
        <f>IF(AND('Riesgos de gestión'!$Y$41="Muy Baja",'Riesgos de gestión'!$AA$41="Leve"),CONCATENATE("R6C",'Riesgos de gestión'!$O$41),"")</f>
        <v/>
      </c>
      <c r="L51" s="77" t="str">
        <f>IF(AND('Riesgos de gestión'!$Y$42="Muy Baja",'Riesgos de gestión'!$AA$42="Leve"),CONCATENATE("R6C",'Riesgos de gestión'!$O$42),"")</f>
        <v/>
      </c>
      <c r="M51" s="77" t="str">
        <f>IF(AND('Riesgos de gestión'!$Y$43="Muy Baja",'Riesgos de gestión'!$AA$43="Leve"),CONCATENATE("R6C",'Riesgos de gestión'!$O$43),"")</f>
        <v/>
      </c>
      <c r="N51" s="77" t="str">
        <f>IF(AND('Riesgos de gestión'!$Y$44="Muy Baja",'Riesgos de gestión'!$AA$44="Leve"),CONCATENATE("R6C",'Riesgos de gestión'!$O$44),"")</f>
        <v/>
      </c>
      <c r="O51" s="78" t="str">
        <f>IF(AND('Riesgos de gestión'!$Y$45="Muy Baja",'Riesgos de gestión'!$AA$45="Leve"),CONCATENATE("R6C",'Riesgos de gestión'!$O$45),"")</f>
        <v/>
      </c>
      <c r="P51" s="76" t="str">
        <f>IF(AND('Riesgos de gestión'!$Y$40="Muy Baja",'Riesgos de gestión'!$AA$40="Menor"),CONCATENATE("R6C",'Riesgos de gestión'!$O$40),"")</f>
        <v/>
      </c>
      <c r="Q51" s="77" t="str">
        <f>IF(AND('Riesgos de gestión'!$Y$41="Muy Baja",'Riesgos de gestión'!$AA$41="Menor"),CONCATENATE("R6C",'Riesgos de gestión'!$O$41),"")</f>
        <v/>
      </c>
      <c r="R51" s="77" t="str">
        <f>IF(AND('Riesgos de gestión'!$Y$42="Muy Baja",'Riesgos de gestión'!$AA$42="Menor"),CONCATENATE("R6C",'Riesgos de gestión'!$O$42),"")</f>
        <v/>
      </c>
      <c r="S51" s="77" t="str">
        <f>IF(AND('Riesgos de gestión'!$Y$43="Muy Baja",'Riesgos de gestión'!$AA$43="Menor"),CONCATENATE("R6C",'Riesgos de gestión'!$O$43),"")</f>
        <v/>
      </c>
      <c r="T51" s="77" t="str">
        <f>IF(AND('Riesgos de gestión'!$Y$44="Muy Baja",'Riesgos de gestión'!$AA$44="Menor"),CONCATENATE("R6C",'Riesgos de gestión'!$O$44),"")</f>
        <v/>
      </c>
      <c r="U51" s="78" t="str">
        <f>IF(AND('Riesgos de gestión'!$Y$45="Muy Baja",'Riesgos de gestión'!$AA$45="Menor"),CONCATENATE("R6C",'Riesgos de gestión'!$O$45),"")</f>
        <v/>
      </c>
      <c r="V51" s="67" t="str">
        <f>IF(AND('Riesgos de gestión'!$Y$40="Muy Baja",'Riesgos de gestión'!$AA$40="Moderado"),CONCATENATE("R6C",'Riesgos de gestión'!$O$40),"")</f>
        <v/>
      </c>
      <c r="W51" s="68" t="str">
        <f>IF(AND('Riesgos de gestión'!$Y$41="Muy Baja",'Riesgos de gestión'!$AA$41="Moderado"),CONCATENATE("R6C",'Riesgos de gestión'!$O$41),"")</f>
        <v/>
      </c>
      <c r="X51" s="68" t="str">
        <f>IF(AND('Riesgos de gestión'!$Y$42="Muy Baja",'Riesgos de gestión'!$AA$42="Moderado"),CONCATENATE("R6C",'Riesgos de gestión'!$O$42),"")</f>
        <v/>
      </c>
      <c r="Y51" s="68" t="str">
        <f>IF(AND('Riesgos de gestión'!$Y$43="Muy Baja",'Riesgos de gestión'!$AA$43="Moderado"),CONCATENATE("R6C",'Riesgos de gestión'!$O$43),"")</f>
        <v/>
      </c>
      <c r="Z51" s="68" t="str">
        <f>IF(AND('Riesgos de gestión'!$Y$44="Muy Baja",'Riesgos de gestión'!$AA$44="Moderado"),CONCATENATE("R6C",'Riesgos de gestión'!$O$44),"")</f>
        <v/>
      </c>
      <c r="AA51" s="69" t="str">
        <f>IF(AND('Riesgos de gestión'!$Y$45="Muy Baja",'Riesgos de gestión'!$AA$45="Moderado"),CONCATENATE("R6C",'Riesgos de gestión'!$O$45),"")</f>
        <v/>
      </c>
      <c r="AB51" s="52" t="str">
        <f>IF(AND('Riesgos de gestión'!$Y$40="Muy Baja",'Riesgos de gestión'!$AA$40="Mayor"),CONCATENATE("R6C",'Riesgos de gestión'!$O$40),"")</f>
        <v/>
      </c>
      <c r="AC51" s="53" t="str">
        <f>IF(AND('Riesgos de gestión'!$Y$41="Muy Baja",'Riesgos de gestión'!$AA$41="Mayor"),CONCATENATE("R6C",'Riesgos de gestión'!$O$41),"")</f>
        <v/>
      </c>
      <c r="AD51" s="53" t="str">
        <f>IF(AND('Riesgos de gestión'!$Y$42="Muy Baja",'Riesgos de gestión'!$AA$42="Mayor"),CONCATENATE("R6C",'Riesgos de gestión'!$O$42),"")</f>
        <v/>
      </c>
      <c r="AE51" s="53" t="str">
        <f>IF(AND('Riesgos de gestión'!$Y$43="Muy Baja",'Riesgos de gestión'!$AA$43="Mayor"),CONCATENATE("R6C",'Riesgos de gestión'!$O$43),"")</f>
        <v/>
      </c>
      <c r="AF51" s="53" t="str">
        <f>IF(AND('Riesgos de gestión'!$Y$44="Muy Baja",'Riesgos de gestión'!$AA$44="Mayor"),CONCATENATE("R6C",'Riesgos de gestión'!$O$44),"")</f>
        <v/>
      </c>
      <c r="AG51" s="54" t="str">
        <f>IF(AND('Riesgos de gestión'!$Y$45="Muy Baja",'Riesgos de gestión'!$AA$45="Mayor"),CONCATENATE("R6C",'Riesgos de gestión'!$O$45),"")</f>
        <v/>
      </c>
      <c r="AH51" s="55" t="str">
        <f>IF(AND('Riesgos de gestión'!$Y$40="Muy Baja",'Riesgos de gestión'!$AA$40="Catastrófico"),CONCATENATE("R6C",'Riesgos de gestión'!$O$40),"")</f>
        <v/>
      </c>
      <c r="AI51" s="56" t="str">
        <f>IF(AND('Riesgos de gestión'!$Y$41="Muy Baja",'Riesgos de gestión'!$AA$41="Catastrófico"),CONCATENATE("R6C",'Riesgos de gestión'!$O$41),"")</f>
        <v/>
      </c>
      <c r="AJ51" s="56" t="str">
        <f>IF(AND('Riesgos de gestión'!$Y$42="Muy Baja",'Riesgos de gestión'!$AA$42="Catastrófico"),CONCATENATE("R6C",'Riesgos de gestión'!$O$42),"")</f>
        <v/>
      </c>
      <c r="AK51" s="56" t="str">
        <f>IF(AND('Riesgos de gestión'!$Y$43="Muy Baja",'Riesgos de gestión'!$AA$43="Catastrófico"),CONCATENATE("R6C",'Riesgos de gestión'!$O$43),"")</f>
        <v/>
      </c>
      <c r="AL51" s="56" t="str">
        <f>IF(AND('Riesgos de gestión'!$Y$44="Muy Baja",'Riesgos de gestión'!$AA$44="Catastrófico"),CONCATENATE("R6C",'Riesgos de gestión'!$O$44),"")</f>
        <v/>
      </c>
      <c r="AM51" s="57" t="str">
        <f>IF(AND('Riesgos de gestión'!$Y$45="Muy Baja",'Riesgos de gestión'!$AA$45="Catastrófico"),CONCATENATE("R6C",'Riesgos de gestión'!$O$45),"")</f>
        <v/>
      </c>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row>
    <row r="52" spans="1:80" ht="15" customHeight="1" x14ac:dyDescent="0.25">
      <c r="A52" s="83"/>
      <c r="B52" s="1123"/>
      <c r="C52" s="1123"/>
      <c r="D52" s="1124"/>
      <c r="E52" s="1222"/>
      <c r="F52" s="1221"/>
      <c r="G52" s="1221"/>
      <c r="H52" s="1221"/>
      <c r="I52" s="1237"/>
      <c r="J52" s="76" t="str">
        <f>IF(AND('Riesgos de gestión'!$Y$46="Muy Baja",'Riesgos de gestión'!$AA$46="Leve"),CONCATENATE("R7C",'Riesgos de gestión'!$O$46),"")</f>
        <v/>
      </c>
      <c r="K52" s="77" t="str">
        <f>IF(AND('Riesgos de gestión'!$Y$47="Muy Baja",'Riesgos de gestión'!$AA$47="Leve"),CONCATENATE("R7C",'Riesgos de gestión'!$O$47),"")</f>
        <v/>
      </c>
      <c r="L52" s="77" t="str">
        <f>IF(AND('Riesgos de gestión'!$Y$48="Muy Baja",'Riesgos de gestión'!$AA$48="Leve"),CONCATENATE("R7C",'Riesgos de gestión'!$O$48),"")</f>
        <v/>
      </c>
      <c r="M52" s="77" t="str">
        <f>IF(AND('Riesgos de gestión'!$Y$49="Muy Baja",'Riesgos de gestión'!$AA$49="Leve"),CONCATENATE("R7C",'Riesgos de gestión'!$O$49),"")</f>
        <v/>
      </c>
      <c r="N52" s="77" t="str">
        <f>IF(AND('Riesgos de gestión'!$Y$50="Muy Baja",'Riesgos de gestión'!$AA$50="Leve"),CONCATENATE("R7C",'Riesgos de gestión'!$O$50),"")</f>
        <v/>
      </c>
      <c r="O52" s="78" t="str">
        <f>IF(AND('Riesgos de gestión'!$Y$51="Muy Baja",'Riesgos de gestión'!$AA$51="Leve"),CONCATENATE("R7C",'Riesgos de gestión'!$O$51),"")</f>
        <v/>
      </c>
      <c r="P52" s="76" t="str">
        <f>IF(AND('Riesgos de gestión'!$Y$46="Muy Baja",'Riesgos de gestión'!$AA$46="Menor"),CONCATENATE("R7C",'Riesgos de gestión'!$O$46),"")</f>
        <v/>
      </c>
      <c r="Q52" s="77" t="str">
        <f>IF(AND('Riesgos de gestión'!$Y$47="Muy Baja",'Riesgos de gestión'!$AA$47="Menor"),CONCATENATE("R7C",'Riesgos de gestión'!$O$47),"")</f>
        <v/>
      </c>
      <c r="R52" s="77" t="str">
        <f>IF(AND('Riesgos de gestión'!$Y$48="Muy Baja",'Riesgos de gestión'!$AA$48="Menor"),CONCATENATE("R7C",'Riesgos de gestión'!$O$48),"")</f>
        <v/>
      </c>
      <c r="S52" s="77" t="str">
        <f>IF(AND('Riesgos de gestión'!$Y$49="Muy Baja",'Riesgos de gestión'!$AA$49="Menor"),CONCATENATE("R7C",'Riesgos de gestión'!$O$49),"")</f>
        <v/>
      </c>
      <c r="T52" s="77" t="str">
        <f>IF(AND('Riesgos de gestión'!$Y$50="Muy Baja",'Riesgos de gestión'!$AA$50="Menor"),CONCATENATE("R7C",'Riesgos de gestión'!$O$50),"")</f>
        <v/>
      </c>
      <c r="U52" s="78" t="str">
        <f>IF(AND('Riesgos de gestión'!$Y$51="Muy Baja",'Riesgos de gestión'!$AA$51="Menor"),CONCATENATE("R7C",'Riesgos de gestión'!$O$51),"")</f>
        <v/>
      </c>
      <c r="V52" s="67" t="str">
        <f>IF(AND('Riesgos de gestión'!$Y$46="Muy Baja",'Riesgos de gestión'!$AA$46="Moderado"),CONCATENATE("R7C",'Riesgos de gestión'!$O$46),"")</f>
        <v/>
      </c>
      <c r="W52" s="68" t="str">
        <f>IF(AND('Riesgos de gestión'!$Y$47="Muy Baja",'Riesgos de gestión'!$AA$47="Moderado"),CONCATENATE("R7C",'Riesgos de gestión'!$O$47),"")</f>
        <v/>
      </c>
      <c r="X52" s="68" t="str">
        <f>IF(AND('Riesgos de gestión'!$Y$48="Muy Baja",'Riesgos de gestión'!$AA$48="Moderado"),CONCATENATE("R7C",'Riesgos de gestión'!$O$48),"")</f>
        <v/>
      </c>
      <c r="Y52" s="68" t="str">
        <f>IF(AND('Riesgos de gestión'!$Y$49="Muy Baja",'Riesgos de gestión'!$AA$49="Moderado"),CONCATENATE("R7C",'Riesgos de gestión'!$O$49),"")</f>
        <v/>
      </c>
      <c r="Z52" s="68" t="str">
        <f>IF(AND('Riesgos de gestión'!$Y$50="Muy Baja",'Riesgos de gestión'!$AA$50="Moderado"),CONCATENATE("R7C",'Riesgos de gestión'!$O$50),"")</f>
        <v/>
      </c>
      <c r="AA52" s="69" t="str">
        <f>IF(AND('Riesgos de gestión'!$Y$51="Muy Baja",'Riesgos de gestión'!$AA$51="Moderado"),CONCATENATE("R7C",'Riesgos de gestión'!$O$51),"")</f>
        <v/>
      </c>
      <c r="AB52" s="52" t="str">
        <f>IF(AND('Riesgos de gestión'!$Y$46="Muy Baja",'Riesgos de gestión'!$AA$46="Mayor"),CONCATENATE("R7C",'Riesgos de gestión'!$O$46),"")</f>
        <v/>
      </c>
      <c r="AC52" s="53" t="str">
        <f>IF(AND('Riesgos de gestión'!$Y$47="Muy Baja",'Riesgos de gestión'!$AA$47="Mayor"),CONCATENATE("R7C",'Riesgos de gestión'!$O$47),"")</f>
        <v/>
      </c>
      <c r="AD52" s="53" t="str">
        <f>IF(AND('Riesgos de gestión'!$Y$48="Muy Baja",'Riesgos de gestión'!$AA$48="Mayor"),CONCATENATE("R7C",'Riesgos de gestión'!$O$48),"")</f>
        <v/>
      </c>
      <c r="AE52" s="53" t="str">
        <f>IF(AND('Riesgos de gestión'!$Y$49="Muy Baja",'Riesgos de gestión'!$AA$49="Mayor"),CONCATENATE("R7C",'Riesgos de gestión'!$O$49),"")</f>
        <v/>
      </c>
      <c r="AF52" s="53" t="str">
        <f>IF(AND('Riesgos de gestión'!$Y$50="Muy Baja",'Riesgos de gestión'!$AA$50="Mayor"),CONCATENATE("R7C",'Riesgos de gestión'!$O$50),"")</f>
        <v/>
      </c>
      <c r="AG52" s="54" t="str">
        <f>IF(AND('Riesgos de gestión'!$Y$51="Muy Baja",'Riesgos de gestión'!$AA$51="Mayor"),CONCATENATE("R7C",'Riesgos de gestión'!$O$51),"")</f>
        <v/>
      </c>
      <c r="AH52" s="55" t="str">
        <f>IF(AND('Riesgos de gestión'!$Y$46="Muy Baja",'Riesgos de gestión'!$AA$46="Catastrófico"),CONCATENATE("R7C",'Riesgos de gestión'!$O$46),"")</f>
        <v/>
      </c>
      <c r="AI52" s="56" t="str">
        <f>IF(AND('Riesgos de gestión'!$Y$47="Muy Baja",'Riesgos de gestión'!$AA$47="Catastrófico"),CONCATENATE("R7C",'Riesgos de gestión'!$O$47),"")</f>
        <v/>
      </c>
      <c r="AJ52" s="56" t="str">
        <f>IF(AND('Riesgos de gestión'!$Y$48="Muy Baja",'Riesgos de gestión'!$AA$48="Catastrófico"),CONCATENATE("R7C",'Riesgos de gestión'!$O$48),"")</f>
        <v/>
      </c>
      <c r="AK52" s="56" t="str">
        <f>IF(AND('Riesgos de gestión'!$Y$49="Muy Baja",'Riesgos de gestión'!$AA$49="Catastrófico"),CONCATENATE("R7C",'Riesgos de gestión'!$O$49),"")</f>
        <v/>
      </c>
      <c r="AL52" s="56" t="str">
        <f>IF(AND('Riesgos de gestión'!$Y$50="Muy Baja",'Riesgos de gestión'!$AA$50="Catastrófico"),CONCATENATE("R7C",'Riesgos de gestión'!$O$50),"")</f>
        <v/>
      </c>
      <c r="AM52" s="57" t="str">
        <f>IF(AND('Riesgos de gestión'!$Y$51="Muy Baja",'Riesgos de gestión'!$AA$51="Catastrófico"),CONCATENATE("R7C",'Riesgos de gestión'!$O$51),"")</f>
        <v/>
      </c>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row>
    <row r="53" spans="1:80" ht="15" customHeight="1" x14ac:dyDescent="0.25">
      <c r="A53" s="83"/>
      <c r="B53" s="1123"/>
      <c r="C53" s="1123"/>
      <c r="D53" s="1124"/>
      <c r="E53" s="1222"/>
      <c r="F53" s="1221"/>
      <c r="G53" s="1221"/>
      <c r="H53" s="1221"/>
      <c r="I53" s="1237"/>
      <c r="J53" s="76" t="str">
        <f>IF(AND('Riesgos de gestión'!$Y$52="Muy Baja",'Riesgos de gestión'!$AA$52="Leve"),CONCATENATE("R8C",'Riesgos de gestión'!$O$52),"")</f>
        <v/>
      </c>
      <c r="K53" s="77" t="str">
        <f>IF(AND('Riesgos de gestión'!$Y$53="Muy Baja",'Riesgos de gestión'!$AA$53="Leve"),CONCATENATE("R8C",'Riesgos de gestión'!$O$53),"")</f>
        <v/>
      </c>
      <c r="L53" s="77" t="str">
        <f>IF(AND('Riesgos de gestión'!$Y$54="Muy Baja",'Riesgos de gestión'!$AA$54="Leve"),CONCATENATE("R8C",'Riesgos de gestión'!$O$54),"")</f>
        <v/>
      </c>
      <c r="M53" s="77" t="str">
        <f>IF(AND('Riesgos de gestión'!$Y$55="Muy Baja",'Riesgos de gestión'!$AA$55="Leve"),CONCATENATE("R8C",'Riesgos de gestión'!$O$55),"")</f>
        <v/>
      </c>
      <c r="N53" s="77" t="str">
        <f>IF(AND('Riesgos de gestión'!$Y$56="Muy Baja",'Riesgos de gestión'!$AA$56="Leve"),CONCATENATE("R8C",'Riesgos de gestión'!$O$56),"")</f>
        <v/>
      </c>
      <c r="O53" s="78" t="str">
        <f>IF(AND('Riesgos de gestión'!$Y$57="Muy Baja",'Riesgos de gestión'!$AA$57="Leve"),CONCATENATE("R8C",'Riesgos de gestión'!$O$57),"")</f>
        <v/>
      </c>
      <c r="P53" s="76" t="str">
        <f>IF(AND('Riesgos de gestión'!$Y$52="Muy Baja",'Riesgos de gestión'!$AA$52="Menor"),CONCATENATE("R8C",'Riesgos de gestión'!$O$52),"")</f>
        <v/>
      </c>
      <c r="Q53" s="77" t="str">
        <f>IF(AND('Riesgos de gestión'!$Y$53="Muy Baja",'Riesgos de gestión'!$AA$53="Menor"),CONCATENATE("R8C",'Riesgos de gestión'!$O$53),"")</f>
        <v/>
      </c>
      <c r="R53" s="77" t="str">
        <f>IF(AND('Riesgos de gestión'!$Y$54="Muy Baja",'Riesgos de gestión'!$AA$54="Menor"),CONCATENATE("R8C",'Riesgos de gestión'!$O$54),"")</f>
        <v/>
      </c>
      <c r="S53" s="77" t="str">
        <f>IF(AND('Riesgos de gestión'!$Y$55="Muy Baja",'Riesgos de gestión'!$AA$55="Menor"),CONCATENATE("R8C",'Riesgos de gestión'!$O$55),"")</f>
        <v/>
      </c>
      <c r="T53" s="77" t="str">
        <f>IF(AND('Riesgos de gestión'!$Y$56="Muy Baja",'Riesgos de gestión'!$AA$56="Menor"),CONCATENATE("R8C",'Riesgos de gestión'!$O$56),"")</f>
        <v/>
      </c>
      <c r="U53" s="78" t="str">
        <f>IF(AND('Riesgos de gestión'!$Y$57="Muy Baja",'Riesgos de gestión'!$AA$57="Menor"),CONCATENATE("R8C",'Riesgos de gestión'!$O$57),"")</f>
        <v/>
      </c>
      <c r="V53" s="67" t="str">
        <f>IF(AND('Riesgos de gestión'!$Y$52="Muy Baja",'Riesgos de gestión'!$AA$52="Moderado"),CONCATENATE("R8C",'Riesgos de gestión'!$O$52),"")</f>
        <v/>
      </c>
      <c r="W53" s="68" t="str">
        <f>IF(AND('Riesgos de gestión'!$Y$53="Muy Baja",'Riesgos de gestión'!$AA$53="Moderado"),CONCATENATE("R8C",'Riesgos de gestión'!$O$53),"")</f>
        <v/>
      </c>
      <c r="X53" s="68" t="str">
        <f>IF(AND('Riesgos de gestión'!$Y$54="Muy Baja",'Riesgos de gestión'!$AA$54="Moderado"),CONCATENATE("R8C",'Riesgos de gestión'!$O$54),"")</f>
        <v/>
      </c>
      <c r="Y53" s="68" t="str">
        <f>IF(AND('Riesgos de gestión'!$Y$55="Muy Baja",'Riesgos de gestión'!$AA$55="Moderado"),CONCATENATE("R8C",'Riesgos de gestión'!$O$55),"")</f>
        <v/>
      </c>
      <c r="Z53" s="68" t="str">
        <f>IF(AND('Riesgos de gestión'!$Y$56="Muy Baja",'Riesgos de gestión'!$AA$56="Moderado"),CONCATENATE("R8C",'Riesgos de gestión'!$O$56),"")</f>
        <v/>
      </c>
      <c r="AA53" s="69" t="str">
        <f>IF(AND('Riesgos de gestión'!$Y$57="Muy Baja",'Riesgos de gestión'!$AA$57="Moderado"),CONCATENATE("R8C",'Riesgos de gestión'!$O$57),"")</f>
        <v/>
      </c>
      <c r="AB53" s="52" t="str">
        <f>IF(AND('Riesgos de gestión'!$Y$52="Muy Baja",'Riesgos de gestión'!$AA$52="Mayor"),CONCATENATE("R8C",'Riesgos de gestión'!$O$52),"")</f>
        <v/>
      </c>
      <c r="AC53" s="53" t="str">
        <f>IF(AND('Riesgos de gestión'!$Y$53="Muy Baja",'Riesgos de gestión'!$AA$53="Mayor"),CONCATENATE("R8C",'Riesgos de gestión'!$O$53),"")</f>
        <v/>
      </c>
      <c r="AD53" s="53" t="str">
        <f>IF(AND('Riesgos de gestión'!$Y$54="Muy Baja",'Riesgos de gestión'!$AA$54="Mayor"),CONCATENATE("R8C",'Riesgos de gestión'!$O$54),"")</f>
        <v/>
      </c>
      <c r="AE53" s="53" t="str">
        <f>IF(AND('Riesgos de gestión'!$Y$55="Muy Baja",'Riesgos de gestión'!$AA$55="Mayor"),CONCATENATE("R8C",'Riesgos de gestión'!$O$55),"")</f>
        <v/>
      </c>
      <c r="AF53" s="53" t="str">
        <f>IF(AND('Riesgos de gestión'!$Y$56="Muy Baja",'Riesgos de gestión'!$AA$56="Mayor"),CONCATENATE("R8C",'Riesgos de gestión'!$O$56),"")</f>
        <v/>
      </c>
      <c r="AG53" s="54" t="str">
        <f>IF(AND('Riesgos de gestión'!$Y$57="Muy Baja",'Riesgos de gestión'!$AA$57="Mayor"),CONCATENATE("R8C",'Riesgos de gestión'!$O$57),"")</f>
        <v/>
      </c>
      <c r="AH53" s="55" t="str">
        <f>IF(AND('Riesgos de gestión'!$Y$52="Muy Baja",'Riesgos de gestión'!$AA$52="Catastrófico"),CONCATENATE("R8C",'Riesgos de gestión'!$O$52),"")</f>
        <v/>
      </c>
      <c r="AI53" s="56" t="str">
        <f>IF(AND('Riesgos de gestión'!$Y$53="Muy Baja",'Riesgos de gestión'!$AA$53="Catastrófico"),CONCATENATE("R8C",'Riesgos de gestión'!$O$53),"")</f>
        <v/>
      </c>
      <c r="AJ53" s="56" t="str">
        <f>IF(AND('Riesgos de gestión'!$Y$54="Muy Baja",'Riesgos de gestión'!$AA$54="Catastrófico"),CONCATENATE("R8C",'Riesgos de gestión'!$O$54),"")</f>
        <v/>
      </c>
      <c r="AK53" s="56" t="str">
        <f>IF(AND('Riesgos de gestión'!$Y$55="Muy Baja",'Riesgos de gestión'!$AA$55="Catastrófico"),CONCATENATE("R8C",'Riesgos de gestión'!$O$55),"")</f>
        <v/>
      </c>
      <c r="AL53" s="56" t="str">
        <f>IF(AND('Riesgos de gestión'!$Y$56="Muy Baja",'Riesgos de gestión'!$AA$56="Catastrófico"),CONCATENATE("R8C",'Riesgos de gestión'!$O$56),"")</f>
        <v/>
      </c>
      <c r="AM53" s="57" t="str">
        <f>IF(AND('Riesgos de gestión'!$Y$57="Muy Baja",'Riesgos de gestión'!$AA$57="Catastrófico"),CONCATENATE("R8C",'Riesgos de gestión'!$O$57),"")</f>
        <v/>
      </c>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row>
    <row r="54" spans="1:80" ht="15" customHeight="1" x14ac:dyDescent="0.25">
      <c r="A54" s="83"/>
      <c r="B54" s="1123"/>
      <c r="C54" s="1123"/>
      <c r="D54" s="1124"/>
      <c r="E54" s="1222"/>
      <c r="F54" s="1221"/>
      <c r="G54" s="1221"/>
      <c r="H54" s="1221"/>
      <c r="I54" s="1237"/>
      <c r="J54" s="76" t="str">
        <f>IF(AND('Riesgos de gestión'!$Y$58="Muy Baja",'Riesgos de gestión'!$AA$58="Leve"),CONCATENATE("R9C",'Riesgos de gestión'!$O$58),"")</f>
        <v/>
      </c>
      <c r="K54" s="77" t="str">
        <f>IF(AND('Riesgos de gestión'!$Y$59="Muy Baja",'Riesgos de gestión'!$AA$59="Leve"),CONCATENATE("R9C",'Riesgos de gestión'!$O$59),"")</f>
        <v/>
      </c>
      <c r="L54" s="77" t="str">
        <f>IF(AND('Riesgos de gestión'!$Y$60="Muy Baja",'Riesgos de gestión'!$AA$60="Leve"),CONCATENATE("R9C",'Riesgos de gestión'!$O$60),"")</f>
        <v/>
      </c>
      <c r="M54" s="77" t="str">
        <f>IF(AND('Riesgos de gestión'!$Y$61="Muy Baja",'Riesgos de gestión'!$AA$61="Leve"),CONCATENATE("R9C",'Riesgos de gestión'!$O$61),"")</f>
        <v/>
      </c>
      <c r="N54" s="77" t="str">
        <f>IF(AND('Riesgos de gestión'!$Y$62="Muy Baja",'Riesgos de gestión'!$AA$62="Leve"),CONCATENATE("R9C",'Riesgos de gestión'!$O$62),"")</f>
        <v/>
      </c>
      <c r="O54" s="78" t="str">
        <f>IF(AND('Riesgos de gestión'!$Y$63="Muy Baja",'Riesgos de gestión'!$AA$63="Leve"),CONCATENATE("R9C",'Riesgos de gestión'!$O$63),"")</f>
        <v/>
      </c>
      <c r="P54" s="76" t="str">
        <f>IF(AND('Riesgos de gestión'!$Y$58="Muy Baja",'Riesgos de gestión'!$AA$58="Menor"),CONCATENATE("R9C",'Riesgos de gestión'!$O$58),"")</f>
        <v/>
      </c>
      <c r="Q54" s="77" t="str">
        <f>IF(AND('Riesgos de gestión'!$Y$59="Muy Baja",'Riesgos de gestión'!$AA$59="Menor"),CONCATENATE("R9C",'Riesgos de gestión'!$O$59),"")</f>
        <v/>
      </c>
      <c r="R54" s="77" t="str">
        <f>IF(AND('Riesgos de gestión'!$Y$60="Muy Baja",'Riesgos de gestión'!$AA$60="Menor"),CONCATENATE("R9C",'Riesgos de gestión'!$O$60),"")</f>
        <v/>
      </c>
      <c r="S54" s="77" t="str">
        <f>IF(AND('Riesgos de gestión'!$Y$61="Muy Baja",'Riesgos de gestión'!$AA$61="Menor"),CONCATENATE("R9C",'Riesgos de gestión'!$O$61),"")</f>
        <v/>
      </c>
      <c r="T54" s="77" t="str">
        <f>IF(AND('Riesgos de gestión'!$Y$62="Muy Baja",'Riesgos de gestión'!$AA$62="Menor"),CONCATENATE("R9C",'Riesgos de gestión'!$O$62),"")</f>
        <v/>
      </c>
      <c r="U54" s="78" t="str">
        <f>IF(AND('Riesgos de gestión'!$Y$63="Muy Baja",'Riesgos de gestión'!$AA$63="Menor"),CONCATENATE("R9C",'Riesgos de gestión'!$O$63),"")</f>
        <v/>
      </c>
      <c r="V54" s="67" t="str">
        <f>IF(AND('Riesgos de gestión'!$Y$58="Muy Baja",'Riesgos de gestión'!$AA$58="Moderado"),CONCATENATE("R9C",'Riesgos de gestión'!$O$58),"")</f>
        <v/>
      </c>
      <c r="W54" s="68" t="str">
        <f>IF(AND('Riesgos de gestión'!$Y$59="Muy Baja",'Riesgos de gestión'!$AA$59="Moderado"),CONCATENATE("R9C",'Riesgos de gestión'!$O$59),"")</f>
        <v/>
      </c>
      <c r="X54" s="68" t="str">
        <f>IF(AND('Riesgos de gestión'!$Y$60="Muy Baja",'Riesgos de gestión'!$AA$60="Moderado"),CONCATENATE("R9C",'Riesgos de gestión'!$O$60),"")</f>
        <v/>
      </c>
      <c r="Y54" s="68" t="str">
        <f>IF(AND('Riesgos de gestión'!$Y$61="Muy Baja",'Riesgos de gestión'!$AA$61="Moderado"),CONCATENATE("R9C",'Riesgos de gestión'!$O$61),"")</f>
        <v/>
      </c>
      <c r="Z54" s="68" t="str">
        <f>IF(AND('Riesgos de gestión'!$Y$62="Muy Baja",'Riesgos de gestión'!$AA$62="Moderado"),CONCATENATE("R9C",'Riesgos de gestión'!$O$62),"")</f>
        <v/>
      </c>
      <c r="AA54" s="69" t="str">
        <f>IF(AND('Riesgos de gestión'!$Y$63="Muy Baja",'Riesgos de gestión'!$AA$63="Moderado"),CONCATENATE("R9C",'Riesgos de gestión'!$O$63),"")</f>
        <v/>
      </c>
      <c r="AB54" s="52" t="str">
        <f>IF(AND('Riesgos de gestión'!$Y$58="Muy Baja",'Riesgos de gestión'!$AA$58="Mayor"),CONCATENATE("R9C",'Riesgos de gestión'!$O$58),"")</f>
        <v/>
      </c>
      <c r="AC54" s="53" t="str">
        <f>IF(AND('Riesgos de gestión'!$Y$59="Muy Baja",'Riesgos de gestión'!$AA$59="Mayor"),CONCATENATE("R9C",'Riesgos de gestión'!$O$59),"")</f>
        <v/>
      </c>
      <c r="AD54" s="53" t="str">
        <f>IF(AND('Riesgos de gestión'!$Y$60="Muy Baja",'Riesgos de gestión'!$AA$60="Mayor"),CONCATENATE("R9C",'Riesgos de gestión'!$O$60),"")</f>
        <v/>
      </c>
      <c r="AE54" s="53" t="str">
        <f>IF(AND('Riesgos de gestión'!$Y$61="Muy Baja",'Riesgos de gestión'!$AA$61="Mayor"),CONCATENATE("R9C",'Riesgos de gestión'!$O$61),"")</f>
        <v/>
      </c>
      <c r="AF54" s="53" t="str">
        <f>IF(AND('Riesgos de gestión'!$Y$62="Muy Baja",'Riesgos de gestión'!$AA$62="Mayor"),CONCATENATE("R9C",'Riesgos de gestión'!$O$62),"")</f>
        <v/>
      </c>
      <c r="AG54" s="54" t="str">
        <f>IF(AND('Riesgos de gestión'!$Y$63="Muy Baja",'Riesgos de gestión'!$AA$63="Mayor"),CONCATENATE("R9C",'Riesgos de gestión'!$O$63),"")</f>
        <v/>
      </c>
      <c r="AH54" s="55" t="str">
        <f>IF(AND('Riesgos de gestión'!$Y$58="Muy Baja",'Riesgos de gestión'!$AA$58="Catastrófico"),CONCATENATE("R9C",'Riesgos de gestión'!$O$58),"")</f>
        <v/>
      </c>
      <c r="AI54" s="56" t="str">
        <f>IF(AND('Riesgos de gestión'!$Y$59="Muy Baja",'Riesgos de gestión'!$AA$59="Catastrófico"),CONCATENATE("R9C",'Riesgos de gestión'!$O$59),"")</f>
        <v/>
      </c>
      <c r="AJ54" s="56" t="str">
        <f>IF(AND('Riesgos de gestión'!$Y$60="Muy Baja",'Riesgos de gestión'!$AA$60="Catastrófico"),CONCATENATE("R9C",'Riesgos de gestión'!$O$60),"")</f>
        <v/>
      </c>
      <c r="AK54" s="56" t="str">
        <f>IF(AND('Riesgos de gestión'!$Y$61="Muy Baja",'Riesgos de gestión'!$AA$61="Catastrófico"),CONCATENATE("R9C",'Riesgos de gestión'!$O$61),"")</f>
        <v/>
      </c>
      <c r="AL54" s="56" t="str">
        <f>IF(AND('Riesgos de gestión'!$Y$62="Muy Baja",'Riesgos de gestión'!$AA$62="Catastrófico"),CONCATENATE("R9C",'Riesgos de gestión'!$O$62),"")</f>
        <v/>
      </c>
      <c r="AM54" s="57" t="str">
        <f>IF(AND('Riesgos de gestión'!$Y$63="Muy Baja",'Riesgos de gestión'!$AA$63="Catastrófico"),CONCATENATE("R9C",'Riesgos de gestión'!$O$63),"")</f>
        <v/>
      </c>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row>
    <row r="55" spans="1:80" ht="15.75" customHeight="1" thickBot="1" x14ac:dyDescent="0.3">
      <c r="A55" s="83"/>
      <c r="B55" s="1123"/>
      <c r="C55" s="1123"/>
      <c r="D55" s="1124"/>
      <c r="E55" s="1223"/>
      <c r="F55" s="1224"/>
      <c r="G55" s="1224"/>
      <c r="H55" s="1224"/>
      <c r="I55" s="1238"/>
      <c r="J55" s="79" t="str">
        <f>IF(AND('Riesgos de gestión'!$Y$64="Muy Baja",'Riesgos de gestión'!$AA$64="Leve"),CONCATENATE("R10C",'Riesgos de gestión'!$O$64),"")</f>
        <v/>
      </c>
      <c r="K55" s="80" t="str">
        <f>IF(AND('Riesgos de gestión'!$Y$65="Muy Baja",'Riesgos de gestión'!$AA$65="Leve"),CONCATENATE("R10C",'Riesgos de gestión'!$O$65),"")</f>
        <v/>
      </c>
      <c r="L55" s="80" t="str">
        <f>IF(AND('Riesgos de gestión'!$Y$66="Muy Baja",'Riesgos de gestión'!$AA$66="Leve"),CONCATENATE("R10C",'Riesgos de gestión'!$O$66),"")</f>
        <v/>
      </c>
      <c r="M55" s="80" t="str">
        <f>IF(AND('Riesgos de gestión'!$Y$67="Muy Baja",'Riesgos de gestión'!$AA$67="Leve"),CONCATENATE("R10C",'Riesgos de gestión'!$O$67),"")</f>
        <v/>
      </c>
      <c r="N55" s="80" t="str">
        <f>IF(AND('Riesgos de gestión'!$Y$68="Muy Baja",'Riesgos de gestión'!$AA$68="Leve"),CONCATENATE("R10C",'Riesgos de gestión'!$O$68),"")</f>
        <v/>
      </c>
      <c r="O55" s="81" t="str">
        <f>IF(AND('Riesgos de gestión'!$Y$69="Muy Baja",'Riesgos de gestión'!$AA$69="Leve"),CONCATENATE("R10C",'Riesgos de gestión'!$O$69),"")</f>
        <v/>
      </c>
      <c r="P55" s="79" t="str">
        <f>IF(AND('Riesgos de gestión'!$Y$64="Muy Baja",'Riesgos de gestión'!$AA$64="Menor"),CONCATENATE("R10C",'Riesgos de gestión'!$O$64),"")</f>
        <v/>
      </c>
      <c r="Q55" s="80" t="str">
        <f>IF(AND('Riesgos de gestión'!$Y$65="Muy Baja",'Riesgos de gestión'!$AA$65="Menor"),CONCATENATE("R10C",'Riesgos de gestión'!$O$65),"")</f>
        <v/>
      </c>
      <c r="R55" s="80" t="str">
        <f>IF(AND('Riesgos de gestión'!$Y$66="Muy Baja",'Riesgos de gestión'!$AA$66="Menor"),CONCATENATE("R10C",'Riesgos de gestión'!$O$66),"")</f>
        <v/>
      </c>
      <c r="S55" s="80" t="str">
        <f>IF(AND('Riesgos de gestión'!$Y$67="Muy Baja",'Riesgos de gestión'!$AA$67="Menor"),CONCATENATE("R10C",'Riesgos de gestión'!$O$67),"")</f>
        <v/>
      </c>
      <c r="T55" s="80" t="str">
        <f>IF(AND('Riesgos de gestión'!$Y$68="Muy Baja",'Riesgos de gestión'!$AA$68="Menor"),CONCATENATE("R10C",'Riesgos de gestión'!$O$68),"")</f>
        <v/>
      </c>
      <c r="U55" s="81" t="str">
        <f>IF(AND('Riesgos de gestión'!$Y$69="Muy Baja",'Riesgos de gestión'!$AA$69="Menor"),CONCATENATE("R10C",'Riesgos de gestión'!$O$69),"")</f>
        <v/>
      </c>
      <c r="V55" s="70" t="str">
        <f>IF(AND('Riesgos de gestión'!$Y$64="Muy Baja",'Riesgos de gestión'!$AA$64="Moderado"),CONCATENATE("R10C",'Riesgos de gestión'!$O$64),"")</f>
        <v/>
      </c>
      <c r="W55" s="71" t="str">
        <f>IF(AND('Riesgos de gestión'!$Y$65="Muy Baja",'Riesgos de gestión'!$AA$65="Moderado"),CONCATENATE("R10C",'Riesgos de gestión'!$O$65),"")</f>
        <v/>
      </c>
      <c r="X55" s="71" t="str">
        <f>IF(AND('Riesgos de gestión'!$Y$66="Muy Baja",'Riesgos de gestión'!$AA$66="Moderado"),CONCATENATE("R10C",'Riesgos de gestión'!$O$66),"")</f>
        <v/>
      </c>
      <c r="Y55" s="71" t="str">
        <f>IF(AND('Riesgos de gestión'!$Y$67="Muy Baja",'Riesgos de gestión'!$AA$67="Moderado"),CONCATENATE("R10C",'Riesgos de gestión'!$O$67),"")</f>
        <v/>
      </c>
      <c r="Z55" s="71" t="str">
        <f>IF(AND('Riesgos de gestión'!$Y$68="Muy Baja",'Riesgos de gestión'!$AA$68="Moderado"),CONCATENATE("R10C",'Riesgos de gestión'!$O$68),"")</f>
        <v/>
      </c>
      <c r="AA55" s="72" t="str">
        <f>IF(AND('Riesgos de gestión'!$Y$69="Muy Baja",'Riesgos de gestión'!$AA$69="Moderado"),CONCATENATE("R10C",'Riesgos de gestión'!$O$69),"")</f>
        <v/>
      </c>
      <c r="AB55" s="58" t="str">
        <f>IF(AND('Riesgos de gestión'!$Y$64="Muy Baja",'Riesgos de gestión'!$AA$64="Mayor"),CONCATENATE("R10C",'Riesgos de gestión'!$O$64),"")</f>
        <v/>
      </c>
      <c r="AC55" s="59" t="str">
        <f>IF(AND('Riesgos de gestión'!$Y$65="Muy Baja",'Riesgos de gestión'!$AA$65="Mayor"),CONCATENATE("R10C",'Riesgos de gestión'!$O$65),"")</f>
        <v/>
      </c>
      <c r="AD55" s="59" t="str">
        <f>IF(AND('Riesgos de gestión'!$Y$66="Muy Baja",'Riesgos de gestión'!$AA$66="Mayor"),CONCATENATE("R10C",'Riesgos de gestión'!$O$66),"")</f>
        <v/>
      </c>
      <c r="AE55" s="59" t="str">
        <f>IF(AND('Riesgos de gestión'!$Y$67="Muy Baja",'Riesgos de gestión'!$AA$67="Mayor"),CONCATENATE("R10C",'Riesgos de gestión'!$O$67),"")</f>
        <v/>
      </c>
      <c r="AF55" s="59" t="str">
        <f>IF(AND('Riesgos de gestión'!$Y$68="Muy Baja",'Riesgos de gestión'!$AA$68="Mayor"),CONCATENATE("R10C",'Riesgos de gestión'!$O$68),"")</f>
        <v/>
      </c>
      <c r="AG55" s="60" t="str">
        <f>IF(AND('Riesgos de gestión'!$Y$69="Muy Baja",'Riesgos de gestión'!$AA$69="Mayor"),CONCATENATE("R10C",'Riesgos de gestión'!$O$69),"")</f>
        <v/>
      </c>
      <c r="AH55" s="61" t="str">
        <f>IF(AND('Riesgos de gestión'!$Y$64="Muy Baja",'Riesgos de gestión'!$AA$64="Catastrófico"),CONCATENATE("R10C",'Riesgos de gestión'!$O$64),"")</f>
        <v/>
      </c>
      <c r="AI55" s="62" t="str">
        <f>IF(AND('Riesgos de gestión'!$Y$65="Muy Baja",'Riesgos de gestión'!$AA$65="Catastrófico"),CONCATENATE("R10C",'Riesgos de gestión'!$O$65),"")</f>
        <v/>
      </c>
      <c r="AJ55" s="62" t="str">
        <f>IF(AND('Riesgos de gestión'!$Y$66="Muy Baja",'Riesgos de gestión'!$AA$66="Catastrófico"),CONCATENATE("R10C",'Riesgos de gestión'!$O$66),"")</f>
        <v/>
      </c>
      <c r="AK55" s="62" t="str">
        <f>IF(AND('Riesgos de gestión'!$Y$67="Muy Baja",'Riesgos de gestión'!$AA$67="Catastrófico"),CONCATENATE("R10C",'Riesgos de gestión'!$O$67),"")</f>
        <v/>
      </c>
      <c r="AL55" s="62" t="str">
        <f>IF(AND('Riesgos de gestión'!$Y$68="Muy Baja",'Riesgos de gestión'!$AA$68="Catastrófico"),CONCATENATE("R10C",'Riesgos de gestión'!$O$68),"")</f>
        <v/>
      </c>
      <c r="AM55" s="63" t="str">
        <f>IF(AND('Riesgos de gestión'!$Y$69="Muy Baja",'Riesgos de gestión'!$AA$69="Catastrófico"),CONCATENATE("R10C",'Riesgos de gestión'!$O$69),"")</f>
        <v/>
      </c>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row>
    <row r="56" spans="1:80" x14ac:dyDescent="0.25">
      <c r="A56" s="83"/>
      <c r="B56" s="83"/>
      <c r="C56" s="83"/>
      <c r="D56" s="83"/>
      <c r="E56" s="83"/>
      <c r="F56" s="83"/>
      <c r="G56" s="83"/>
      <c r="H56" s="83"/>
      <c r="I56" s="83"/>
      <c r="J56" s="1218" t="s">
        <v>112</v>
      </c>
      <c r="K56" s="1219"/>
      <c r="L56" s="1219"/>
      <c r="M56" s="1219"/>
      <c r="N56" s="1219"/>
      <c r="O56" s="1236"/>
      <c r="P56" s="1218" t="s">
        <v>111</v>
      </c>
      <c r="Q56" s="1219"/>
      <c r="R56" s="1219"/>
      <c r="S56" s="1219"/>
      <c r="T56" s="1219"/>
      <c r="U56" s="1236"/>
      <c r="V56" s="1218" t="s">
        <v>110</v>
      </c>
      <c r="W56" s="1219"/>
      <c r="X56" s="1219"/>
      <c r="Y56" s="1219"/>
      <c r="Z56" s="1219"/>
      <c r="AA56" s="1236"/>
      <c r="AB56" s="1218" t="s">
        <v>109</v>
      </c>
      <c r="AC56" s="1257"/>
      <c r="AD56" s="1219"/>
      <c r="AE56" s="1219"/>
      <c r="AF56" s="1219"/>
      <c r="AG56" s="1236"/>
      <c r="AH56" s="1218" t="s">
        <v>108</v>
      </c>
      <c r="AI56" s="1219"/>
      <c r="AJ56" s="1219"/>
      <c r="AK56" s="1219"/>
      <c r="AL56" s="1219"/>
      <c r="AM56" s="1236"/>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row>
    <row r="57" spans="1:80" x14ac:dyDescent="0.25">
      <c r="A57" s="83"/>
      <c r="B57" s="83"/>
      <c r="C57" s="83"/>
      <c r="D57" s="83"/>
      <c r="E57" s="83"/>
      <c r="F57" s="83"/>
      <c r="G57" s="83"/>
      <c r="H57" s="83"/>
      <c r="I57" s="83"/>
      <c r="J57" s="1222"/>
      <c r="K57" s="1221"/>
      <c r="L57" s="1221"/>
      <c r="M57" s="1221"/>
      <c r="N57" s="1221"/>
      <c r="O57" s="1237"/>
      <c r="P57" s="1222"/>
      <c r="Q57" s="1221"/>
      <c r="R57" s="1221"/>
      <c r="S57" s="1221"/>
      <c r="T57" s="1221"/>
      <c r="U57" s="1237"/>
      <c r="V57" s="1222"/>
      <c r="W57" s="1221"/>
      <c r="X57" s="1221"/>
      <c r="Y57" s="1221"/>
      <c r="Z57" s="1221"/>
      <c r="AA57" s="1237"/>
      <c r="AB57" s="1222"/>
      <c r="AC57" s="1221"/>
      <c r="AD57" s="1221"/>
      <c r="AE57" s="1221"/>
      <c r="AF57" s="1221"/>
      <c r="AG57" s="1237"/>
      <c r="AH57" s="1222"/>
      <c r="AI57" s="1221"/>
      <c r="AJ57" s="1221"/>
      <c r="AK57" s="1221"/>
      <c r="AL57" s="1221"/>
      <c r="AM57" s="1237"/>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row>
    <row r="58" spans="1:80" x14ac:dyDescent="0.25">
      <c r="A58" s="83"/>
      <c r="B58" s="83"/>
      <c r="C58" s="83"/>
      <c r="D58" s="83"/>
      <c r="E58" s="83"/>
      <c r="F58" s="83"/>
      <c r="G58" s="83"/>
      <c r="H58" s="83"/>
      <c r="I58" s="83"/>
      <c r="J58" s="1222"/>
      <c r="K58" s="1221"/>
      <c r="L58" s="1221"/>
      <c r="M58" s="1221"/>
      <c r="N58" s="1221"/>
      <c r="O58" s="1237"/>
      <c r="P58" s="1222"/>
      <c r="Q58" s="1221"/>
      <c r="R58" s="1221"/>
      <c r="S58" s="1221"/>
      <c r="T58" s="1221"/>
      <c r="U58" s="1237"/>
      <c r="V58" s="1222"/>
      <c r="W58" s="1221"/>
      <c r="X58" s="1221"/>
      <c r="Y58" s="1221"/>
      <c r="Z58" s="1221"/>
      <c r="AA58" s="1237"/>
      <c r="AB58" s="1222"/>
      <c r="AC58" s="1221"/>
      <c r="AD58" s="1221"/>
      <c r="AE58" s="1221"/>
      <c r="AF58" s="1221"/>
      <c r="AG58" s="1237"/>
      <c r="AH58" s="1222"/>
      <c r="AI58" s="1221"/>
      <c r="AJ58" s="1221"/>
      <c r="AK58" s="1221"/>
      <c r="AL58" s="1221"/>
      <c r="AM58" s="1237"/>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row>
    <row r="59" spans="1:80" x14ac:dyDescent="0.25">
      <c r="A59" s="83"/>
      <c r="B59" s="83"/>
      <c r="C59" s="83"/>
      <c r="D59" s="83"/>
      <c r="E59" s="83"/>
      <c r="F59" s="83"/>
      <c r="G59" s="83"/>
      <c r="H59" s="83"/>
      <c r="I59" s="83"/>
      <c r="J59" s="1222"/>
      <c r="K59" s="1221"/>
      <c r="L59" s="1221"/>
      <c r="M59" s="1221"/>
      <c r="N59" s="1221"/>
      <c r="O59" s="1237"/>
      <c r="P59" s="1222"/>
      <c r="Q59" s="1221"/>
      <c r="R59" s="1221"/>
      <c r="S59" s="1221"/>
      <c r="T59" s="1221"/>
      <c r="U59" s="1237"/>
      <c r="V59" s="1222"/>
      <c r="W59" s="1221"/>
      <c r="X59" s="1221"/>
      <c r="Y59" s="1221"/>
      <c r="Z59" s="1221"/>
      <c r="AA59" s="1237"/>
      <c r="AB59" s="1222"/>
      <c r="AC59" s="1221"/>
      <c r="AD59" s="1221"/>
      <c r="AE59" s="1221"/>
      <c r="AF59" s="1221"/>
      <c r="AG59" s="1237"/>
      <c r="AH59" s="1222"/>
      <c r="AI59" s="1221"/>
      <c r="AJ59" s="1221"/>
      <c r="AK59" s="1221"/>
      <c r="AL59" s="1221"/>
      <c r="AM59" s="1237"/>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row>
    <row r="60" spans="1:80" x14ac:dyDescent="0.25">
      <c r="A60" s="83"/>
      <c r="B60" s="83"/>
      <c r="C60" s="83"/>
      <c r="D60" s="83"/>
      <c r="E60" s="83"/>
      <c r="F60" s="83"/>
      <c r="G60" s="83"/>
      <c r="H60" s="83"/>
      <c r="I60" s="83"/>
      <c r="J60" s="1222"/>
      <c r="K60" s="1221"/>
      <c r="L60" s="1221"/>
      <c r="M60" s="1221"/>
      <c r="N60" s="1221"/>
      <c r="O60" s="1237"/>
      <c r="P60" s="1222"/>
      <c r="Q60" s="1221"/>
      <c r="R60" s="1221"/>
      <c r="S60" s="1221"/>
      <c r="T60" s="1221"/>
      <c r="U60" s="1237"/>
      <c r="V60" s="1222"/>
      <c r="W60" s="1221"/>
      <c r="X60" s="1221"/>
      <c r="Y60" s="1221"/>
      <c r="Z60" s="1221"/>
      <c r="AA60" s="1237"/>
      <c r="AB60" s="1222"/>
      <c r="AC60" s="1221"/>
      <c r="AD60" s="1221"/>
      <c r="AE60" s="1221"/>
      <c r="AF60" s="1221"/>
      <c r="AG60" s="1237"/>
      <c r="AH60" s="1222"/>
      <c r="AI60" s="1221"/>
      <c r="AJ60" s="1221"/>
      <c r="AK60" s="1221"/>
      <c r="AL60" s="1221"/>
      <c r="AM60" s="1237"/>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row>
    <row r="61" spans="1:80" ht="15.75" thickBot="1" x14ac:dyDescent="0.3">
      <c r="A61" s="83"/>
      <c r="B61" s="83"/>
      <c r="C61" s="83"/>
      <c r="D61" s="83"/>
      <c r="E61" s="83"/>
      <c r="F61" s="83"/>
      <c r="G61" s="83"/>
      <c r="H61" s="83"/>
      <c r="I61" s="83"/>
      <c r="J61" s="1223"/>
      <c r="K61" s="1224"/>
      <c r="L61" s="1224"/>
      <c r="M61" s="1224"/>
      <c r="N61" s="1224"/>
      <c r="O61" s="1238"/>
      <c r="P61" s="1223"/>
      <c r="Q61" s="1224"/>
      <c r="R61" s="1224"/>
      <c r="S61" s="1224"/>
      <c r="T61" s="1224"/>
      <c r="U61" s="1238"/>
      <c r="V61" s="1223"/>
      <c r="W61" s="1224"/>
      <c r="X61" s="1224"/>
      <c r="Y61" s="1224"/>
      <c r="Z61" s="1224"/>
      <c r="AA61" s="1238"/>
      <c r="AB61" s="1223"/>
      <c r="AC61" s="1224"/>
      <c r="AD61" s="1224"/>
      <c r="AE61" s="1224"/>
      <c r="AF61" s="1224"/>
      <c r="AG61" s="1238"/>
      <c r="AH61" s="1223"/>
      <c r="AI61" s="1224"/>
      <c r="AJ61" s="1224"/>
      <c r="AK61" s="1224"/>
      <c r="AL61" s="1224"/>
      <c r="AM61" s="1238"/>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row>
    <row r="62" spans="1:80" x14ac:dyDescent="0.25">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row>
    <row r="63" spans="1:80" ht="15" customHeight="1" x14ac:dyDescent="0.25">
      <c r="A63" s="83"/>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U63" s="83"/>
      <c r="AV63" s="83"/>
      <c r="AW63" s="83"/>
      <c r="AX63" s="83"/>
      <c r="AY63" s="83"/>
      <c r="AZ63" s="83"/>
      <c r="BA63" s="83"/>
      <c r="BB63" s="83"/>
      <c r="BC63" s="83"/>
      <c r="BD63" s="83"/>
      <c r="BE63" s="83"/>
      <c r="BF63" s="83"/>
      <c r="BG63" s="83"/>
      <c r="BH63" s="83"/>
    </row>
    <row r="64" spans="1:80" ht="15" customHeight="1" x14ac:dyDescent="0.25">
      <c r="A64" s="83"/>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c r="AO64" s="87"/>
      <c r="AP64" s="87"/>
      <c r="AQ64" s="87"/>
      <c r="AR64" s="87"/>
      <c r="AS64" s="87"/>
      <c r="AT64" s="87"/>
      <c r="AU64" s="83"/>
      <c r="AV64" s="83"/>
      <c r="AW64" s="83"/>
      <c r="AX64" s="83"/>
      <c r="AY64" s="83"/>
      <c r="AZ64" s="83"/>
      <c r="BA64" s="83"/>
      <c r="BB64" s="83"/>
      <c r="BC64" s="83"/>
      <c r="BD64" s="83"/>
      <c r="BE64" s="83"/>
      <c r="BF64" s="83"/>
      <c r="BG64" s="83"/>
      <c r="BH64" s="83"/>
    </row>
    <row r="65" spans="1:60" x14ac:dyDescent="0.25">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row>
    <row r="66" spans="1:60" x14ac:dyDescent="0.2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row>
    <row r="67" spans="1:60" x14ac:dyDescent="0.2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row>
    <row r="68" spans="1:60" x14ac:dyDescent="0.2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row>
    <row r="69" spans="1:60" x14ac:dyDescent="0.2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c r="AU69" s="83"/>
      <c r="AV69" s="83"/>
      <c r="AW69" s="83"/>
      <c r="AX69" s="83"/>
      <c r="AY69" s="83"/>
      <c r="AZ69" s="83"/>
      <c r="BA69" s="83"/>
      <c r="BB69" s="83"/>
      <c r="BC69" s="83"/>
      <c r="BD69" s="83"/>
      <c r="BE69" s="83"/>
      <c r="BF69" s="83"/>
      <c r="BG69" s="83"/>
      <c r="BH69" s="83"/>
    </row>
    <row r="70" spans="1:60" x14ac:dyDescent="0.25">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c r="AU70" s="83"/>
      <c r="AV70" s="83"/>
      <c r="AW70" s="83"/>
      <c r="AX70" s="83"/>
      <c r="AY70" s="83"/>
      <c r="AZ70" s="83"/>
      <c r="BA70" s="83"/>
      <c r="BB70" s="83"/>
      <c r="BC70" s="83"/>
      <c r="BD70" s="83"/>
      <c r="BE70" s="83"/>
      <c r="BF70" s="83"/>
      <c r="BG70" s="83"/>
      <c r="BH70" s="83"/>
    </row>
    <row r="71" spans="1:60" x14ac:dyDescent="0.25">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row>
    <row r="72" spans="1:60" x14ac:dyDescent="0.25">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row>
    <row r="73" spans="1:60" x14ac:dyDescent="0.25">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row>
    <row r="74" spans="1:60" x14ac:dyDescent="0.25">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c r="AU74" s="83"/>
      <c r="AV74" s="83"/>
      <c r="AW74" s="83"/>
      <c r="AX74" s="83"/>
      <c r="AY74" s="83"/>
      <c r="AZ74" s="83"/>
      <c r="BA74" s="83"/>
      <c r="BB74" s="83"/>
      <c r="BC74" s="83"/>
      <c r="BD74" s="83"/>
      <c r="BE74" s="83"/>
      <c r="BF74" s="83"/>
      <c r="BG74" s="83"/>
      <c r="BH74" s="83"/>
    </row>
    <row r="75" spans="1:60" x14ac:dyDescent="0.25">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c r="AU75" s="83"/>
      <c r="AV75" s="83"/>
      <c r="AW75" s="83"/>
      <c r="AX75" s="83"/>
      <c r="AY75" s="83"/>
      <c r="AZ75" s="83"/>
      <c r="BA75" s="83"/>
      <c r="BB75" s="83"/>
      <c r="BC75" s="83"/>
      <c r="BD75" s="83"/>
      <c r="BE75" s="83"/>
      <c r="BF75" s="83"/>
      <c r="BG75" s="83"/>
      <c r="BH75" s="83"/>
    </row>
    <row r="76" spans="1:60" x14ac:dyDescent="0.25">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c r="AT76" s="83"/>
      <c r="AU76" s="83"/>
      <c r="AV76" s="83"/>
      <c r="AW76" s="83"/>
      <c r="AX76" s="83"/>
      <c r="AY76" s="83"/>
      <c r="AZ76" s="83"/>
      <c r="BA76" s="83"/>
      <c r="BB76" s="83"/>
      <c r="BC76" s="83"/>
      <c r="BD76" s="83"/>
      <c r="BE76" s="83"/>
      <c r="BF76" s="83"/>
      <c r="BG76" s="83"/>
      <c r="BH76" s="83"/>
    </row>
    <row r="77" spans="1:60"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row>
    <row r="78" spans="1:60" x14ac:dyDescent="0.25">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c r="AT78" s="83"/>
      <c r="AU78" s="83"/>
      <c r="AV78" s="83"/>
      <c r="AW78" s="83"/>
      <c r="AX78" s="83"/>
      <c r="AY78" s="83"/>
      <c r="AZ78" s="83"/>
      <c r="BA78" s="83"/>
      <c r="BB78" s="83"/>
      <c r="BC78" s="83"/>
      <c r="BD78" s="83"/>
      <c r="BE78" s="83"/>
      <c r="BF78" s="83"/>
      <c r="BG78" s="83"/>
      <c r="BH78" s="83"/>
    </row>
    <row r="79" spans="1:60" x14ac:dyDescent="0.25">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c r="AT79" s="83"/>
      <c r="AU79" s="83"/>
      <c r="AV79" s="83"/>
      <c r="AW79" s="83"/>
      <c r="AX79" s="83"/>
      <c r="AY79" s="83"/>
      <c r="AZ79" s="83"/>
      <c r="BA79" s="83"/>
      <c r="BB79" s="83"/>
      <c r="BC79" s="83"/>
      <c r="BD79" s="83"/>
      <c r="BE79" s="83"/>
      <c r="BF79" s="83"/>
      <c r="BG79" s="83"/>
      <c r="BH79" s="83"/>
    </row>
    <row r="80" spans="1:60" x14ac:dyDescent="0.25">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c r="AT80" s="83"/>
      <c r="AU80" s="83"/>
      <c r="AV80" s="83"/>
      <c r="AW80" s="83"/>
      <c r="AX80" s="83"/>
      <c r="AY80" s="83"/>
      <c r="AZ80" s="83"/>
      <c r="BA80" s="83"/>
      <c r="BB80" s="83"/>
      <c r="BC80" s="83"/>
      <c r="BD80" s="83"/>
      <c r="BE80" s="83"/>
      <c r="BF80" s="83"/>
      <c r="BG80" s="83"/>
      <c r="BH80" s="83"/>
    </row>
    <row r="81" spans="1:60"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row>
    <row r="82" spans="1:60" x14ac:dyDescent="0.25">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83"/>
      <c r="BA82" s="83"/>
      <c r="BB82" s="83"/>
      <c r="BC82" s="83"/>
      <c r="BD82" s="83"/>
      <c r="BE82" s="83"/>
      <c r="BF82" s="83"/>
      <c r="BG82" s="83"/>
      <c r="BH82" s="83"/>
    </row>
    <row r="83" spans="1:60" x14ac:dyDescent="0.25">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c r="AT83" s="83"/>
      <c r="AU83" s="83"/>
      <c r="AV83" s="83"/>
      <c r="AW83" s="83"/>
      <c r="AX83" s="83"/>
      <c r="AY83" s="83"/>
      <c r="AZ83" s="83"/>
      <c r="BA83" s="83"/>
      <c r="BB83" s="83"/>
      <c r="BC83" s="83"/>
      <c r="BD83" s="83"/>
      <c r="BE83" s="83"/>
      <c r="BF83" s="83"/>
      <c r="BG83" s="83"/>
      <c r="BH83" s="83"/>
    </row>
    <row r="84" spans="1:60" x14ac:dyDescent="0.25">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c r="AT84" s="83"/>
      <c r="AU84" s="83"/>
      <c r="AV84" s="83"/>
      <c r="AW84" s="83"/>
      <c r="AX84" s="83"/>
      <c r="AY84" s="83"/>
      <c r="AZ84" s="83"/>
      <c r="BA84" s="83"/>
      <c r="BB84" s="83"/>
      <c r="BC84" s="83"/>
      <c r="BD84" s="83"/>
      <c r="BE84" s="83"/>
      <c r="BF84" s="83"/>
      <c r="BG84" s="83"/>
      <c r="BH84" s="83"/>
    </row>
    <row r="85" spans="1:60" x14ac:dyDescent="0.25">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row>
    <row r="86" spans="1:60" x14ac:dyDescent="0.25">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c r="AT86" s="83"/>
      <c r="AU86" s="83"/>
      <c r="AV86" s="83"/>
      <c r="AW86" s="83"/>
      <c r="AX86" s="83"/>
      <c r="AY86" s="83"/>
      <c r="AZ86" s="83"/>
      <c r="BA86" s="83"/>
      <c r="BB86" s="83"/>
      <c r="BC86" s="83"/>
      <c r="BD86" s="83"/>
      <c r="BE86" s="83"/>
      <c r="BF86" s="83"/>
      <c r="BG86" s="83"/>
      <c r="BH86" s="83"/>
    </row>
    <row r="87" spans="1:60" x14ac:dyDescent="0.25">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c r="AT87" s="83"/>
      <c r="AU87" s="83"/>
      <c r="AV87" s="83"/>
      <c r="AW87" s="83"/>
      <c r="AX87" s="83"/>
      <c r="AY87" s="83"/>
      <c r="AZ87" s="83"/>
      <c r="BA87" s="83"/>
      <c r="BB87" s="83"/>
      <c r="BC87" s="83"/>
      <c r="BD87" s="83"/>
      <c r="BE87" s="83"/>
      <c r="BF87" s="83"/>
      <c r="BG87" s="83"/>
      <c r="BH87" s="83"/>
    </row>
    <row r="88" spans="1:60" x14ac:dyDescent="0.25">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row>
    <row r="89" spans="1:60" x14ac:dyDescent="0.25">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row>
    <row r="90" spans="1:60" x14ac:dyDescent="0.25">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c r="AT90" s="83"/>
      <c r="AU90" s="83"/>
      <c r="AV90" s="83"/>
      <c r="AW90" s="83"/>
      <c r="AX90" s="83"/>
      <c r="AY90" s="83"/>
      <c r="AZ90" s="83"/>
      <c r="BA90" s="83"/>
      <c r="BB90" s="83"/>
      <c r="BC90" s="83"/>
      <c r="BD90" s="83"/>
      <c r="BE90" s="83"/>
      <c r="BF90" s="83"/>
      <c r="BG90" s="83"/>
      <c r="BH90" s="83"/>
    </row>
    <row r="91" spans="1:60" x14ac:dyDescent="0.25">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c r="AT91" s="83"/>
      <c r="AU91" s="83"/>
      <c r="AV91" s="83"/>
      <c r="AW91" s="83"/>
      <c r="AX91" s="83"/>
      <c r="AY91" s="83"/>
      <c r="AZ91" s="83"/>
      <c r="BA91" s="83"/>
      <c r="BB91" s="83"/>
      <c r="BC91" s="83"/>
      <c r="BD91" s="83"/>
      <c r="BE91" s="83"/>
      <c r="BF91" s="83"/>
      <c r="BG91" s="83"/>
      <c r="BH91" s="83"/>
    </row>
    <row r="92" spans="1:60" x14ac:dyDescent="0.25">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row>
    <row r="93" spans="1:60" x14ac:dyDescent="0.25">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c r="AT93" s="83"/>
      <c r="AU93" s="83"/>
      <c r="AV93" s="83"/>
      <c r="AW93" s="83"/>
      <c r="AX93" s="83"/>
      <c r="AY93" s="83"/>
      <c r="AZ93" s="83"/>
      <c r="BA93" s="83"/>
      <c r="BB93" s="83"/>
      <c r="BC93" s="83"/>
      <c r="BD93" s="83"/>
      <c r="BE93" s="83"/>
      <c r="BF93" s="83"/>
      <c r="BG93" s="83"/>
      <c r="BH93" s="83"/>
    </row>
    <row r="94" spans="1:60"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c r="AT94" s="83"/>
      <c r="AU94" s="83"/>
      <c r="AV94" s="83"/>
      <c r="AW94" s="83"/>
      <c r="AX94" s="83"/>
      <c r="AY94" s="83"/>
      <c r="AZ94" s="83"/>
      <c r="BA94" s="83"/>
      <c r="BB94" s="83"/>
      <c r="BC94" s="83"/>
      <c r="BD94" s="83"/>
      <c r="BE94" s="83"/>
      <c r="BF94" s="83"/>
      <c r="BG94" s="83"/>
      <c r="BH94" s="83"/>
    </row>
    <row r="95" spans="1:60" x14ac:dyDescent="0.25">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row>
    <row r="96" spans="1:60" x14ac:dyDescent="0.25">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c r="AT96" s="83"/>
      <c r="AU96" s="83"/>
      <c r="AV96" s="83"/>
      <c r="AW96" s="83"/>
      <c r="AX96" s="83"/>
      <c r="AY96" s="83"/>
      <c r="AZ96" s="83"/>
      <c r="BA96" s="83"/>
      <c r="BB96" s="83"/>
      <c r="BC96" s="83"/>
      <c r="BD96" s="83"/>
      <c r="BE96" s="83"/>
      <c r="BF96" s="83"/>
      <c r="BG96" s="83"/>
      <c r="BH96" s="83"/>
    </row>
    <row r="97" spans="1:60" x14ac:dyDescent="0.25">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c r="AT97" s="83"/>
      <c r="AU97" s="83"/>
      <c r="AV97" s="83"/>
      <c r="AW97" s="83"/>
      <c r="AX97" s="83"/>
      <c r="AY97" s="83"/>
      <c r="AZ97" s="83"/>
      <c r="BA97" s="83"/>
      <c r="BB97" s="83"/>
      <c r="BC97" s="83"/>
      <c r="BD97" s="83"/>
      <c r="BE97" s="83"/>
      <c r="BF97" s="83"/>
      <c r="BG97" s="83"/>
      <c r="BH97" s="83"/>
    </row>
    <row r="98" spans="1:60" x14ac:dyDescent="0.25">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row>
    <row r="99" spans="1:60" x14ac:dyDescent="0.25">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row>
    <row r="101" spans="1:60" x14ac:dyDescent="0.25">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x14ac:dyDescent="0.25">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x14ac:dyDescent="0.25">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row>
    <row r="104" spans="1:60" x14ac:dyDescent="0.25">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c r="AT104" s="83"/>
      <c r="AU104" s="83"/>
      <c r="AV104" s="83"/>
      <c r="AW104" s="83"/>
      <c r="AX104" s="83"/>
      <c r="AY104" s="83"/>
      <c r="AZ104" s="83"/>
      <c r="BA104" s="83"/>
      <c r="BB104" s="83"/>
      <c r="BC104" s="83"/>
      <c r="BD104" s="83"/>
      <c r="BE104" s="83"/>
      <c r="BF104" s="83"/>
      <c r="BG104" s="83"/>
      <c r="BH104" s="83"/>
    </row>
    <row r="105" spans="1:60" x14ac:dyDescent="0.25">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c r="AT105" s="83"/>
      <c r="AU105" s="83"/>
      <c r="AV105" s="83"/>
      <c r="AW105" s="83"/>
      <c r="AX105" s="83"/>
      <c r="AY105" s="83"/>
      <c r="AZ105" s="83"/>
      <c r="BA105" s="83"/>
      <c r="BB105" s="83"/>
      <c r="BC105" s="83"/>
      <c r="BD105" s="83"/>
      <c r="BE105" s="83"/>
      <c r="BF105" s="83"/>
      <c r="BG105" s="83"/>
      <c r="BH105" s="83"/>
    </row>
    <row r="106" spans="1:60" x14ac:dyDescent="0.25">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row>
    <row r="107" spans="1:60" x14ac:dyDescent="0.25">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c r="AT107" s="83"/>
      <c r="AU107" s="83"/>
      <c r="AV107" s="83"/>
      <c r="AW107" s="83"/>
      <c r="AX107" s="83"/>
      <c r="AY107" s="83"/>
      <c r="AZ107" s="83"/>
      <c r="BA107" s="83"/>
      <c r="BB107" s="83"/>
      <c r="BC107" s="83"/>
      <c r="BD107" s="83"/>
      <c r="BE107" s="83"/>
      <c r="BF107" s="83"/>
      <c r="BG107" s="83"/>
      <c r="BH107" s="83"/>
    </row>
    <row r="108" spans="1:60" x14ac:dyDescent="0.25">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c r="AT108" s="83"/>
      <c r="AU108" s="83"/>
      <c r="AV108" s="83"/>
      <c r="AW108" s="83"/>
      <c r="AX108" s="83"/>
      <c r="AY108" s="83"/>
      <c r="AZ108" s="83"/>
      <c r="BA108" s="83"/>
      <c r="BB108" s="83"/>
      <c r="BC108" s="83"/>
      <c r="BD108" s="83"/>
      <c r="BE108" s="83"/>
      <c r="BF108" s="83"/>
      <c r="BG108" s="83"/>
      <c r="BH108" s="83"/>
    </row>
    <row r="109" spans="1:60" x14ac:dyDescent="0.25">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c r="AT109" s="83"/>
      <c r="AU109" s="83"/>
      <c r="AV109" s="83"/>
      <c r="AW109" s="83"/>
      <c r="AX109" s="83"/>
      <c r="AY109" s="83"/>
      <c r="AZ109" s="83"/>
      <c r="BA109" s="83"/>
      <c r="BB109" s="83"/>
      <c r="BC109" s="83"/>
      <c r="BD109" s="83"/>
      <c r="BE109" s="83"/>
      <c r="BF109" s="83"/>
      <c r="BG109" s="83"/>
      <c r="BH109" s="83"/>
    </row>
    <row r="110" spans="1:60" x14ac:dyDescent="0.25">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c r="AT110" s="83"/>
      <c r="AU110" s="83"/>
      <c r="AV110" s="83"/>
      <c r="AW110" s="83"/>
      <c r="AX110" s="83"/>
      <c r="AY110" s="83"/>
      <c r="AZ110" s="83"/>
      <c r="BA110" s="83"/>
      <c r="BB110" s="83"/>
      <c r="BC110" s="83"/>
      <c r="BD110" s="83"/>
      <c r="BE110" s="83"/>
      <c r="BF110" s="83"/>
      <c r="BG110" s="83"/>
      <c r="BH110" s="83"/>
    </row>
    <row r="111" spans="1:60" x14ac:dyDescent="0.25">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c r="AT111" s="83"/>
      <c r="AU111" s="83"/>
      <c r="AV111" s="83"/>
      <c r="AW111" s="83"/>
      <c r="AX111" s="83"/>
      <c r="AY111" s="83"/>
      <c r="AZ111" s="83"/>
      <c r="BA111" s="83"/>
      <c r="BB111" s="83"/>
      <c r="BC111" s="83"/>
      <c r="BD111" s="83"/>
      <c r="BE111" s="83"/>
      <c r="BF111" s="83"/>
      <c r="BG111" s="83"/>
      <c r="BH111" s="83"/>
    </row>
    <row r="112" spans="1:60" x14ac:dyDescent="0.25">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c r="AT112" s="83"/>
      <c r="AU112" s="83"/>
      <c r="AV112" s="83"/>
      <c r="AW112" s="83"/>
      <c r="AX112" s="83"/>
      <c r="AY112" s="83"/>
      <c r="AZ112" s="83"/>
      <c r="BA112" s="83"/>
      <c r="BB112" s="83"/>
      <c r="BC112" s="83"/>
      <c r="BD112" s="83"/>
      <c r="BE112" s="83"/>
      <c r="BF112" s="83"/>
      <c r="BG112" s="83"/>
      <c r="BH112" s="83"/>
    </row>
    <row r="113" spans="1:60" x14ac:dyDescent="0.25">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c r="AT113" s="83"/>
      <c r="AU113" s="83"/>
      <c r="AV113" s="83"/>
      <c r="AW113" s="83"/>
      <c r="AX113" s="83"/>
      <c r="AY113" s="83"/>
      <c r="AZ113" s="83"/>
      <c r="BA113" s="83"/>
      <c r="BB113" s="83"/>
      <c r="BC113" s="83"/>
      <c r="BD113" s="83"/>
      <c r="BE113" s="83"/>
      <c r="BF113" s="83"/>
      <c r="BG113" s="83"/>
      <c r="BH113" s="83"/>
    </row>
    <row r="114" spans="1:60" x14ac:dyDescent="0.25">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c r="AT114" s="83"/>
      <c r="AU114" s="83"/>
      <c r="AV114" s="83"/>
      <c r="AW114" s="83"/>
      <c r="AX114" s="83"/>
      <c r="AY114" s="83"/>
      <c r="AZ114" s="83"/>
      <c r="BA114" s="83"/>
      <c r="BB114" s="83"/>
      <c r="BC114" s="83"/>
      <c r="BD114" s="83"/>
      <c r="BE114" s="83"/>
      <c r="BF114" s="83"/>
      <c r="BG114" s="83"/>
      <c r="BH114" s="83"/>
    </row>
    <row r="115" spans="1:60" x14ac:dyDescent="0.25">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c r="AT115" s="83"/>
      <c r="AU115" s="83"/>
      <c r="AV115" s="83"/>
      <c r="AW115" s="83"/>
      <c r="AX115" s="83"/>
      <c r="AY115" s="83"/>
      <c r="AZ115" s="83"/>
      <c r="BA115" s="83"/>
      <c r="BB115" s="83"/>
      <c r="BC115" s="83"/>
      <c r="BD115" s="83"/>
      <c r="BE115" s="83"/>
      <c r="BF115" s="83"/>
      <c r="BG115" s="83"/>
      <c r="BH115" s="83"/>
    </row>
    <row r="116" spans="1:60" x14ac:dyDescent="0.25">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83"/>
      <c r="BH116" s="83"/>
    </row>
    <row r="117" spans="1:60" x14ac:dyDescent="0.25">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83"/>
      <c r="BH117" s="83"/>
    </row>
    <row r="118" spans="1:60" x14ac:dyDescent="0.25">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c r="AT118" s="83"/>
      <c r="AU118" s="83"/>
      <c r="AV118" s="83"/>
      <c r="AW118" s="83"/>
      <c r="AX118" s="83"/>
      <c r="AY118" s="83"/>
      <c r="AZ118" s="83"/>
      <c r="BA118" s="83"/>
      <c r="BB118" s="83"/>
      <c r="BC118" s="83"/>
      <c r="BD118" s="83"/>
      <c r="BE118" s="83"/>
      <c r="BF118" s="83"/>
      <c r="BG118" s="83"/>
      <c r="BH118" s="83"/>
    </row>
    <row r="119" spans="1:60" x14ac:dyDescent="0.25">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c r="AT119" s="83"/>
      <c r="AU119" s="83"/>
      <c r="AV119" s="83"/>
      <c r="AW119" s="83"/>
      <c r="AX119" s="83"/>
      <c r="AY119" s="83"/>
      <c r="AZ119" s="83"/>
      <c r="BA119" s="83"/>
      <c r="BB119" s="83"/>
      <c r="BC119" s="83"/>
      <c r="BD119" s="83"/>
      <c r="BE119" s="83"/>
      <c r="BF119" s="83"/>
      <c r="BG119" s="83"/>
      <c r="BH119" s="83"/>
    </row>
    <row r="120" spans="1:60" x14ac:dyDescent="0.25">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c r="AT120" s="83"/>
      <c r="AU120" s="83"/>
      <c r="AV120" s="83"/>
      <c r="AW120" s="83"/>
      <c r="AX120" s="83"/>
      <c r="AY120" s="83"/>
      <c r="AZ120" s="83"/>
      <c r="BA120" s="83"/>
      <c r="BB120" s="83"/>
      <c r="BC120" s="83"/>
      <c r="BD120" s="83"/>
      <c r="BE120" s="83"/>
      <c r="BF120" s="83"/>
      <c r="BG120" s="83"/>
      <c r="BH120" s="83"/>
    </row>
    <row r="121" spans="1:60" x14ac:dyDescent="0.25">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c r="AT121" s="83"/>
      <c r="AU121" s="83"/>
      <c r="AV121" s="83"/>
      <c r="AW121" s="83"/>
      <c r="AX121" s="83"/>
      <c r="AY121" s="83"/>
      <c r="AZ121" s="83"/>
      <c r="BA121" s="83"/>
      <c r="BB121" s="83"/>
      <c r="BC121" s="83"/>
      <c r="BD121" s="83"/>
      <c r="BE121" s="83"/>
      <c r="BF121" s="83"/>
      <c r="BG121" s="83"/>
      <c r="BH121" s="83"/>
    </row>
    <row r="122" spans="1:60" x14ac:dyDescent="0.25">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c r="AT122" s="83"/>
      <c r="AU122" s="83"/>
      <c r="AV122" s="83"/>
      <c r="AW122" s="83"/>
      <c r="AX122" s="83"/>
      <c r="AY122" s="83"/>
      <c r="AZ122" s="83"/>
      <c r="BA122" s="83"/>
      <c r="BB122" s="83"/>
      <c r="BC122" s="83"/>
      <c r="BD122" s="83"/>
      <c r="BE122" s="83"/>
      <c r="BF122" s="83"/>
      <c r="BG122" s="83"/>
      <c r="BH122" s="83"/>
    </row>
    <row r="123" spans="1:60" x14ac:dyDescent="0.25">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c r="AT123" s="83"/>
      <c r="AU123" s="83"/>
      <c r="AV123" s="83"/>
      <c r="AW123" s="83"/>
      <c r="AX123" s="83"/>
      <c r="AY123" s="83"/>
      <c r="AZ123" s="83"/>
      <c r="BA123" s="83"/>
      <c r="BB123" s="83"/>
      <c r="BC123" s="83"/>
      <c r="BD123" s="83"/>
      <c r="BE123" s="83"/>
      <c r="BF123" s="83"/>
      <c r="BG123" s="83"/>
      <c r="BH123" s="83"/>
    </row>
    <row r="124" spans="1:60" x14ac:dyDescent="0.25">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c r="AT124" s="83"/>
      <c r="AU124" s="83"/>
      <c r="AV124" s="83"/>
      <c r="AW124" s="83"/>
      <c r="AX124" s="83"/>
      <c r="AY124" s="83"/>
      <c r="AZ124" s="83"/>
      <c r="BA124" s="83"/>
      <c r="BB124" s="83"/>
      <c r="BC124" s="83"/>
      <c r="BD124" s="83"/>
      <c r="BE124" s="83"/>
      <c r="BF124" s="83"/>
      <c r="BG124" s="83"/>
      <c r="BH124" s="83"/>
    </row>
    <row r="125" spans="1:60"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c r="AT125" s="83"/>
      <c r="AU125" s="83"/>
      <c r="AV125" s="83"/>
      <c r="AW125" s="83"/>
      <c r="AX125" s="83"/>
      <c r="AY125" s="83"/>
      <c r="AZ125" s="83"/>
      <c r="BA125" s="83"/>
      <c r="BB125" s="83"/>
      <c r="BC125" s="83"/>
      <c r="BD125" s="83"/>
      <c r="BE125" s="83"/>
      <c r="BF125" s="83"/>
      <c r="BG125" s="83"/>
      <c r="BH125" s="83"/>
    </row>
    <row r="126" spans="1:60" x14ac:dyDescent="0.25">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c r="AT126" s="83"/>
      <c r="AU126" s="83"/>
      <c r="AV126" s="83"/>
      <c r="AW126" s="83"/>
      <c r="AX126" s="83"/>
      <c r="AY126" s="83"/>
      <c r="AZ126" s="83"/>
      <c r="BA126" s="83"/>
      <c r="BB126" s="83"/>
      <c r="BC126" s="83"/>
      <c r="BD126" s="83"/>
      <c r="BE126" s="83"/>
      <c r="BF126" s="83"/>
      <c r="BG126" s="83"/>
      <c r="BH126" s="83"/>
    </row>
    <row r="127" spans="1:60" x14ac:dyDescent="0.25">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c r="AT127" s="83"/>
      <c r="AU127" s="83"/>
      <c r="AV127" s="83"/>
      <c r="AW127" s="83"/>
      <c r="AX127" s="83"/>
      <c r="AY127" s="83"/>
      <c r="AZ127" s="83"/>
      <c r="BA127" s="83"/>
      <c r="BB127" s="83"/>
      <c r="BC127" s="83"/>
      <c r="BD127" s="83"/>
      <c r="BE127" s="83"/>
      <c r="BF127" s="83"/>
      <c r="BG127" s="83"/>
      <c r="BH127" s="83"/>
    </row>
    <row r="128" spans="1:60"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c r="AT128" s="83"/>
      <c r="AU128" s="83"/>
      <c r="AV128" s="83"/>
      <c r="AW128" s="83"/>
      <c r="AX128" s="83"/>
      <c r="AY128" s="83"/>
      <c r="AZ128" s="83"/>
      <c r="BA128" s="83"/>
      <c r="BB128" s="83"/>
      <c r="BC128" s="83"/>
      <c r="BD128" s="83"/>
      <c r="BE128" s="83"/>
      <c r="BF128" s="83"/>
      <c r="BG128" s="83"/>
      <c r="BH128" s="83"/>
    </row>
    <row r="129" spans="1:60" x14ac:dyDescent="0.25">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c r="AV129" s="83"/>
      <c r="AW129" s="83"/>
      <c r="AX129" s="83"/>
      <c r="AY129" s="83"/>
      <c r="AZ129" s="83"/>
      <c r="BA129" s="83"/>
      <c r="BB129" s="83"/>
      <c r="BC129" s="83"/>
      <c r="BD129" s="83"/>
      <c r="BE129" s="83"/>
      <c r="BF129" s="83"/>
      <c r="BG129" s="83"/>
      <c r="BH129" s="83"/>
    </row>
    <row r="130" spans="1:60" x14ac:dyDescent="0.25">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c r="AV130" s="83"/>
      <c r="AW130" s="83"/>
      <c r="AX130" s="83"/>
      <c r="AY130" s="83"/>
      <c r="AZ130" s="83"/>
      <c r="BA130" s="83"/>
      <c r="BB130" s="83"/>
      <c r="BC130" s="83"/>
      <c r="BD130" s="83"/>
      <c r="BE130" s="83"/>
      <c r="BF130" s="83"/>
      <c r="BG130" s="83"/>
      <c r="BH130" s="83"/>
    </row>
    <row r="131" spans="1:60" x14ac:dyDescent="0.25">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c r="AV131" s="83"/>
      <c r="AW131" s="83"/>
      <c r="AX131" s="83"/>
      <c r="AY131" s="83"/>
      <c r="AZ131" s="83"/>
      <c r="BA131" s="83"/>
      <c r="BB131" s="83"/>
      <c r="BC131" s="83"/>
      <c r="BD131" s="83"/>
      <c r="BE131" s="83"/>
      <c r="BF131" s="83"/>
      <c r="BG131" s="83"/>
      <c r="BH131" s="83"/>
    </row>
    <row r="132" spans="1:60" x14ac:dyDescent="0.25">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row>
    <row r="133" spans="1:60" x14ac:dyDescent="0.25">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c r="AV133" s="83"/>
      <c r="AW133" s="83"/>
      <c r="AX133" s="83"/>
      <c r="AY133" s="83"/>
      <c r="AZ133" s="83"/>
      <c r="BA133" s="83"/>
      <c r="BB133" s="83"/>
      <c r="BC133" s="83"/>
      <c r="BD133" s="83"/>
      <c r="BE133" s="83"/>
      <c r="BF133" s="83"/>
      <c r="BG133" s="83"/>
      <c r="BH133" s="83"/>
    </row>
    <row r="134" spans="1:60" x14ac:dyDescent="0.25">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c r="AV134" s="83"/>
      <c r="AW134" s="83"/>
      <c r="AX134" s="83"/>
      <c r="AY134" s="83"/>
      <c r="AZ134" s="83"/>
      <c r="BA134" s="83"/>
      <c r="BB134" s="83"/>
      <c r="BC134" s="83"/>
      <c r="BD134" s="83"/>
      <c r="BE134" s="83"/>
      <c r="BF134" s="83"/>
      <c r="BG134" s="83"/>
      <c r="BH134" s="83"/>
    </row>
    <row r="135" spans="1:60" x14ac:dyDescent="0.25">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c r="BA135" s="83"/>
      <c r="BB135" s="83"/>
      <c r="BC135" s="83"/>
      <c r="BD135" s="83"/>
      <c r="BE135" s="83"/>
      <c r="BF135" s="83"/>
      <c r="BG135" s="83"/>
      <c r="BH135" s="83"/>
    </row>
    <row r="136" spans="1:60" x14ac:dyDescent="0.25">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c r="AV136" s="83"/>
      <c r="AW136" s="83"/>
      <c r="AX136" s="83"/>
      <c r="AY136" s="83"/>
      <c r="AZ136" s="83"/>
      <c r="BA136" s="83"/>
      <c r="BB136" s="83"/>
      <c r="BC136" s="83"/>
      <c r="BD136" s="83"/>
      <c r="BE136" s="83"/>
      <c r="BF136" s="83"/>
      <c r="BG136" s="83"/>
      <c r="BH136" s="83"/>
    </row>
    <row r="137" spans="1:60" x14ac:dyDescent="0.25">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c r="AV137" s="83"/>
      <c r="AW137" s="83"/>
      <c r="AX137" s="83"/>
      <c r="AY137" s="83"/>
      <c r="AZ137" s="83"/>
      <c r="BA137" s="83"/>
      <c r="BB137" s="83"/>
      <c r="BC137" s="83"/>
      <c r="BD137" s="83"/>
      <c r="BE137" s="83"/>
      <c r="BF137" s="83"/>
      <c r="BG137" s="83"/>
      <c r="BH137" s="83"/>
    </row>
    <row r="138" spans="1:60" x14ac:dyDescent="0.25">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c r="AT138" s="83"/>
      <c r="AU138" s="83"/>
      <c r="AV138" s="83"/>
      <c r="AW138" s="83"/>
      <c r="AX138" s="83"/>
      <c r="AY138" s="83"/>
      <c r="AZ138" s="83"/>
      <c r="BA138" s="83"/>
      <c r="BB138" s="83"/>
      <c r="BC138" s="83"/>
      <c r="BD138" s="83"/>
      <c r="BE138" s="83"/>
      <c r="BF138" s="83"/>
      <c r="BG138" s="83"/>
      <c r="BH138" s="83"/>
    </row>
    <row r="139" spans="1:60" x14ac:dyDescent="0.25">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c r="AT139" s="83"/>
      <c r="AU139" s="83"/>
      <c r="AV139" s="83"/>
      <c r="AW139" s="83"/>
      <c r="AX139" s="83"/>
      <c r="AY139" s="83"/>
      <c r="AZ139" s="83"/>
      <c r="BA139" s="83"/>
      <c r="BB139" s="83"/>
      <c r="BC139" s="83"/>
      <c r="BD139" s="83"/>
      <c r="BE139" s="83"/>
      <c r="BF139" s="83"/>
      <c r="BG139" s="83"/>
      <c r="BH139" s="83"/>
    </row>
    <row r="140" spans="1:60" x14ac:dyDescent="0.25">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c r="AT140" s="83"/>
      <c r="AU140" s="83"/>
      <c r="AV140" s="83"/>
      <c r="AW140" s="83"/>
      <c r="AX140" s="83"/>
      <c r="AY140" s="83"/>
      <c r="AZ140" s="83"/>
      <c r="BA140" s="83"/>
      <c r="BB140" s="83"/>
      <c r="BC140" s="83"/>
      <c r="BD140" s="83"/>
      <c r="BE140" s="83"/>
      <c r="BF140" s="83"/>
      <c r="BG140" s="83"/>
      <c r="BH140" s="83"/>
    </row>
    <row r="141" spans="1:60" x14ac:dyDescent="0.25">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c r="AT141" s="83"/>
      <c r="AU141" s="83"/>
      <c r="AV141" s="83"/>
      <c r="AW141" s="83"/>
      <c r="AX141" s="83"/>
      <c r="AY141" s="83"/>
      <c r="AZ141" s="83"/>
      <c r="BA141" s="83"/>
      <c r="BB141" s="83"/>
      <c r="BC141" s="83"/>
      <c r="BD141" s="83"/>
      <c r="BE141" s="83"/>
      <c r="BF141" s="83"/>
      <c r="BG141" s="83"/>
      <c r="BH141" s="83"/>
    </row>
    <row r="142" spans="1:60" x14ac:dyDescent="0.25">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c r="AT142" s="83"/>
      <c r="AU142" s="83"/>
      <c r="AV142" s="83"/>
      <c r="AW142" s="83"/>
      <c r="AX142" s="83"/>
      <c r="AY142" s="83"/>
      <c r="AZ142" s="83"/>
      <c r="BA142" s="83"/>
      <c r="BB142" s="83"/>
      <c r="BC142" s="83"/>
      <c r="BD142" s="83"/>
      <c r="BE142" s="83"/>
      <c r="BF142" s="83"/>
      <c r="BG142" s="83"/>
      <c r="BH142" s="83"/>
    </row>
    <row r="143" spans="1:60" x14ac:dyDescent="0.25">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c r="AT143" s="83"/>
      <c r="AU143" s="83"/>
      <c r="AV143" s="83"/>
      <c r="AW143" s="83"/>
      <c r="AX143" s="83"/>
      <c r="AY143" s="83"/>
      <c r="AZ143" s="83"/>
      <c r="BA143" s="83"/>
      <c r="BB143" s="83"/>
      <c r="BC143" s="83"/>
      <c r="BD143" s="83"/>
      <c r="BE143" s="83"/>
      <c r="BF143" s="83"/>
      <c r="BG143" s="83"/>
      <c r="BH143" s="83"/>
    </row>
    <row r="144" spans="1:60" x14ac:dyDescent="0.25">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c r="AT144" s="83"/>
      <c r="AU144" s="83"/>
      <c r="AV144" s="83"/>
      <c r="AW144" s="83"/>
      <c r="AX144" s="83"/>
      <c r="AY144" s="83"/>
      <c r="AZ144" s="83"/>
      <c r="BA144" s="83"/>
      <c r="BB144" s="83"/>
      <c r="BC144" s="83"/>
      <c r="BD144" s="83"/>
      <c r="BE144" s="83"/>
      <c r="BF144" s="83"/>
      <c r="BG144" s="83"/>
      <c r="BH144" s="83"/>
    </row>
    <row r="145" spans="1:60" x14ac:dyDescent="0.25">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c r="AT145" s="83"/>
      <c r="AU145" s="83"/>
      <c r="AV145" s="83"/>
      <c r="AW145" s="83"/>
      <c r="AX145" s="83"/>
      <c r="AY145" s="83"/>
      <c r="AZ145" s="83"/>
      <c r="BA145" s="83"/>
      <c r="BB145" s="83"/>
      <c r="BC145" s="83"/>
      <c r="BD145" s="83"/>
      <c r="BE145" s="83"/>
      <c r="BF145" s="83"/>
      <c r="BG145" s="83"/>
      <c r="BH145" s="83"/>
    </row>
    <row r="146" spans="1:60" x14ac:dyDescent="0.25">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c r="AT146" s="83"/>
      <c r="AU146" s="83"/>
      <c r="AV146" s="83"/>
      <c r="AW146" s="83"/>
      <c r="AX146" s="83"/>
      <c r="AY146" s="83"/>
      <c r="AZ146" s="83"/>
      <c r="BA146" s="83"/>
      <c r="BB146" s="83"/>
      <c r="BC146" s="83"/>
      <c r="BD146" s="83"/>
      <c r="BE146" s="83"/>
      <c r="BF146" s="83"/>
      <c r="BG146" s="83"/>
      <c r="BH146" s="83"/>
    </row>
    <row r="147" spans="1:60" x14ac:dyDescent="0.25">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c r="AT147" s="83"/>
      <c r="AU147" s="83"/>
      <c r="AV147" s="83"/>
      <c r="AW147" s="83"/>
      <c r="AX147" s="83"/>
      <c r="AY147" s="83"/>
      <c r="AZ147" s="83"/>
      <c r="BA147" s="83"/>
      <c r="BB147" s="83"/>
      <c r="BC147" s="83"/>
      <c r="BD147" s="83"/>
      <c r="BE147" s="83"/>
      <c r="BF147" s="83"/>
      <c r="BG147" s="83"/>
      <c r="BH147" s="83"/>
    </row>
    <row r="148" spans="1:60" x14ac:dyDescent="0.25">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c r="AT148" s="83"/>
      <c r="AU148" s="83"/>
      <c r="AV148" s="83"/>
      <c r="AW148" s="83"/>
      <c r="AX148" s="83"/>
      <c r="AY148" s="83"/>
      <c r="AZ148" s="83"/>
      <c r="BA148" s="83"/>
      <c r="BB148" s="83"/>
      <c r="BC148" s="83"/>
      <c r="BD148" s="83"/>
      <c r="BE148" s="83"/>
      <c r="BF148" s="83"/>
      <c r="BG148" s="83"/>
      <c r="BH148" s="83"/>
    </row>
    <row r="149" spans="1:60" x14ac:dyDescent="0.25">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row>
    <row r="150" spans="1:60" x14ac:dyDescent="0.25">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c r="AT150" s="83"/>
      <c r="AU150" s="83"/>
      <c r="AV150" s="83"/>
      <c r="AW150" s="83"/>
      <c r="AX150" s="83"/>
      <c r="AY150" s="83"/>
      <c r="AZ150" s="83"/>
      <c r="BA150" s="83"/>
      <c r="BB150" s="83"/>
      <c r="BC150" s="83"/>
      <c r="BD150" s="83"/>
      <c r="BE150" s="83"/>
      <c r="BF150" s="83"/>
      <c r="BG150" s="83"/>
      <c r="BH150" s="83"/>
    </row>
    <row r="151" spans="1:60" x14ac:dyDescent="0.25">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c r="AT151" s="83"/>
      <c r="AU151" s="83"/>
      <c r="AV151" s="83"/>
      <c r="AW151" s="83"/>
      <c r="AX151" s="83"/>
      <c r="AY151" s="83"/>
      <c r="AZ151" s="83"/>
      <c r="BA151" s="83"/>
      <c r="BB151" s="83"/>
      <c r="BC151" s="83"/>
      <c r="BD151" s="83"/>
      <c r="BE151" s="83"/>
      <c r="BF151" s="83"/>
      <c r="BG151" s="83"/>
      <c r="BH151" s="83"/>
    </row>
    <row r="152" spans="1:60" x14ac:dyDescent="0.25">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c r="AT152" s="83"/>
      <c r="AU152" s="83"/>
      <c r="AV152" s="83"/>
      <c r="AW152" s="83"/>
      <c r="AX152" s="83"/>
      <c r="AY152" s="83"/>
      <c r="AZ152" s="83"/>
      <c r="BA152" s="83"/>
      <c r="BB152" s="83"/>
      <c r="BC152" s="83"/>
      <c r="BD152" s="83"/>
      <c r="BE152" s="83"/>
      <c r="BF152" s="83"/>
      <c r="BG152" s="83"/>
      <c r="BH152" s="83"/>
    </row>
    <row r="153" spans="1:60" x14ac:dyDescent="0.25">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c r="AT153" s="83"/>
      <c r="AU153" s="83"/>
      <c r="AV153" s="83"/>
      <c r="AW153" s="83"/>
      <c r="AX153" s="83"/>
      <c r="AY153" s="83"/>
      <c r="AZ153" s="83"/>
      <c r="BA153" s="83"/>
      <c r="BB153" s="83"/>
      <c r="BC153" s="83"/>
      <c r="BD153" s="83"/>
      <c r="BE153" s="83"/>
      <c r="BF153" s="83"/>
      <c r="BG153" s="83"/>
      <c r="BH153" s="83"/>
    </row>
    <row r="154" spans="1:60" x14ac:dyDescent="0.25">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c r="AT154" s="83"/>
      <c r="AU154" s="83"/>
      <c r="AV154" s="83"/>
      <c r="AW154" s="83"/>
      <c r="AX154" s="83"/>
      <c r="AY154" s="83"/>
      <c r="AZ154" s="83"/>
      <c r="BA154" s="83"/>
      <c r="BB154" s="83"/>
      <c r="BC154" s="83"/>
      <c r="BD154" s="83"/>
      <c r="BE154" s="83"/>
      <c r="BF154" s="83"/>
      <c r="BG154" s="83"/>
      <c r="BH154" s="83"/>
    </row>
    <row r="155" spans="1:60" x14ac:dyDescent="0.25">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c r="AT155" s="83"/>
      <c r="AU155" s="83"/>
      <c r="AV155" s="83"/>
      <c r="AW155" s="83"/>
      <c r="AX155" s="83"/>
      <c r="AY155" s="83"/>
      <c r="AZ155" s="83"/>
      <c r="BA155" s="83"/>
      <c r="BB155" s="83"/>
      <c r="BC155" s="83"/>
      <c r="BD155" s="83"/>
      <c r="BE155" s="83"/>
      <c r="BF155" s="83"/>
      <c r="BG155" s="83"/>
      <c r="BH155" s="83"/>
    </row>
    <row r="156" spans="1:60" x14ac:dyDescent="0.25">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c r="AT156" s="83"/>
      <c r="AU156" s="83"/>
      <c r="AV156" s="83"/>
      <c r="AW156" s="83"/>
      <c r="AX156" s="83"/>
      <c r="AY156" s="83"/>
      <c r="AZ156" s="83"/>
      <c r="BA156" s="83"/>
      <c r="BB156" s="83"/>
      <c r="BC156" s="83"/>
      <c r="BD156" s="83"/>
      <c r="BE156" s="83"/>
      <c r="BF156" s="83"/>
      <c r="BG156" s="83"/>
      <c r="BH156" s="83"/>
    </row>
    <row r="157" spans="1:60" x14ac:dyDescent="0.25">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c r="AT157" s="83"/>
      <c r="AU157" s="83"/>
      <c r="AV157" s="83"/>
      <c r="AW157" s="83"/>
      <c r="AX157" s="83"/>
      <c r="AY157" s="83"/>
      <c r="AZ157" s="83"/>
      <c r="BA157" s="83"/>
      <c r="BB157" s="83"/>
      <c r="BC157" s="83"/>
      <c r="BD157" s="83"/>
      <c r="BE157" s="83"/>
      <c r="BF157" s="83"/>
      <c r="BG157" s="83"/>
      <c r="BH157" s="83"/>
    </row>
    <row r="158" spans="1:60" x14ac:dyDescent="0.25">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row>
    <row r="159" spans="1:60" x14ac:dyDescent="0.25">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row>
    <row r="160" spans="1:60" x14ac:dyDescent="0.25">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row>
    <row r="161" spans="1:60" x14ac:dyDescent="0.25">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c r="AV161" s="83"/>
      <c r="AW161" s="83"/>
      <c r="AX161" s="83"/>
      <c r="AY161" s="83"/>
      <c r="AZ161" s="83"/>
      <c r="BA161" s="83"/>
      <c r="BB161" s="83"/>
      <c r="BC161" s="83"/>
      <c r="BD161" s="83"/>
      <c r="BE161" s="83"/>
      <c r="BF161" s="83"/>
      <c r="BG161" s="83"/>
      <c r="BH161" s="83"/>
    </row>
    <row r="162" spans="1:60" x14ac:dyDescent="0.25">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c r="AV162" s="83"/>
      <c r="AW162" s="83"/>
      <c r="AX162" s="83"/>
      <c r="AY162" s="83"/>
      <c r="AZ162" s="83"/>
      <c r="BA162" s="83"/>
      <c r="BB162" s="83"/>
      <c r="BC162" s="83"/>
      <c r="BD162" s="83"/>
      <c r="BE162" s="83"/>
      <c r="BF162" s="83"/>
      <c r="BG162" s="83"/>
      <c r="BH162" s="83"/>
    </row>
    <row r="163" spans="1:60"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c r="AV163" s="83"/>
      <c r="AW163" s="83"/>
      <c r="AX163" s="83"/>
      <c r="AY163" s="83"/>
      <c r="AZ163" s="83"/>
      <c r="BA163" s="83"/>
      <c r="BB163" s="83"/>
      <c r="BC163" s="83"/>
      <c r="BD163" s="83"/>
      <c r="BE163" s="83"/>
      <c r="BF163" s="83"/>
      <c r="BG163" s="83"/>
      <c r="BH163" s="83"/>
    </row>
    <row r="164" spans="1:60" x14ac:dyDescent="0.25">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c r="AV164" s="83"/>
      <c r="AW164" s="83"/>
      <c r="AX164" s="83"/>
      <c r="AY164" s="83"/>
      <c r="AZ164" s="83"/>
      <c r="BA164" s="83"/>
      <c r="BB164" s="83"/>
      <c r="BC164" s="83"/>
      <c r="BD164" s="83"/>
      <c r="BE164" s="83"/>
      <c r="BF164" s="83"/>
      <c r="BG164" s="83"/>
      <c r="BH164" s="83"/>
    </row>
    <row r="165" spans="1:60" x14ac:dyDescent="0.25">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c r="AV165" s="83"/>
      <c r="AW165" s="83"/>
      <c r="AX165" s="83"/>
      <c r="AY165" s="83"/>
      <c r="AZ165" s="83"/>
      <c r="BA165" s="83"/>
      <c r="BB165" s="83"/>
      <c r="BC165" s="83"/>
      <c r="BD165" s="83"/>
      <c r="BE165" s="83"/>
      <c r="BF165" s="83"/>
      <c r="BG165" s="83"/>
      <c r="BH165" s="83"/>
    </row>
    <row r="166" spans="1:60" x14ac:dyDescent="0.25">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c r="AV166" s="83"/>
      <c r="AW166" s="83"/>
      <c r="AX166" s="83"/>
      <c r="AY166" s="83"/>
      <c r="AZ166" s="83"/>
      <c r="BA166" s="83"/>
      <c r="BB166" s="83"/>
      <c r="BC166" s="83"/>
      <c r="BD166" s="83"/>
      <c r="BE166" s="83"/>
      <c r="BF166" s="83"/>
      <c r="BG166" s="83"/>
      <c r="BH166" s="83"/>
    </row>
    <row r="167" spans="1:60" x14ac:dyDescent="0.25">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c r="AT167" s="83"/>
      <c r="AU167" s="83"/>
      <c r="AV167" s="83"/>
      <c r="AW167" s="83"/>
      <c r="AX167" s="83"/>
      <c r="AY167" s="83"/>
      <c r="AZ167" s="83"/>
      <c r="BA167" s="83"/>
      <c r="BB167" s="83"/>
      <c r="BC167" s="83"/>
      <c r="BD167" s="83"/>
      <c r="BE167" s="83"/>
      <c r="BF167" s="83"/>
      <c r="BG167" s="83"/>
      <c r="BH167" s="83"/>
    </row>
    <row r="168" spans="1:60" x14ac:dyDescent="0.25">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c r="AT168" s="83"/>
      <c r="AU168" s="83"/>
      <c r="AV168" s="83"/>
      <c r="AW168" s="83"/>
      <c r="AX168" s="83"/>
      <c r="AY168" s="83"/>
      <c r="AZ168" s="83"/>
      <c r="BA168" s="83"/>
      <c r="BB168" s="83"/>
      <c r="BC168" s="83"/>
      <c r="BD168" s="83"/>
      <c r="BE168" s="83"/>
      <c r="BF168" s="83"/>
      <c r="BG168" s="83"/>
      <c r="BH168" s="83"/>
    </row>
    <row r="169" spans="1:60" x14ac:dyDescent="0.25">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c r="AT169" s="83"/>
      <c r="AU169" s="83"/>
      <c r="AV169" s="83"/>
      <c r="AW169" s="83"/>
      <c r="AX169" s="83"/>
      <c r="AY169" s="83"/>
      <c r="AZ169" s="83"/>
      <c r="BA169" s="83"/>
      <c r="BB169" s="83"/>
      <c r="BC169" s="83"/>
      <c r="BD169" s="83"/>
      <c r="BE169" s="83"/>
      <c r="BF169" s="83"/>
      <c r="BG169" s="83"/>
      <c r="BH169" s="83"/>
    </row>
    <row r="170" spans="1:60" x14ac:dyDescent="0.25">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c r="AT170" s="83"/>
      <c r="AU170" s="83"/>
      <c r="AV170" s="83"/>
      <c r="AW170" s="83"/>
      <c r="AX170" s="83"/>
      <c r="AY170" s="83"/>
      <c r="AZ170" s="83"/>
      <c r="BA170" s="83"/>
      <c r="BB170" s="83"/>
      <c r="BC170" s="83"/>
      <c r="BD170" s="83"/>
      <c r="BE170" s="83"/>
      <c r="BF170" s="83"/>
      <c r="BG170" s="83"/>
      <c r="BH170" s="83"/>
    </row>
    <row r="171" spans="1:60" x14ac:dyDescent="0.25">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c r="AT171" s="83"/>
      <c r="AU171" s="83"/>
      <c r="AV171" s="83"/>
      <c r="AW171" s="83"/>
      <c r="AX171" s="83"/>
      <c r="AY171" s="83"/>
      <c r="AZ171" s="83"/>
      <c r="BA171" s="83"/>
      <c r="BB171" s="83"/>
      <c r="BC171" s="83"/>
      <c r="BD171" s="83"/>
      <c r="BE171" s="83"/>
      <c r="BF171" s="83"/>
      <c r="BG171" s="83"/>
      <c r="BH171" s="83"/>
    </row>
    <row r="172" spans="1:60" x14ac:dyDescent="0.25">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c r="BC172" s="83"/>
      <c r="BD172" s="83"/>
      <c r="BE172" s="83"/>
      <c r="BF172" s="83"/>
      <c r="BG172" s="83"/>
      <c r="BH172" s="83"/>
    </row>
    <row r="173" spans="1:60" x14ac:dyDescent="0.25">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c r="BC173" s="83"/>
      <c r="BD173" s="83"/>
      <c r="BE173" s="83"/>
      <c r="BF173" s="83"/>
      <c r="BG173" s="83"/>
      <c r="BH173" s="83"/>
    </row>
    <row r="174" spans="1:60" x14ac:dyDescent="0.25">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c r="BC174" s="83"/>
      <c r="BD174" s="83"/>
      <c r="BE174" s="83"/>
      <c r="BF174" s="83"/>
      <c r="BG174" s="83"/>
      <c r="BH174" s="83"/>
    </row>
    <row r="175" spans="1:60" x14ac:dyDescent="0.25">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c r="BC175" s="83"/>
      <c r="BD175" s="83"/>
      <c r="BE175" s="83"/>
      <c r="BF175" s="83"/>
      <c r="BG175" s="83"/>
      <c r="BH175" s="83"/>
    </row>
    <row r="176" spans="1:60" x14ac:dyDescent="0.25">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c r="BC176" s="83"/>
      <c r="BD176" s="83"/>
      <c r="BE176" s="83"/>
      <c r="BF176" s="83"/>
      <c r="BG176" s="83"/>
      <c r="BH176" s="83"/>
    </row>
    <row r="177" spans="1:60" x14ac:dyDescent="0.25">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c r="BC177" s="83"/>
      <c r="BD177" s="83"/>
      <c r="BE177" s="83"/>
      <c r="BF177" s="83"/>
      <c r="BG177" s="83"/>
      <c r="BH177" s="83"/>
    </row>
    <row r="178" spans="1:60" x14ac:dyDescent="0.25">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c r="BC178" s="83"/>
      <c r="BD178" s="83"/>
      <c r="BE178" s="83"/>
      <c r="BF178" s="83"/>
      <c r="BG178" s="83"/>
      <c r="BH178" s="83"/>
    </row>
    <row r="179" spans="1:60" x14ac:dyDescent="0.25">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c r="BC179" s="83"/>
      <c r="BD179" s="83"/>
      <c r="BE179" s="83"/>
      <c r="BF179" s="83"/>
      <c r="BG179" s="83"/>
      <c r="BH179" s="83"/>
    </row>
    <row r="180" spans="1:60" x14ac:dyDescent="0.25">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c r="BC180" s="83"/>
      <c r="BD180" s="83"/>
      <c r="BE180" s="83"/>
      <c r="BF180" s="83"/>
      <c r="BG180" s="83"/>
      <c r="BH180" s="83"/>
    </row>
    <row r="181" spans="1:60" x14ac:dyDescent="0.25">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c r="BC181" s="83"/>
      <c r="BD181" s="83"/>
      <c r="BE181" s="83"/>
      <c r="BF181" s="83"/>
      <c r="BG181" s="83"/>
      <c r="BH181" s="83"/>
    </row>
    <row r="182" spans="1:60" x14ac:dyDescent="0.25">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c r="BC182" s="83"/>
      <c r="BD182" s="83"/>
      <c r="BE182" s="83"/>
      <c r="BF182" s="83"/>
      <c r="BG182" s="83"/>
      <c r="BH182" s="83"/>
    </row>
    <row r="183" spans="1:60" x14ac:dyDescent="0.25">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c r="BC183" s="83"/>
      <c r="BD183" s="83"/>
      <c r="BE183" s="83"/>
      <c r="BF183" s="83"/>
      <c r="BG183" s="83"/>
      <c r="BH183" s="83"/>
    </row>
    <row r="184" spans="1:60" x14ac:dyDescent="0.25">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c r="BC184" s="83"/>
      <c r="BD184" s="83"/>
      <c r="BE184" s="83"/>
      <c r="BF184" s="83"/>
      <c r="BG184" s="83"/>
      <c r="BH184" s="83"/>
    </row>
    <row r="185" spans="1:60" x14ac:dyDescent="0.25">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c r="BC185" s="83"/>
      <c r="BD185" s="83"/>
      <c r="BE185" s="83"/>
      <c r="BF185" s="83"/>
      <c r="BG185" s="83"/>
      <c r="BH185" s="83"/>
    </row>
    <row r="186" spans="1:60" x14ac:dyDescent="0.25">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c r="BC186" s="83"/>
      <c r="BD186" s="83"/>
      <c r="BE186" s="83"/>
      <c r="BF186" s="83"/>
      <c r="BG186" s="83"/>
      <c r="BH186" s="83"/>
    </row>
    <row r="187" spans="1:60" x14ac:dyDescent="0.25">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c r="BC187" s="83"/>
      <c r="BD187" s="83"/>
      <c r="BE187" s="83"/>
      <c r="BF187" s="83"/>
      <c r="BG187" s="83"/>
      <c r="BH187" s="83"/>
    </row>
    <row r="188" spans="1:60" x14ac:dyDescent="0.25">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c r="BC188" s="83"/>
      <c r="BD188" s="83"/>
      <c r="BE188" s="83"/>
      <c r="BF188" s="83"/>
      <c r="BG188" s="83"/>
      <c r="BH188" s="83"/>
    </row>
    <row r="189" spans="1:60" x14ac:dyDescent="0.25">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c r="BC189" s="83"/>
      <c r="BD189" s="83"/>
      <c r="BE189" s="83"/>
      <c r="BF189" s="83"/>
      <c r="BG189" s="83"/>
      <c r="BH189" s="83"/>
    </row>
    <row r="190" spans="1:60" x14ac:dyDescent="0.25">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c r="BC190" s="83"/>
      <c r="BD190" s="83"/>
      <c r="BE190" s="83"/>
      <c r="BF190" s="83"/>
      <c r="BG190" s="83"/>
      <c r="BH190" s="83"/>
    </row>
    <row r="191" spans="1:60" x14ac:dyDescent="0.25">
      <c r="A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c r="BC191" s="83"/>
      <c r="BD191" s="83"/>
      <c r="BE191" s="83"/>
      <c r="BF191" s="83"/>
      <c r="BG191" s="83"/>
      <c r="BH191" s="83"/>
    </row>
    <row r="192" spans="1:60" x14ac:dyDescent="0.25">
      <c r="A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c r="BC192" s="83"/>
      <c r="BD192" s="83"/>
      <c r="BE192" s="83"/>
      <c r="BF192" s="83"/>
      <c r="BG192" s="83"/>
      <c r="BH192" s="83"/>
    </row>
    <row r="193" spans="1:60" x14ac:dyDescent="0.25">
      <c r="A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c r="BC193" s="83"/>
      <c r="BD193" s="83"/>
      <c r="BE193" s="83"/>
      <c r="BF193" s="83"/>
      <c r="BG193" s="83"/>
      <c r="BH193" s="83"/>
    </row>
    <row r="194" spans="1:60" x14ac:dyDescent="0.25">
      <c r="A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c r="BC194" s="83"/>
      <c r="BD194" s="83"/>
      <c r="BE194" s="83"/>
      <c r="BF194" s="83"/>
      <c r="BG194" s="83"/>
      <c r="BH194" s="83"/>
    </row>
    <row r="195" spans="1:60" x14ac:dyDescent="0.25">
      <c r="A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c r="BC195" s="83"/>
      <c r="BD195" s="83"/>
      <c r="BE195" s="83"/>
      <c r="BF195" s="83"/>
      <c r="BG195" s="83"/>
      <c r="BH195" s="83"/>
    </row>
    <row r="196" spans="1:60" x14ac:dyDescent="0.25">
      <c r="A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c r="BC196" s="83"/>
      <c r="BD196" s="83"/>
      <c r="BE196" s="83"/>
      <c r="BF196" s="83"/>
      <c r="BG196" s="83"/>
      <c r="BH196" s="83"/>
    </row>
    <row r="197" spans="1:60" x14ac:dyDescent="0.25">
      <c r="A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c r="BC197" s="83"/>
      <c r="BD197" s="83"/>
      <c r="BE197" s="83"/>
      <c r="BF197" s="83"/>
      <c r="BG197" s="83"/>
      <c r="BH197" s="83"/>
    </row>
    <row r="198" spans="1:60" x14ac:dyDescent="0.25">
      <c r="A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c r="BC198" s="83"/>
      <c r="BD198" s="83"/>
      <c r="BE198" s="83"/>
      <c r="BF198" s="83"/>
      <c r="BG198" s="83"/>
      <c r="BH198" s="83"/>
    </row>
    <row r="199" spans="1:60" x14ac:dyDescent="0.25">
      <c r="A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c r="BC199" s="83"/>
      <c r="BD199" s="83"/>
      <c r="BE199" s="83"/>
      <c r="BF199" s="83"/>
      <c r="BG199" s="83"/>
      <c r="BH199" s="83"/>
    </row>
    <row r="200" spans="1:60" x14ac:dyDescent="0.25">
      <c r="A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c r="BC200" s="83"/>
      <c r="BD200" s="83"/>
      <c r="BE200" s="83"/>
      <c r="BF200" s="83"/>
      <c r="BG200" s="83"/>
      <c r="BH200" s="83"/>
    </row>
    <row r="201" spans="1:60" x14ac:dyDescent="0.25">
      <c r="A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c r="BC201" s="83"/>
      <c r="BD201" s="83"/>
      <c r="BE201" s="83"/>
      <c r="BF201" s="83"/>
      <c r="BG201" s="83"/>
      <c r="BH201" s="83"/>
    </row>
    <row r="202" spans="1:60" x14ac:dyDescent="0.25">
      <c r="A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c r="BC202" s="83"/>
      <c r="BD202" s="83"/>
      <c r="BE202" s="83"/>
      <c r="BF202" s="83"/>
      <c r="BG202" s="83"/>
      <c r="BH202" s="83"/>
    </row>
    <row r="203" spans="1:60" x14ac:dyDescent="0.25">
      <c r="A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c r="BC203" s="83"/>
      <c r="BD203" s="83"/>
      <c r="BE203" s="83"/>
      <c r="BF203" s="83"/>
      <c r="BG203" s="83"/>
      <c r="BH203" s="83"/>
    </row>
    <row r="204" spans="1:60" x14ac:dyDescent="0.25">
      <c r="A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c r="BC204" s="83"/>
      <c r="BD204" s="83"/>
      <c r="BE204" s="83"/>
      <c r="BF204" s="83"/>
      <c r="BG204" s="83"/>
      <c r="BH204" s="83"/>
    </row>
    <row r="205" spans="1:60" x14ac:dyDescent="0.25">
      <c r="A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c r="BC205" s="83"/>
      <c r="BD205" s="83"/>
      <c r="BE205" s="83"/>
      <c r="BF205" s="83"/>
      <c r="BG205" s="83"/>
      <c r="BH205" s="83"/>
    </row>
    <row r="206" spans="1:60" x14ac:dyDescent="0.25">
      <c r="A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c r="BC206" s="83"/>
      <c r="BD206" s="83"/>
      <c r="BE206" s="83"/>
      <c r="BF206" s="83"/>
      <c r="BG206" s="83"/>
      <c r="BH206" s="83"/>
    </row>
    <row r="207" spans="1:60" x14ac:dyDescent="0.25">
      <c r="A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c r="BC207" s="83"/>
      <c r="BD207" s="83"/>
      <c r="BE207" s="83"/>
      <c r="BF207" s="83"/>
      <c r="BG207" s="83"/>
      <c r="BH207" s="83"/>
    </row>
    <row r="208" spans="1:60" x14ac:dyDescent="0.25">
      <c r="A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c r="BC208" s="83"/>
      <c r="BD208" s="83"/>
      <c r="BE208" s="83"/>
      <c r="BF208" s="83"/>
      <c r="BG208" s="83"/>
      <c r="BH208" s="83"/>
    </row>
    <row r="209" spans="1:60" x14ac:dyDescent="0.25">
      <c r="A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c r="BC209" s="83"/>
      <c r="BD209" s="83"/>
      <c r="BE209" s="83"/>
      <c r="BF209" s="83"/>
      <c r="BG209" s="83"/>
      <c r="BH209" s="83"/>
    </row>
    <row r="210" spans="1:60" x14ac:dyDescent="0.25">
      <c r="A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c r="BC210" s="83"/>
      <c r="BD210" s="83"/>
      <c r="BE210" s="83"/>
      <c r="BF210" s="83"/>
      <c r="BG210" s="83"/>
      <c r="BH210" s="83"/>
    </row>
    <row r="211" spans="1:60" x14ac:dyDescent="0.25">
      <c r="A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c r="BC211" s="83"/>
      <c r="BD211" s="83"/>
      <c r="BE211" s="83"/>
      <c r="BF211" s="83"/>
      <c r="BG211" s="83"/>
      <c r="BH211" s="83"/>
    </row>
    <row r="212" spans="1:60" x14ac:dyDescent="0.25">
      <c r="A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c r="BC212" s="83"/>
      <c r="BD212" s="83"/>
      <c r="BE212" s="83"/>
      <c r="BF212" s="83"/>
      <c r="BG212" s="83"/>
      <c r="BH212" s="83"/>
    </row>
    <row r="213" spans="1:60" x14ac:dyDescent="0.25">
      <c r="A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c r="BC213" s="83"/>
      <c r="BD213" s="83"/>
      <c r="BE213" s="83"/>
      <c r="BF213" s="83"/>
      <c r="BG213" s="83"/>
      <c r="BH213" s="83"/>
    </row>
    <row r="214" spans="1:60" x14ac:dyDescent="0.25">
      <c r="A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c r="BC214" s="83"/>
      <c r="BD214" s="83"/>
      <c r="BE214" s="83"/>
      <c r="BF214" s="83"/>
      <c r="BG214" s="83"/>
      <c r="BH214" s="83"/>
    </row>
    <row r="215" spans="1:60" x14ac:dyDescent="0.25">
      <c r="A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c r="BC215" s="83"/>
      <c r="BD215" s="83"/>
      <c r="BE215" s="83"/>
      <c r="BF215" s="83"/>
      <c r="BG215" s="83"/>
      <c r="BH215" s="83"/>
    </row>
    <row r="216" spans="1:60" x14ac:dyDescent="0.25">
      <c r="A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c r="BC216" s="83"/>
      <c r="BD216" s="83"/>
      <c r="BE216" s="83"/>
      <c r="BF216" s="83"/>
      <c r="BG216" s="83"/>
      <c r="BH216" s="83"/>
    </row>
    <row r="217" spans="1:60" x14ac:dyDescent="0.25">
      <c r="A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c r="BC217" s="83"/>
      <c r="BD217" s="83"/>
      <c r="BE217" s="83"/>
      <c r="BF217" s="83"/>
      <c r="BG217" s="83"/>
      <c r="BH217" s="83"/>
    </row>
    <row r="218" spans="1:60" x14ac:dyDescent="0.25">
      <c r="A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c r="BC218" s="83"/>
      <c r="BD218" s="83"/>
      <c r="BE218" s="83"/>
      <c r="BF218" s="83"/>
      <c r="BG218" s="83"/>
      <c r="BH218" s="83"/>
    </row>
    <row r="219" spans="1:60" x14ac:dyDescent="0.25">
      <c r="A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c r="BC219" s="83"/>
      <c r="BD219" s="83"/>
      <c r="BE219" s="83"/>
      <c r="BF219" s="83"/>
      <c r="BG219" s="83"/>
      <c r="BH219" s="83"/>
    </row>
    <row r="220" spans="1:60" x14ac:dyDescent="0.25">
      <c r="A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c r="BC220" s="83"/>
      <c r="BD220" s="83"/>
      <c r="BE220" s="83"/>
      <c r="BF220" s="83"/>
      <c r="BG220" s="83"/>
      <c r="BH220" s="83"/>
    </row>
    <row r="221" spans="1:60" x14ac:dyDescent="0.25">
      <c r="A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row>
    <row r="222" spans="1:60" x14ac:dyDescent="0.25">
      <c r="A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row>
    <row r="223" spans="1:60" x14ac:dyDescent="0.25">
      <c r="A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c r="BC223" s="83"/>
      <c r="BD223" s="83"/>
      <c r="BE223" s="83"/>
      <c r="BF223" s="83"/>
      <c r="BG223" s="83"/>
      <c r="BH223" s="83"/>
    </row>
    <row r="224" spans="1:60" x14ac:dyDescent="0.25">
      <c r="A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c r="BC224" s="83"/>
      <c r="BD224" s="83"/>
      <c r="BE224" s="83"/>
      <c r="BF224" s="83"/>
      <c r="BG224" s="83"/>
      <c r="BH224" s="83"/>
    </row>
    <row r="225" spans="1:60" x14ac:dyDescent="0.25">
      <c r="A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c r="BC225" s="83"/>
      <c r="BD225" s="83"/>
      <c r="BE225" s="83"/>
      <c r="BF225" s="83"/>
      <c r="BG225" s="83"/>
      <c r="BH225" s="83"/>
    </row>
    <row r="226" spans="1:60" x14ac:dyDescent="0.25">
      <c r="A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c r="BC226" s="83"/>
      <c r="BD226" s="83"/>
      <c r="BE226" s="83"/>
      <c r="BF226" s="83"/>
      <c r="BG226" s="83"/>
      <c r="BH226" s="83"/>
    </row>
    <row r="227" spans="1:60" x14ac:dyDescent="0.25">
      <c r="A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c r="BC227" s="83"/>
      <c r="BD227" s="83"/>
      <c r="BE227" s="83"/>
      <c r="BF227" s="83"/>
      <c r="BG227" s="83"/>
      <c r="BH227" s="83"/>
    </row>
    <row r="228" spans="1:60" x14ac:dyDescent="0.25">
      <c r="A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c r="BC228" s="83"/>
      <c r="BD228" s="83"/>
      <c r="BE228" s="83"/>
      <c r="BF228" s="83"/>
      <c r="BG228" s="83"/>
      <c r="BH228" s="83"/>
    </row>
    <row r="229" spans="1:60" x14ac:dyDescent="0.25">
      <c r="A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c r="BC229" s="83"/>
      <c r="BD229" s="83"/>
      <c r="BE229" s="83"/>
      <c r="BF229" s="83"/>
      <c r="BG229" s="83"/>
      <c r="BH229" s="83"/>
    </row>
    <row r="230" spans="1:60" x14ac:dyDescent="0.25">
      <c r="A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c r="BC230" s="83"/>
      <c r="BD230" s="83"/>
      <c r="BE230" s="83"/>
      <c r="BF230" s="83"/>
      <c r="BG230" s="83"/>
      <c r="BH230" s="83"/>
    </row>
    <row r="231" spans="1:60" x14ac:dyDescent="0.25">
      <c r="A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c r="BC231" s="83"/>
      <c r="BD231" s="83"/>
      <c r="BE231" s="83"/>
      <c r="BF231" s="83"/>
      <c r="BG231" s="83"/>
      <c r="BH231" s="83"/>
    </row>
    <row r="232" spans="1:60" x14ac:dyDescent="0.25">
      <c r="A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c r="BC232" s="83"/>
      <c r="BD232" s="83"/>
      <c r="BE232" s="83"/>
      <c r="BF232" s="83"/>
      <c r="BG232" s="83"/>
      <c r="BH232" s="83"/>
    </row>
    <row r="233" spans="1:60" x14ac:dyDescent="0.25">
      <c r="A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c r="BC233" s="83"/>
      <c r="BD233" s="83"/>
      <c r="BE233" s="83"/>
      <c r="BF233" s="83"/>
      <c r="BG233" s="83"/>
      <c r="BH233" s="83"/>
    </row>
    <row r="234" spans="1:60" x14ac:dyDescent="0.25">
      <c r="A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c r="BC234" s="83"/>
      <c r="BD234" s="83"/>
      <c r="BE234" s="83"/>
      <c r="BF234" s="83"/>
      <c r="BG234" s="83"/>
      <c r="BH234" s="83"/>
    </row>
    <row r="235" spans="1:60" x14ac:dyDescent="0.25">
      <c r="A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c r="BC235" s="83"/>
      <c r="BD235" s="83"/>
      <c r="BE235" s="83"/>
      <c r="BF235" s="83"/>
      <c r="BG235" s="83"/>
      <c r="BH235" s="83"/>
    </row>
    <row r="236" spans="1:60" x14ac:dyDescent="0.25">
      <c r="A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c r="BC236" s="83"/>
      <c r="BD236" s="83"/>
      <c r="BE236" s="83"/>
      <c r="BF236" s="83"/>
      <c r="BG236" s="83"/>
      <c r="BH236" s="83"/>
    </row>
    <row r="237" spans="1:60" x14ac:dyDescent="0.25">
      <c r="A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c r="BC237" s="83"/>
      <c r="BD237" s="83"/>
      <c r="BE237" s="83"/>
      <c r="BF237" s="83"/>
      <c r="BG237" s="83"/>
      <c r="BH237" s="83"/>
    </row>
    <row r="238" spans="1:60" x14ac:dyDescent="0.25">
      <c r="A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c r="BC238" s="83"/>
      <c r="BD238" s="83"/>
      <c r="BE238" s="83"/>
      <c r="BF238" s="83"/>
      <c r="BG238" s="83"/>
      <c r="BH238" s="83"/>
    </row>
    <row r="239" spans="1:60" x14ac:dyDescent="0.25">
      <c r="A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c r="BC239" s="83"/>
      <c r="BD239" s="83"/>
      <c r="BE239" s="83"/>
      <c r="BF239" s="83"/>
      <c r="BG239" s="83"/>
      <c r="BH239" s="83"/>
    </row>
    <row r="240" spans="1:60" x14ac:dyDescent="0.25">
      <c r="A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c r="BC240" s="83"/>
      <c r="BD240" s="83"/>
      <c r="BE240" s="83"/>
      <c r="BF240" s="83"/>
      <c r="BG240" s="83"/>
      <c r="BH240" s="83"/>
    </row>
    <row r="241" spans="1:60" x14ac:dyDescent="0.25">
      <c r="A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c r="BC241" s="83"/>
      <c r="BD241" s="83"/>
      <c r="BE241" s="83"/>
      <c r="BF241" s="83"/>
      <c r="BG241" s="83"/>
      <c r="BH241" s="83"/>
    </row>
    <row r="242" spans="1:60" x14ac:dyDescent="0.25">
      <c r="A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c r="BC242" s="83"/>
      <c r="BD242" s="83"/>
      <c r="BE242" s="83"/>
      <c r="BF242" s="83"/>
      <c r="BG242" s="83"/>
      <c r="BH242" s="83"/>
    </row>
    <row r="243" spans="1:60" x14ac:dyDescent="0.25">
      <c r="A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c r="BC243" s="83"/>
      <c r="BD243" s="83"/>
      <c r="BE243" s="83"/>
      <c r="BF243" s="83"/>
      <c r="BG243" s="83"/>
      <c r="BH243" s="83"/>
    </row>
    <row r="244" spans="1:60" x14ac:dyDescent="0.25">
      <c r="A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c r="BC244" s="83"/>
      <c r="BD244" s="83"/>
      <c r="BE244" s="83"/>
      <c r="BF244" s="83"/>
      <c r="BG244" s="83"/>
      <c r="BH244" s="83"/>
    </row>
    <row r="245" spans="1:60" x14ac:dyDescent="0.25">
      <c r="A245" s="83"/>
    </row>
    <row r="246" spans="1:60" x14ac:dyDescent="0.25">
      <c r="A246" s="83"/>
    </row>
    <row r="247" spans="1:60" x14ac:dyDescent="0.25">
      <c r="A247" s="83"/>
    </row>
    <row r="248" spans="1:60" x14ac:dyDescent="0.25">
      <c r="A248" s="83"/>
    </row>
  </sheetData>
  <sheetProtection algorithmName="SHA-512" hashValue="pk41qPkreGaIienBHjYN6qHrG0CgO529+BqkFfOkTGgU8ieLIk2ly7oHCkTe6nIJwtUs4b/6dT5t6eEiLeXG7Q==" saltValue="1Vg2zxH2JXOw6ZLmo/E9SA==" spinCount="100000" sheet="1" objects="1" scenarios="1"/>
  <mergeCells count="17">
    <mergeCell ref="J56:O61"/>
    <mergeCell ref="P56:U61"/>
    <mergeCell ref="V56:AA61"/>
    <mergeCell ref="AB56:AG61"/>
    <mergeCell ref="AH56:AM61"/>
    <mergeCell ref="AO16:AT25"/>
    <mergeCell ref="E16:I25"/>
    <mergeCell ref="AO6:AT15"/>
    <mergeCell ref="B2:I4"/>
    <mergeCell ref="J2:AM4"/>
    <mergeCell ref="B6:D55"/>
    <mergeCell ref="E6:I15"/>
    <mergeCell ref="E46:I55"/>
    <mergeCell ref="AO36:AT45"/>
    <mergeCell ref="E36:I45"/>
    <mergeCell ref="AO26:AT35"/>
    <mergeCell ref="E26:I3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E19"/>
  <sheetViews>
    <sheetView topLeftCell="A4" workbookViewId="0">
      <selection activeCell="B13" sqref="B13:B19"/>
    </sheetView>
  </sheetViews>
  <sheetFormatPr baseColWidth="10" defaultRowHeight="15" x14ac:dyDescent="0.25"/>
  <sheetData>
    <row r="2" spans="2:5" x14ac:dyDescent="0.25">
      <c r="B2" t="s">
        <v>31</v>
      </c>
      <c r="E2" t="s">
        <v>133</v>
      </c>
    </row>
    <row r="3" spans="2:5" x14ac:dyDescent="0.25">
      <c r="B3" t="s">
        <v>32</v>
      </c>
      <c r="E3" t="s">
        <v>132</v>
      </c>
    </row>
    <row r="4" spans="2:5" x14ac:dyDescent="0.25">
      <c r="B4" t="s">
        <v>137</v>
      </c>
      <c r="E4" t="s">
        <v>134</v>
      </c>
    </row>
    <row r="5" spans="2:5" x14ac:dyDescent="0.25">
      <c r="B5" t="s">
        <v>136</v>
      </c>
    </row>
    <row r="8" spans="2:5" x14ac:dyDescent="0.25">
      <c r="B8" t="s">
        <v>86</v>
      </c>
    </row>
    <row r="9" spans="2:5" x14ac:dyDescent="0.25">
      <c r="B9" t="s">
        <v>40</v>
      </c>
    </row>
    <row r="10" spans="2:5" x14ac:dyDescent="0.25">
      <c r="B10" t="s">
        <v>41</v>
      </c>
    </row>
    <row r="13" spans="2:5" x14ac:dyDescent="0.25">
      <c r="B13" t="s">
        <v>129</v>
      </c>
    </row>
    <row r="14" spans="2:5" x14ac:dyDescent="0.25">
      <c r="B14" t="s">
        <v>123</v>
      </c>
    </row>
    <row r="15" spans="2:5" x14ac:dyDescent="0.25">
      <c r="B15" t="s">
        <v>126</v>
      </c>
    </row>
    <row r="16" spans="2:5" x14ac:dyDescent="0.25">
      <c r="B16" t="s">
        <v>124</v>
      </c>
    </row>
    <row r="17" spans="2:2" x14ac:dyDescent="0.25">
      <c r="B17" t="s">
        <v>125</v>
      </c>
    </row>
    <row r="18" spans="2:2" x14ac:dyDescent="0.25">
      <c r="B18" t="s">
        <v>127</v>
      </c>
    </row>
    <row r="19" spans="2:2" x14ac:dyDescent="0.25">
      <c r="B19" t="s">
        <v>128</v>
      </c>
    </row>
  </sheetData>
  <sortState xmlns:xlrd2="http://schemas.microsoft.com/office/spreadsheetml/2017/richdata2" ref="B2:B5">
    <sortCondition ref="B2:B5"/>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A21"/>
  <sheetViews>
    <sheetView workbookViewId="0">
      <selection activeCell="A19" sqref="A19"/>
    </sheetView>
  </sheetViews>
  <sheetFormatPr baseColWidth="10" defaultRowHeight="12.75" x14ac:dyDescent="0.2"/>
  <cols>
    <col min="1" max="1" width="32.85546875" style="9" customWidth="1"/>
    <col min="2" max="16384" width="11.42578125" style="9"/>
  </cols>
  <sheetData>
    <row r="3" spans="1:1" x14ac:dyDescent="0.2">
      <c r="A3" s="10" t="s">
        <v>14</v>
      </c>
    </row>
    <row r="4" spans="1:1" x14ac:dyDescent="0.2">
      <c r="A4" s="10" t="s">
        <v>15</v>
      </c>
    </row>
    <row r="5" spans="1:1" x14ac:dyDescent="0.2">
      <c r="A5" s="10" t="s">
        <v>16</v>
      </c>
    </row>
    <row r="6" spans="1:1" x14ac:dyDescent="0.2">
      <c r="A6" s="10" t="s">
        <v>10</v>
      </c>
    </row>
    <row r="7" spans="1:1" x14ac:dyDescent="0.2">
      <c r="A7" s="10" t="s">
        <v>9</v>
      </c>
    </row>
    <row r="8" spans="1:1" x14ac:dyDescent="0.2">
      <c r="A8" s="10" t="s">
        <v>19</v>
      </c>
    </row>
    <row r="9" spans="1:1" x14ac:dyDescent="0.2">
      <c r="A9" s="10" t="s">
        <v>20</v>
      </c>
    </row>
    <row r="10" spans="1:1" x14ac:dyDescent="0.2">
      <c r="A10" s="10" t="s">
        <v>22</v>
      </c>
    </row>
    <row r="11" spans="1:1" x14ac:dyDescent="0.2">
      <c r="A11" s="10" t="s">
        <v>23</v>
      </c>
    </row>
    <row r="12" spans="1:1" x14ac:dyDescent="0.2">
      <c r="A12" s="10" t="s">
        <v>25</v>
      </c>
    </row>
    <row r="13" spans="1:1" x14ac:dyDescent="0.2">
      <c r="A13" s="10" t="s">
        <v>26</v>
      </c>
    </row>
    <row r="14" spans="1:1" x14ac:dyDescent="0.2">
      <c r="A14" s="10" t="s">
        <v>27</v>
      </c>
    </row>
    <row r="16" spans="1:1" x14ac:dyDescent="0.2">
      <c r="A16" s="10" t="s">
        <v>30</v>
      </c>
    </row>
    <row r="17" spans="1:1" x14ac:dyDescent="0.2">
      <c r="A17" s="10" t="s">
        <v>31</v>
      </c>
    </row>
    <row r="18" spans="1:1" x14ac:dyDescent="0.2">
      <c r="A18" s="10" t="s">
        <v>32</v>
      </c>
    </row>
    <row r="20" spans="1:1" x14ac:dyDescent="0.2">
      <c r="A20" s="10" t="s">
        <v>40</v>
      </c>
    </row>
    <row r="21" spans="1:1" x14ac:dyDescent="0.2">
      <c r="A21" s="10" t="s">
        <v>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43"/>
  <sheetViews>
    <sheetView zoomScale="70" zoomScaleNormal="70" workbookViewId="0">
      <selection activeCell="J1" sqref="J1"/>
    </sheetView>
  </sheetViews>
  <sheetFormatPr baseColWidth="10" defaultRowHeight="15" x14ac:dyDescent="0.25"/>
  <cols>
    <col min="1" max="1" width="2.85546875" style="83" customWidth="1"/>
    <col min="2" max="3" width="24.7109375" style="83" customWidth="1"/>
    <col min="4" max="4" width="16" style="83" customWidth="1"/>
    <col min="5" max="5" width="24.7109375" style="83" customWidth="1"/>
    <col min="6" max="6" width="27.7109375" style="83" customWidth="1"/>
    <col min="7" max="8" width="24.7109375" style="83" customWidth="1"/>
    <col min="9" max="16384" width="11.42578125" style="83"/>
  </cols>
  <sheetData>
    <row r="1" spans="2:8" ht="75" customHeight="1" x14ac:dyDescent="0.25"/>
    <row r="2" spans="2:8" ht="79.5" customHeight="1" thickBot="1" x14ac:dyDescent="0.3"/>
    <row r="3" spans="2:8" ht="18" x14ac:dyDescent="0.25">
      <c r="B3" s="555" t="s">
        <v>166</v>
      </c>
      <c r="C3" s="556"/>
      <c r="D3" s="556"/>
      <c r="E3" s="556"/>
      <c r="F3" s="556"/>
      <c r="G3" s="556"/>
      <c r="H3" s="557"/>
    </row>
    <row r="4" spans="2:8" x14ac:dyDescent="0.25">
      <c r="B4" s="84"/>
      <c r="C4" s="85"/>
      <c r="D4" s="85"/>
      <c r="E4" s="85"/>
      <c r="F4" s="85"/>
      <c r="G4" s="85"/>
      <c r="H4" s="86"/>
    </row>
    <row r="5" spans="2:8" ht="63" customHeight="1" x14ac:dyDescent="0.25">
      <c r="B5" s="558" t="s">
        <v>534</v>
      </c>
      <c r="C5" s="559"/>
      <c r="D5" s="559"/>
      <c r="E5" s="559"/>
      <c r="F5" s="559"/>
      <c r="G5" s="559"/>
      <c r="H5" s="560"/>
    </row>
    <row r="6" spans="2:8" ht="63" customHeight="1" x14ac:dyDescent="0.25">
      <c r="B6" s="561"/>
      <c r="C6" s="562"/>
      <c r="D6" s="562"/>
      <c r="E6" s="562"/>
      <c r="F6" s="562"/>
      <c r="G6" s="562"/>
      <c r="H6" s="563"/>
    </row>
    <row r="7" spans="2:8" ht="16.5" x14ac:dyDescent="0.25">
      <c r="B7" s="564" t="s">
        <v>164</v>
      </c>
      <c r="C7" s="565"/>
      <c r="D7" s="565"/>
      <c r="E7" s="565"/>
      <c r="F7" s="565"/>
      <c r="G7" s="565"/>
      <c r="H7" s="566"/>
    </row>
    <row r="8" spans="2:8" ht="95.25" customHeight="1" x14ac:dyDescent="0.25">
      <c r="B8" s="574" t="s">
        <v>535</v>
      </c>
      <c r="C8" s="575"/>
      <c r="D8" s="575"/>
      <c r="E8" s="575"/>
      <c r="F8" s="575"/>
      <c r="G8" s="575"/>
      <c r="H8" s="576"/>
    </row>
    <row r="9" spans="2:8" ht="16.5" x14ac:dyDescent="0.25">
      <c r="B9" s="120"/>
      <c r="C9" s="121"/>
      <c r="D9" s="121"/>
      <c r="E9" s="121"/>
      <c r="F9" s="121"/>
      <c r="G9" s="121"/>
      <c r="H9" s="122"/>
    </row>
    <row r="10" spans="2:8" ht="16.5" customHeight="1" x14ac:dyDescent="0.25">
      <c r="B10" s="567" t="s">
        <v>199</v>
      </c>
      <c r="C10" s="568"/>
      <c r="D10" s="568"/>
      <c r="E10" s="568"/>
      <c r="F10" s="568"/>
      <c r="G10" s="568"/>
      <c r="H10" s="569"/>
    </row>
    <row r="11" spans="2:8" ht="44.25" customHeight="1" x14ac:dyDescent="0.25">
      <c r="B11" s="567"/>
      <c r="C11" s="568"/>
      <c r="D11" s="568"/>
      <c r="E11" s="568"/>
      <c r="F11" s="568"/>
      <c r="G11" s="568"/>
      <c r="H11" s="569"/>
    </row>
    <row r="12" spans="2:8" ht="15.75" thickBot="1" x14ac:dyDescent="0.3">
      <c r="B12" s="109"/>
      <c r="C12" s="112"/>
      <c r="D12" s="117"/>
      <c r="E12" s="118"/>
      <c r="F12" s="118"/>
      <c r="G12" s="119"/>
      <c r="H12" s="113"/>
    </row>
    <row r="13" spans="2:8" ht="15.75" thickTop="1" x14ac:dyDescent="0.25">
      <c r="B13" s="109"/>
      <c r="C13" s="570" t="s">
        <v>165</v>
      </c>
      <c r="D13" s="571"/>
      <c r="E13" s="572" t="s">
        <v>200</v>
      </c>
      <c r="F13" s="573"/>
      <c r="G13" s="112"/>
      <c r="H13" s="113"/>
    </row>
    <row r="14" spans="2:8" ht="35.25" customHeight="1" x14ac:dyDescent="0.25">
      <c r="B14" s="109"/>
      <c r="C14" s="541" t="s">
        <v>193</v>
      </c>
      <c r="D14" s="542"/>
      <c r="E14" s="543" t="s">
        <v>198</v>
      </c>
      <c r="F14" s="544"/>
      <c r="G14" s="112"/>
      <c r="H14" s="113"/>
    </row>
    <row r="15" spans="2:8" ht="17.25" customHeight="1" x14ac:dyDescent="0.25">
      <c r="B15" s="109"/>
      <c r="C15" s="541" t="s">
        <v>194</v>
      </c>
      <c r="D15" s="542"/>
      <c r="E15" s="543" t="s">
        <v>196</v>
      </c>
      <c r="F15" s="544"/>
      <c r="G15" s="112"/>
      <c r="H15" s="113"/>
    </row>
    <row r="16" spans="2:8" ht="19.5" customHeight="1" x14ac:dyDescent="0.25">
      <c r="B16" s="109"/>
      <c r="C16" s="541" t="s">
        <v>195</v>
      </c>
      <c r="D16" s="542"/>
      <c r="E16" s="543" t="s">
        <v>197</v>
      </c>
      <c r="F16" s="544"/>
      <c r="G16" s="112"/>
      <c r="H16" s="113"/>
    </row>
    <row r="17" spans="2:8" ht="69.75" customHeight="1" x14ac:dyDescent="0.25">
      <c r="B17" s="109"/>
      <c r="C17" s="541" t="s">
        <v>167</v>
      </c>
      <c r="D17" s="542"/>
      <c r="E17" s="543" t="s">
        <v>168</v>
      </c>
      <c r="F17" s="544"/>
      <c r="G17" s="112"/>
      <c r="H17" s="113"/>
    </row>
    <row r="18" spans="2:8" ht="34.5" customHeight="1" x14ac:dyDescent="0.25">
      <c r="B18" s="109"/>
      <c r="C18" s="547" t="s">
        <v>2</v>
      </c>
      <c r="D18" s="548"/>
      <c r="E18" s="545" t="s">
        <v>201</v>
      </c>
      <c r="F18" s="546"/>
      <c r="G18" s="112"/>
      <c r="H18" s="113"/>
    </row>
    <row r="19" spans="2:8" ht="27.75" customHeight="1" x14ac:dyDescent="0.25">
      <c r="B19" s="109"/>
      <c r="C19" s="547" t="s">
        <v>3</v>
      </c>
      <c r="D19" s="548"/>
      <c r="E19" s="545" t="s">
        <v>202</v>
      </c>
      <c r="F19" s="546"/>
      <c r="G19" s="112"/>
      <c r="H19" s="113"/>
    </row>
    <row r="20" spans="2:8" ht="28.5" customHeight="1" x14ac:dyDescent="0.25">
      <c r="B20" s="109"/>
      <c r="C20" s="547" t="s">
        <v>42</v>
      </c>
      <c r="D20" s="548"/>
      <c r="E20" s="545" t="s">
        <v>203</v>
      </c>
      <c r="F20" s="546"/>
      <c r="G20" s="112"/>
      <c r="H20" s="113"/>
    </row>
    <row r="21" spans="2:8" ht="72.75" customHeight="1" x14ac:dyDescent="0.25">
      <c r="B21" s="109"/>
      <c r="C21" s="547" t="s">
        <v>1</v>
      </c>
      <c r="D21" s="548"/>
      <c r="E21" s="545" t="s">
        <v>536</v>
      </c>
      <c r="F21" s="546"/>
      <c r="G21" s="112"/>
      <c r="H21" s="113"/>
    </row>
    <row r="22" spans="2:8" ht="64.5" customHeight="1" x14ac:dyDescent="0.25">
      <c r="B22" s="109"/>
      <c r="C22" s="547" t="s">
        <v>50</v>
      </c>
      <c r="D22" s="548"/>
      <c r="E22" s="545" t="s">
        <v>170</v>
      </c>
      <c r="F22" s="546"/>
      <c r="G22" s="112"/>
      <c r="H22" s="113"/>
    </row>
    <row r="23" spans="2:8" ht="71.25" customHeight="1" x14ac:dyDescent="0.25">
      <c r="B23" s="109"/>
      <c r="C23" s="547" t="s">
        <v>169</v>
      </c>
      <c r="D23" s="548"/>
      <c r="E23" s="545" t="s">
        <v>171</v>
      </c>
      <c r="F23" s="546"/>
      <c r="G23" s="112"/>
      <c r="H23" s="113"/>
    </row>
    <row r="24" spans="2:8" ht="55.5" customHeight="1" x14ac:dyDescent="0.25">
      <c r="B24" s="109"/>
      <c r="C24" s="549" t="s">
        <v>172</v>
      </c>
      <c r="D24" s="550"/>
      <c r="E24" s="545" t="s">
        <v>173</v>
      </c>
      <c r="F24" s="546"/>
      <c r="G24" s="112"/>
      <c r="H24" s="113"/>
    </row>
    <row r="25" spans="2:8" ht="42" customHeight="1" x14ac:dyDescent="0.25">
      <c r="B25" s="109"/>
      <c r="C25" s="549" t="s">
        <v>48</v>
      </c>
      <c r="D25" s="550"/>
      <c r="E25" s="545" t="s">
        <v>174</v>
      </c>
      <c r="F25" s="546"/>
      <c r="G25" s="112"/>
      <c r="H25" s="113"/>
    </row>
    <row r="26" spans="2:8" ht="59.25" customHeight="1" x14ac:dyDescent="0.25">
      <c r="B26" s="109"/>
      <c r="C26" s="549" t="s">
        <v>163</v>
      </c>
      <c r="D26" s="550"/>
      <c r="E26" s="545" t="s">
        <v>537</v>
      </c>
      <c r="F26" s="546"/>
      <c r="G26" s="112"/>
      <c r="H26" s="113"/>
    </row>
    <row r="27" spans="2:8" ht="23.25" customHeight="1" x14ac:dyDescent="0.25">
      <c r="B27" s="109"/>
      <c r="C27" s="549" t="s">
        <v>12</v>
      </c>
      <c r="D27" s="550"/>
      <c r="E27" s="545" t="s">
        <v>175</v>
      </c>
      <c r="F27" s="546"/>
      <c r="G27" s="112"/>
      <c r="H27" s="113"/>
    </row>
    <row r="28" spans="2:8" ht="30.75" customHeight="1" x14ac:dyDescent="0.25">
      <c r="B28" s="109"/>
      <c r="C28" s="549" t="s">
        <v>179</v>
      </c>
      <c r="D28" s="550"/>
      <c r="E28" s="545" t="s">
        <v>176</v>
      </c>
      <c r="F28" s="546"/>
      <c r="G28" s="112"/>
      <c r="H28" s="113"/>
    </row>
    <row r="29" spans="2:8" ht="35.25" customHeight="1" x14ac:dyDescent="0.25">
      <c r="B29" s="109"/>
      <c r="C29" s="549" t="s">
        <v>180</v>
      </c>
      <c r="D29" s="550"/>
      <c r="E29" s="545" t="s">
        <v>177</v>
      </c>
      <c r="F29" s="546"/>
      <c r="G29" s="112"/>
      <c r="H29" s="113"/>
    </row>
    <row r="30" spans="2:8" ht="33" customHeight="1" x14ac:dyDescent="0.25">
      <c r="B30" s="109"/>
      <c r="C30" s="549" t="s">
        <v>180</v>
      </c>
      <c r="D30" s="550"/>
      <c r="E30" s="545" t="s">
        <v>177</v>
      </c>
      <c r="F30" s="546"/>
      <c r="G30" s="112"/>
      <c r="H30" s="113"/>
    </row>
    <row r="31" spans="2:8" ht="30" customHeight="1" x14ac:dyDescent="0.25">
      <c r="B31" s="109"/>
      <c r="C31" s="549" t="s">
        <v>181</v>
      </c>
      <c r="D31" s="550"/>
      <c r="E31" s="545" t="s">
        <v>178</v>
      </c>
      <c r="F31" s="546"/>
      <c r="G31" s="112"/>
      <c r="H31" s="113"/>
    </row>
    <row r="32" spans="2:8" ht="35.25" customHeight="1" x14ac:dyDescent="0.25">
      <c r="B32" s="109"/>
      <c r="C32" s="549" t="s">
        <v>182</v>
      </c>
      <c r="D32" s="550"/>
      <c r="E32" s="545" t="s">
        <v>183</v>
      </c>
      <c r="F32" s="546"/>
      <c r="G32" s="112"/>
      <c r="H32" s="113"/>
    </row>
    <row r="33" spans="2:8" ht="31.5" customHeight="1" x14ac:dyDescent="0.25">
      <c r="B33" s="109"/>
      <c r="C33" s="549" t="s">
        <v>184</v>
      </c>
      <c r="D33" s="550"/>
      <c r="E33" s="545" t="s">
        <v>185</v>
      </c>
      <c r="F33" s="546"/>
      <c r="G33" s="112"/>
      <c r="H33" s="113"/>
    </row>
    <row r="34" spans="2:8" ht="35.25" customHeight="1" x14ac:dyDescent="0.25">
      <c r="B34" s="109"/>
      <c r="C34" s="549" t="s">
        <v>186</v>
      </c>
      <c r="D34" s="550"/>
      <c r="E34" s="545" t="s">
        <v>187</v>
      </c>
      <c r="F34" s="546"/>
      <c r="G34" s="112"/>
      <c r="H34" s="113"/>
    </row>
    <row r="35" spans="2:8" ht="59.25" customHeight="1" x14ac:dyDescent="0.25">
      <c r="B35" s="109"/>
      <c r="C35" s="549" t="s">
        <v>188</v>
      </c>
      <c r="D35" s="550"/>
      <c r="E35" s="545" t="s">
        <v>538</v>
      </c>
      <c r="F35" s="546"/>
      <c r="G35" s="112"/>
      <c r="H35" s="113"/>
    </row>
    <row r="36" spans="2:8" ht="29.25" customHeight="1" x14ac:dyDescent="0.25">
      <c r="B36" s="109"/>
      <c r="C36" s="549" t="s">
        <v>29</v>
      </c>
      <c r="D36" s="550"/>
      <c r="E36" s="545" t="s">
        <v>189</v>
      </c>
      <c r="F36" s="546"/>
      <c r="G36" s="112"/>
      <c r="H36" s="113"/>
    </row>
    <row r="37" spans="2:8" ht="82.5" customHeight="1" x14ac:dyDescent="0.25">
      <c r="B37" s="109"/>
      <c r="C37" s="549" t="s">
        <v>191</v>
      </c>
      <c r="D37" s="550"/>
      <c r="E37" s="545" t="s">
        <v>190</v>
      </c>
      <c r="F37" s="546"/>
      <c r="G37" s="112"/>
      <c r="H37" s="113"/>
    </row>
    <row r="38" spans="2:8" ht="46.5" customHeight="1" x14ac:dyDescent="0.25">
      <c r="B38" s="109"/>
      <c r="C38" s="549" t="s">
        <v>39</v>
      </c>
      <c r="D38" s="550"/>
      <c r="E38" s="545" t="s">
        <v>192</v>
      </c>
      <c r="F38" s="546"/>
      <c r="G38" s="112"/>
      <c r="H38" s="113"/>
    </row>
    <row r="39" spans="2:8" ht="6.75" customHeight="1" thickBot="1" x14ac:dyDescent="0.3">
      <c r="B39" s="109"/>
      <c r="C39" s="551"/>
      <c r="D39" s="552"/>
      <c r="E39" s="553"/>
      <c r="F39" s="554"/>
      <c r="G39" s="112"/>
      <c r="H39" s="113"/>
    </row>
    <row r="40" spans="2:8" ht="15.75" thickTop="1" x14ac:dyDescent="0.25">
      <c r="B40" s="109"/>
      <c r="C40" s="110"/>
      <c r="D40" s="110"/>
      <c r="E40" s="111"/>
      <c r="F40" s="111"/>
      <c r="G40" s="112"/>
      <c r="H40" s="113"/>
    </row>
    <row r="41" spans="2:8" ht="15.75" thickBot="1" x14ac:dyDescent="0.3">
      <c r="B41" s="114"/>
      <c r="C41" s="115"/>
      <c r="D41" s="115"/>
      <c r="E41" s="115"/>
      <c r="F41" s="115"/>
      <c r="G41" s="115"/>
      <c r="H41" s="116"/>
    </row>
    <row r="42" spans="2:8" x14ac:dyDescent="0.25">
      <c r="B42" s="107"/>
      <c r="C42" s="107"/>
      <c r="D42" s="107"/>
      <c r="E42" s="107"/>
      <c r="F42" s="107"/>
      <c r="G42" s="107"/>
      <c r="H42" s="107"/>
    </row>
    <row r="43" spans="2:8" x14ac:dyDescent="0.25">
      <c r="B43" s="107"/>
      <c r="C43" s="107"/>
      <c r="D43" s="107"/>
      <c r="E43" s="107"/>
      <c r="F43" s="107"/>
      <c r="G43" s="107"/>
      <c r="H43" s="107"/>
    </row>
  </sheetData>
  <mergeCells count="59">
    <mergeCell ref="B3:H3"/>
    <mergeCell ref="B5:H6"/>
    <mergeCell ref="B7:H7"/>
    <mergeCell ref="B10:H11"/>
    <mergeCell ref="C13:D13"/>
    <mergeCell ref="E13:F13"/>
    <mergeCell ref="B8:H8"/>
    <mergeCell ref="C14:D14"/>
    <mergeCell ref="E14:F14"/>
    <mergeCell ref="C18:D18"/>
    <mergeCell ref="E18:F18"/>
    <mergeCell ref="C22:D22"/>
    <mergeCell ref="C19:D19"/>
    <mergeCell ref="C20:D20"/>
    <mergeCell ref="C21:D21"/>
    <mergeCell ref="E19:F19"/>
    <mergeCell ref="E20:F20"/>
    <mergeCell ref="E21:F21"/>
    <mergeCell ref="E22:F22"/>
    <mergeCell ref="C17:D17"/>
    <mergeCell ref="E17:F17"/>
    <mergeCell ref="C15:D15"/>
    <mergeCell ref="E15:F15"/>
    <mergeCell ref="C27:D27"/>
    <mergeCell ref="E27:F27"/>
    <mergeCell ref="E35:F35"/>
    <mergeCell ref="C33:D33"/>
    <mergeCell ref="C32:D32"/>
    <mergeCell ref="E32:F32"/>
    <mergeCell ref="E33:F33"/>
    <mergeCell ref="C28:D28"/>
    <mergeCell ref="E28:F28"/>
    <mergeCell ref="C30:D30"/>
    <mergeCell ref="E30:F30"/>
    <mergeCell ref="C31:D31"/>
    <mergeCell ref="E31:F31"/>
    <mergeCell ref="E34:F34"/>
    <mergeCell ref="E29:F29"/>
    <mergeCell ref="C29:D29"/>
    <mergeCell ref="C39:D39"/>
    <mergeCell ref="E39:F39"/>
    <mergeCell ref="C38:D38"/>
    <mergeCell ref="E38:F38"/>
    <mergeCell ref="C34:D34"/>
    <mergeCell ref="C35:D35"/>
    <mergeCell ref="C36:D36"/>
    <mergeCell ref="E36:F36"/>
    <mergeCell ref="C37:D37"/>
    <mergeCell ref="E37:F37"/>
    <mergeCell ref="C16:D16"/>
    <mergeCell ref="E16:F16"/>
    <mergeCell ref="E23:F23"/>
    <mergeCell ref="C23:D23"/>
    <mergeCell ref="C26:D26"/>
    <mergeCell ref="E26:F26"/>
    <mergeCell ref="E24:F24"/>
    <mergeCell ref="C24:D24"/>
    <mergeCell ref="C25:D25"/>
    <mergeCell ref="E25:F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25E3-D4A6-47FA-996E-9B1DC6B76879}">
  <sheetPr>
    <tabColor rgb="FF002060"/>
  </sheetPr>
  <dimension ref="A1:BR116"/>
  <sheetViews>
    <sheetView topLeftCell="A14" zoomScale="70" zoomScaleNormal="70" workbookViewId="0">
      <selection activeCell="F15" sqref="F15:F16"/>
    </sheetView>
  </sheetViews>
  <sheetFormatPr baseColWidth="10" defaultRowHeight="16.5" x14ac:dyDescent="0.3"/>
  <cols>
    <col min="1" max="1" width="18.140625" style="2"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9" style="1" customWidth="1"/>
    <col min="10" max="10" width="27.28515625" style="1" bestFit="1" customWidth="1"/>
    <col min="11" max="11" width="30.5703125" style="1" hidden="1" customWidth="1"/>
    <col min="12" max="12" width="17.5703125" style="1" customWidth="1"/>
    <col min="13" max="13" width="9.28515625" style="1" customWidth="1"/>
    <col min="14" max="14" width="16" style="1" customWidth="1"/>
    <col min="15" max="15" width="5.85546875" style="1" customWidth="1"/>
    <col min="16" max="16" width="23.7109375" style="1" customWidth="1"/>
    <col min="17" max="17" width="20.42578125" style="1" customWidth="1"/>
    <col min="18" max="18" width="8.85546875" style="1" customWidth="1"/>
    <col min="19" max="20" width="8.140625" style="1" customWidth="1"/>
    <col min="21" max="23" width="9.5703125" style="1" customWidth="1"/>
    <col min="24" max="24" width="7.28515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2" width="23" style="1" customWidth="1"/>
    <col min="33" max="33" width="18.85546875" style="1" customWidth="1"/>
    <col min="34" max="35" width="16.85546875" style="1" customWidth="1"/>
    <col min="36" max="36" width="14.85546875" style="1" customWidth="1"/>
    <col min="37" max="37" width="18.5703125" style="1" customWidth="1"/>
    <col min="38" max="38" width="21" style="1" customWidth="1"/>
    <col min="39" max="16384" width="11.42578125" style="1"/>
  </cols>
  <sheetData>
    <row r="1" spans="1:70" ht="88.5" customHeight="1" x14ac:dyDescent="0.3"/>
    <row r="2" spans="1:70" ht="19.5" customHeight="1" thickBot="1" x14ac:dyDescent="0.35"/>
    <row r="3" spans="1:70" ht="16.5" customHeight="1" x14ac:dyDescent="0.3">
      <c r="A3" s="580" t="s">
        <v>507</v>
      </c>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1"/>
      <c r="AJ3" s="581"/>
      <c r="AK3" s="581"/>
      <c r="AL3" s="582"/>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row>
    <row r="4" spans="1:70" ht="14.25" customHeight="1" thickBot="1" x14ac:dyDescent="0.35">
      <c r="A4" s="583"/>
      <c r="B4" s="584"/>
      <c r="C4" s="584"/>
      <c r="D4" s="584"/>
      <c r="E4" s="584"/>
      <c r="F4" s="584"/>
      <c r="G4" s="584"/>
      <c r="H4" s="584"/>
      <c r="I4" s="584"/>
      <c r="J4" s="584"/>
      <c r="K4" s="584"/>
      <c r="L4" s="584"/>
      <c r="M4" s="584"/>
      <c r="N4" s="584"/>
      <c r="O4" s="585"/>
      <c r="P4" s="585"/>
      <c r="Q4" s="585"/>
      <c r="R4" s="585"/>
      <c r="S4" s="585"/>
      <c r="T4" s="585"/>
      <c r="U4" s="585"/>
      <c r="V4" s="585"/>
      <c r="W4" s="585"/>
      <c r="X4" s="585"/>
      <c r="Y4" s="585"/>
      <c r="Z4" s="585"/>
      <c r="AA4" s="585"/>
      <c r="AB4" s="585"/>
      <c r="AC4" s="585"/>
      <c r="AD4" s="585"/>
      <c r="AE4" s="585"/>
      <c r="AF4" s="585"/>
      <c r="AG4" s="585"/>
      <c r="AH4" s="585"/>
      <c r="AI4" s="585"/>
      <c r="AJ4" s="585"/>
      <c r="AK4" s="585"/>
      <c r="AL4" s="586"/>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row>
    <row r="5" spans="1:70" ht="26.25" customHeight="1" x14ac:dyDescent="0.3">
      <c r="A5" s="587" t="s">
        <v>43</v>
      </c>
      <c r="B5" s="587"/>
      <c r="C5" s="588" t="str">
        <f>'Datos del proceso'!A10</f>
        <v>TRANSFORMACIÓN CULTURAL PARA LA REVITALIZACIÓN DEL CENTRO</v>
      </c>
      <c r="D5" s="588"/>
      <c r="E5" s="588"/>
      <c r="F5" s="588"/>
      <c r="G5" s="588"/>
      <c r="H5" s="588"/>
      <c r="I5" s="588"/>
      <c r="J5" s="588"/>
      <c r="K5" s="588"/>
      <c r="L5" s="588"/>
      <c r="M5" s="588"/>
      <c r="N5" s="588"/>
      <c r="O5" s="589"/>
      <c r="P5" s="589"/>
      <c r="Q5" s="589"/>
      <c r="R5" s="272"/>
      <c r="S5" s="272"/>
      <c r="T5" s="272"/>
      <c r="U5" s="272"/>
      <c r="V5" s="272"/>
      <c r="W5" s="272"/>
      <c r="X5" s="272"/>
      <c r="Y5" s="272"/>
      <c r="Z5" s="272"/>
      <c r="AA5" s="272"/>
      <c r="AB5" s="272"/>
      <c r="AC5" s="272"/>
      <c r="AD5" s="272"/>
      <c r="AE5" s="272"/>
      <c r="AF5" s="272"/>
      <c r="AG5" s="272"/>
      <c r="AH5" s="272"/>
      <c r="AI5" s="272"/>
      <c r="AJ5" s="272"/>
      <c r="AK5" s="272"/>
      <c r="AL5" s="272"/>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row>
    <row r="6" spans="1:70" ht="33" customHeight="1" x14ac:dyDescent="0.3">
      <c r="A6" s="587" t="s">
        <v>130</v>
      </c>
      <c r="B6" s="587"/>
      <c r="C6" s="588"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D6" s="588"/>
      <c r="E6" s="588"/>
      <c r="F6" s="588"/>
      <c r="G6" s="588"/>
      <c r="H6" s="588"/>
      <c r="I6" s="588"/>
      <c r="J6" s="588"/>
      <c r="K6" s="588"/>
      <c r="L6" s="588"/>
      <c r="M6" s="588"/>
      <c r="N6" s="588"/>
      <c r="O6" s="272"/>
      <c r="P6" s="272"/>
      <c r="Q6" s="272"/>
      <c r="R6" s="272"/>
      <c r="S6" s="272"/>
      <c r="T6" s="272"/>
      <c r="U6" s="272"/>
      <c r="V6" s="272"/>
      <c r="W6" s="272"/>
      <c r="X6" s="272"/>
      <c r="Y6" s="272"/>
      <c r="Z6" s="272"/>
      <c r="AA6" s="272"/>
      <c r="AB6" s="272"/>
      <c r="AC6" s="272"/>
      <c r="AD6" s="272"/>
      <c r="AE6" s="272"/>
      <c r="AF6" s="272"/>
      <c r="AG6" s="272"/>
      <c r="AH6" s="272"/>
      <c r="AI6" s="272"/>
      <c r="AJ6" s="272"/>
      <c r="AK6" s="272"/>
      <c r="AL6" s="272"/>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row>
    <row r="7" spans="1:70" s="613" customFormat="1" ht="18" customHeight="1" thickBot="1" x14ac:dyDescent="0.3">
      <c r="A7" s="612"/>
      <c r="B7" s="612"/>
      <c r="C7" s="612"/>
      <c r="D7" s="612"/>
      <c r="E7" s="612"/>
      <c r="F7" s="612"/>
      <c r="G7" s="612"/>
      <c r="H7" s="612"/>
      <c r="I7" s="612"/>
      <c r="J7" s="612"/>
      <c r="K7" s="612"/>
      <c r="L7" s="612"/>
      <c r="M7" s="612"/>
      <c r="N7" s="612"/>
      <c r="O7" s="612"/>
      <c r="P7" s="612"/>
      <c r="Q7" s="612"/>
      <c r="R7" s="612"/>
      <c r="S7" s="612"/>
      <c r="T7" s="612"/>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c r="AT7" s="612"/>
      <c r="AU7" s="612"/>
      <c r="AV7" s="612"/>
      <c r="AW7" s="612"/>
      <c r="AX7" s="612"/>
      <c r="AY7" s="612"/>
      <c r="AZ7" s="612"/>
      <c r="BA7" s="612"/>
      <c r="BB7" s="612"/>
      <c r="BC7" s="612"/>
      <c r="BD7" s="612"/>
      <c r="BE7" s="612"/>
      <c r="BF7" s="612"/>
      <c r="BG7" s="612"/>
      <c r="BH7" s="612"/>
      <c r="BI7" s="612"/>
      <c r="BJ7" s="612"/>
      <c r="BK7" s="612"/>
      <c r="BL7" s="612"/>
      <c r="BM7" s="612"/>
      <c r="BN7" s="612"/>
      <c r="BO7" s="612"/>
      <c r="BP7" s="612"/>
      <c r="BQ7" s="612"/>
      <c r="BR7" s="612"/>
    </row>
    <row r="8" spans="1:70" ht="23.25" customHeight="1" x14ac:dyDescent="0.3">
      <c r="A8" s="610" t="s">
        <v>508</v>
      </c>
      <c r="B8" s="611"/>
      <c r="C8" s="611"/>
      <c r="D8" s="611"/>
      <c r="E8" s="611"/>
      <c r="F8" s="611"/>
      <c r="G8" s="611"/>
      <c r="H8" s="611"/>
      <c r="I8" s="611"/>
      <c r="J8" s="611"/>
      <c r="K8" s="611"/>
      <c r="L8" s="611"/>
      <c r="M8" s="611"/>
      <c r="N8" s="611"/>
      <c r="O8" s="611"/>
      <c r="P8" s="611"/>
      <c r="Q8" s="611"/>
      <c r="R8" s="611"/>
      <c r="S8" s="611"/>
      <c r="T8" s="611"/>
      <c r="U8" s="611"/>
      <c r="V8" s="611"/>
      <c r="W8" s="274"/>
      <c r="X8" s="274"/>
      <c r="Y8" s="274"/>
      <c r="Z8" s="274"/>
      <c r="AA8" s="274"/>
      <c r="AB8" s="274"/>
      <c r="AC8" s="274"/>
      <c r="AD8" s="274"/>
      <c r="AE8" s="274"/>
      <c r="AF8" s="274"/>
      <c r="AG8" s="274"/>
      <c r="AH8" s="274"/>
      <c r="AI8" s="274"/>
      <c r="AJ8" s="274"/>
      <c r="AK8" s="274"/>
      <c r="AL8" s="274"/>
    </row>
    <row r="9" spans="1:70" s="614" customFormat="1" ht="9.75" customHeight="1" x14ac:dyDescent="0.25"/>
    <row r="10" spans="1:70" ht="30" customHeight="1" x14ac:dyDescent="0.3">
      <c r="A10" s="578" t="s">
        <v>338</v>
      </c>
      <c r="B10" s="578"/>
      <c r="C10" s="578"/>
      <c r="D10" s="606" t="s">
        <v>339</v>
      </c>
      <c r="E10" s="607"/>
      <c r="F10" s="608"/>
      <c r="G10" s="578" t="s">
        <v>340</v>
      </c>
      <c r="H10" s="578"/>
      <c r="I10" s="578" t="s">
        <v>341</v>
      </c>
      <c r="J10" s="578"/>
      <c r="K10" s="179"/>
      <c r="L10" s="273" t="s">
        <v>218</v>
      </c>
      <c r="M10" s="578" t="s">
        <v>1</v>
      </c>
      <c r="N10" s="578"/>
      <c r="O10" s="577" t="s">
        <v>13</v>
      </c>
      <c r="P10" s="577"/>
      <c r="Q10" s="273" t="s">
        <v>342</v>
      </c>
      <c r="R10" s="577" t="s">
        <v>343</v>
      </c>
      <c r="S10" s="577"/>
      <c r="T10" s="577"/>
      <c r="U10" s="577"/>
      <c r="V10" s="160"/>
      <c r="W10" s="272"/>
      <c r="X10" s="272"/>
      <c r="Y10" s="272"/>
      <c r="Z10" s="272"/>
      <c r="AA10" s="272"/>
      <c r="AB10" s="272"/>
      <c r="AC10" s="272"/>
      <c r="AD10" s="272"/>
      <c r="AE10" s="272"/>
      <c r="AF10" s="272"/>
      <c r="AG10" s="272"/>
      <c r="AH10" s="272"/>
      <c r="AI10" s="272"/>
      <c r="AJ10" s="272"/>
      <c r="AK10" s="272"/>
      <c r="AL10" s="272"/>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row>
    <row r="11" spans="1:70" ht="30" customHeight="1" x14ac:dyDescent="0.3">
      <c r="A11" s="615"/>
      <c r="B11" s="615"/>
      <c r="C11" s="615"/>
      <c r="D11" s="615"/>
      <c r="E11" s="615"/>
      <c r="F11" s="615"/>
      <c r="G11" s="616"/>
      <c r="H11" s="616"/>
      <c r="I11" s="616"/>
      <c r="J11" s="616"/>
      <c r="K11" s="153"/>
      <c r="L11" s="173"/>
      <c r="M11" s="617"/>
      <c r="N11" s="617"/>
      <c r="O11" s="615"/>
      <c r="P11" s="615"/>
      <c r="Q11" s="153"/>
      <c r="R11" s="615"/>
      <c r="S11" s="615"/>
      <c r="T11" s="615"/>
      <c r="U11" s="615"/>
      <c r="V11" s="160"/>
      <c r="W11" s="272"/>
      <c r="X11" s="272"/>
      <c r="Y11" s="272"/>
      <c r="Z11" s="272"/>
      <c r="AA11" s="272"/>
      <c r="AB11" s="272"/>
      <c r="AC11" s="272"/>
      <c r="AD11" s="272"/>
      <c r="AE11" s="272"/>
      <c r="AF11" s="272"/>
      <c r="AG11" s="272"/>
      <c r="AH11" s="272"/>
      <c r="AI11" s="272"/>
      <c r="AJ11" s="272"/>
      <c r="AK11" s="272"/>
      <c r="AL11" s="272"/>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row>
    <row r="12" spans="1:70" ht="30" customHeight="1" x14ac:dyDescent="0.3">
      <c r="A12" s="615"/>
      <c r="B12" s="615"/>
      <c r="C12" s="615"/>
      <c r="D12" s="615"/>
      <c r="E12" s="615"/>
      <c r="F12" s="615"/>
      <c r="G12" s="616"/>
      <c r="H12" s="616"/>
      <c r="I12" s="616"/>
      <c r="J12" s="616"/>
      <c r="K12" s="153"/>
      <c r="L12" s="173"/>
      <c r="M12" s="617"/>
      <c r="N12" s="617"/>
      <c r="O12" s="615"/>
      <c r="P12" s="615"/>
      <c r="Q12" s="153"/>
      <c r="R12" s="615"/>
      <c r="S12" s="615"/>
      <c r="T12" s="615"/>
      <c r="U12" s="615"/>
      <c r="V12" s="160"/>
      <c r="W12" s="272"/>
      <c r="X12" s="272"/>
      <c r="Y12" s="272"/>
      <c r="Z12" s="272"/>
      <c r="AA12" s="272"/>
      <c r="AB12" s="272"/>
      <c r="AC12" s="272"/>
      <c r="AD12" s="272"/>
      <c r="AE12" s="272"/>
      <c r="AF12" s="272"/>
      <c r="AG12" s="272"/>
      <c r="AH12" s="272"/>
      <c r="AI12" s="272"/>
      <c r="AJ12" s="272"/>
      <c r="AK12" s="272"/>
      <c r="AL12" s="272"/>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row>
    <row r="13" spans="1:70" ht="30" customHeight="1" x14ac:dyDescent="0.3">
      <c r="A13" s="605"/>
      <c r="B13" s="605"/>
      <c r="C13" s="605"/>
      <c r="D13" s="605"/>
      <c r="E13" s="605"/>
      <c r="F13" s="605"/>
      <c r="G13" s="616"/>
      <c r="H13" s="616"/>
      <c r="I13" s="618"/>
      <c r="J13" s="619"/>
      <c r="K13" s="182"/>
      <c r="L13" s="182"/>
      <c r="M13" s="622"/>
      <c r="N13" s="623"/>
      <c r="O13" s="620"/>
      <c r="P13" s="621"/>
      <c r="Q13" s="153"/>
      <c r="R13" s="615"/>
      <c r="S13" s="615"/>
      <c r="T13" s="615"/>
      <c r="U13" s="615"/>
      <c r="V13" s="184"/>
      <c r="W13" s="272"/>
      <c r="X13" s="272"/>
      <c r="Y13" s="272"/>
      <c r="Z13" s="272"/>
      <c r="AA13" s="272"/>
      <c r="AB13" s="272"/>
      <c r="AC13" s="272"/>
      <c r="AD13" s="272"/>
      <c r="AE13" s="272"/>
      <c r="AF13" s="272"/>
      <c r="AG13" s="272"/>
      <c r="AH13" s="272"/>
      <c r="AI13" s="272"/>
      <c r="AJ13" s="272"/>
      <c r="AK13" s="272"/>
      <c r="AL13" s="272"/>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row>
    <row r="14" spans="1:70" s="274" customFormat="1" ht="15" x14ac:dyDescent="0.2">
      <c r="A14" s="577" t="s">
        <v>509</v>
      </c>
      <c r="B14" s="577"/>
      <c r="C14" s="577"/>
      <c r="D14" s="577"/>
      <c r="E14" s="577"/>
      <c r="F14" s="577"/>
      <c r="G14" s="577"/>
      <c r="H14" s="577" t="s">
        <v>140</v>
      </c>
      <c r="I14" s="577"/>
      <c r="J14" s="577"/>
      <c r="K14" s="577"/>
      <c r="L14" s="577"/>
      <c r="M14" s="577"/>
      <c r="N14" s="577"/>
      <c r="O14" s="577" t="s">
        <v>141</v>
      </c>
      <c r="P14" s="577"/>
      <c r="Q14" s="577"/>
      <c r="R14" s="577"/>
      <c r="S14" s="577"/>
      <c r="T14" s="577"/>
      <c r="U14" s="577"/>
      <c r="V14" s="577"/>
      <c r="W14" s="577"/>
      <c r="X14" s="577" t="s">
        <v>142</v>
      </c>
      <c r="Y14" s="577"/>
      <c r="Z14" s="577"/>
      <c r="AA14" s="577"/>
      <c r="AB14" s="577"/>
      <c r="AC14" s="577"/>
      <c r="AD14" s="577"/>
      <c r="AE14" s="577" t="s">
        <v>34</v>
      </c>
      <c r="AF14" s="577"/>
      <c r="AG14" s="577"/>
      <c r="AH14" s="577"/>
      <c r="AI14" s="577"/>
      <c r="AJ14" s="577"/>
      <c r="AK14" s="577"/>
      <c r="AL14" s="577"/>
      <c r="AM14" s="272"/>
      <c r="AN14" s="272"/>
      <c r="AO14" s="272"/>
      <c r="AP14" s="272"/>
      <c r="AQ14" s="272"/>
      <c r="AR14" s="272"/>
      <c r="AS14" s="272"/>
      <c r="AT14" s="272"/>
      <c r="AU14" s="272"/>
      <c r="AV14" s="272"/>
      <c r="AW14" s="272"/>
      <c r="AX14" s="272"/>
      <c r="AY14" s="272"/>
      <c r="AZ14" s="272"/>
      <c r="BA14" s="272"/>
      <c r="BB14" s="272"/>
      <c r="BC14" s="272"/>
      <c r="BD14" s="272"/>
      <c r="BE14" s="272"/>
      <c r="BF14" s="272"/>
      <c r="BG14" s="272"/>
      <c r="BH14" s="272"/>
      <c r="BI14" s="272"/>
      <c r="BJ14" s="272"/>
      <c r="BK14" s="272"/>
      <c r="BL14" s="272"/>
      <c r="BM14" s="272"/>
      <c r="BN14" s="272"/>
      <c r="BO14" s="272"/>
      <c r="BP14" s="272"/>
      <c r="BQ14" s="272"/>
      <c r="BR14" s="272"/>
    </row>
    <row r="15" spans="1:70" s="274" customFormat="1" ht="16.5" customHeight="1" x14ac:dyDescent="0.2">
      <c r="A15" s="578"/>
      <c r="B15" s="579"/>
      <c r="C15" s="578"/>
      <c r="D15" s="577"/>
      <c r="E15" s="578" t="s">
        <v>478</v>
      </c>
      <c r="F15" s="593" t="s">
        <v>480</v>
      </c>
      <c r="I15" s="590" t="s">
        <v>481</v>
      </c>
      <c r="J15" s="590" t="s">
        <v>479</v>
      </c>
      <c r="K15" s="275" t="s">
        <v>92</v>
      </c>
      <c r="L15" s="590" t="s">
        <v>482</v>
      </c>
      <c r="M15" s="590" t="s">
        <v>483</v>
      </c>
      <c r="N15" s="590" t="s">
        <v>484</v>
      </c>
      <c r="O15" s="578" t="s">
        <v>163</v>
      </c>
      <c r="P15" s="578" t="s">
        <v>503</v>
      </c>
      <c r="Q15" s="578" t="s">
        <v>8</v>
      </c>
      <c r="R15" s="578"/>
      <c r="S15" s="578"/>
      <c r="T15" s="578"/>
      <c r="U15" s="578"/>
      <c r="V15" s="578"/>
      <c r="W15" s="595" t="s">
        <v>502</v>
      </c>
      <c r="X15" s="595" t="s">
        <v>485</v>
      </c>
      <c r="Y15" s="595" t="s">
        <v>488</v>
      </c>
      <c r="Z15" s="595" t="s">
        <v>486</v>
      </c>
      <c r="AA15" s="595" t="s">
        <v>481</v>
      </c>
      <c r="AB15" s="595" t="s">
        <v>489</v>
      </c>
      <c r="AC15" s="595" t="s">
        <v>29</v>
      </c>
      <c r="AD15" s="578" t="s">
        <v>34</v>
      </c>
      <c r="AE15" s="590" t="s">
        <v>496</v>
      </c>
      <c r="AF15" s="578" t="s">
        <v>35</v>
      </c>
      <c r="AG15" s="578" t="s">
        <v>236</v>
      </c>
      <c r="AH15" s="590" t="s">
        <v>506</v>
      </c>
      <c r="AI15" s="592" t="s">
        <v>38</v>
      </c>
      <c r="AJ15" s="592" t="s">
        <v>37</v>
      </c>
      <c r="AK15" s="592" t="s">
        <v>39</v>
      </c>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2"/>
      <c r="BL15" s="272"/>
      <c r="BM15" s="272"/>
      <c r="BN15" s="272"/>
      <c r="BO15" s="272"/>
      <c r="BP15" s="272"/>
      <c r="BQ15" s="272"/>
    </row>
    <row r="16" spans="1:70" s="277" customFormat="1" ht="110.25" customHeight="1" x14ac:dyDescent="0.25">
      <c r="A16" s="578"/>
      <c r="B16" s="579"/>
      <c r="C16" s="578"/>
      <c r="D16" s="577"/>
      <c r="E16" s="578"/>
      <c r="F16" s="594"/>
      <c r="I16" s="591"/>
      <c r="J16" s="591"/>
      <c r="K16" s="275"/>
      <c r="L16" s="591"/>
      <c r="M16" s="591"/>
      <c r="N16" s="591"/>
      <c r="O16" s="578"/>
      <c r="P16" s="578"/>
      <c r="Q16" s="294" t="s">
        <v>490</v>
      </c>
      <c r="R16" s="294" t="s">
        <v>492</v>
      </c>
      <c r="S16" s="294" t="s">
        <v>487</v>
      </c>
      <c r="T16" s="294" t="s">
        <v>499</v>
      </c>
      <c r="U16" s="294" t="s">
        <v>500</v>
      </c>
      <c r="V16" s="294" t="s">
        <v>501</v>
      </c>
      <c r="W16" s="595"/>
      <c r="X16" s="595"/>
      <c r="Y16" s="595"/>
      <c r="Z16" s="595"/>
      <c r="AA16" s="595"/>
      <c r="AB16" s="595"/>
      <c r="AC16" s="595"/>
      <c r="AD16" s="578"/>
      <c r="AE16" s="591"/>
      <c r="AF16" s="578"/>
      <c r="AG16" s="578"/>
      <c r="AH16" s="591"/>
      <c r="AI16" s="592"/>
      <c r="AJ16" s="592"/>
      <c r="AK16" s="592"/>
      <c r="AL16" s="276"/>
      <c r="AM16" s="276"/>
      <c r="AN16" s="276"/>
      <c r="AO16" s="276"/>
      <c r="AP16" s="276"/>
      <c r="AQ16" s="276"/>
      <c r="AR16" s="276"/>
      <c r="AS16" s="276"/>
      <c r="AT16" s="276"/>
      <c r="AU16" s="276"/>
      <c r="AV16" s="276"/>
      <c r="AW16" s="276"/>
      <c r="AX16" s="276"/>
      <c r="AY16" s="276"/>
      <c r="AZ16" s="276"/>
      <c r="BA16" s="276"/>
      <c r="BB16" s="276"/>
      <c r="BC16" s="276"/>
      <c r="BD16" s="276"/>
      <c r="BE16" s="276"/>
      <c r="BF16" s="276"/>
      <c r="BG16" s="276"/>
      <c r="BH16" s="276"/>
      <c r="BI16" s="276"/>
      <c r="BJ16" s="276"/>
      <c r="BK16" s="276"/>
      <c r="BL16" s="276"/>
      <c r="BM16" s="276"/>
      <c r="BN16" s="276"/>
      <c r="BO16" s="276"/>
      <c r="BP16" s="276"/>
      <c r="BQ16" s="276"/>
    </row>
    <row r="17" spans="1:70" s="291" customFormat="1" ht="83.25" customHeight="1" x14ac:dyDescent="0.25">
      <c r="A17" s="603"/>
      <c r="B17" s="602"/>
      <c r="C17" s="602"/>
      <c r="D17" s="599"/>
      <c r="E17" s="601">
        <v>120</v>
      </c>
      <c r="F17" s="602" t="str">
        <f>IF(E17&lt;=0,"",IF(E17&lt;=2,"Muy Baja",IF(E17&lt;=24,"Baja",IF(E17&lt;=500,"Media",IF(E17&lt;=5000,"Alta","Muy Alta")))))</f>
        <v>Media</v>
      </c>
      <c r="I17" s="597">
        <f>IF(F17="","",IF(F17="Muy Baja",0.2,IF(F17="Baja",0.4,IF(F17="Media",0.6,IF(F17="Alta",0.8,IF(F17="Muy Alta",1,))))))</f>
        <v>0.6</v>
      </c>
      <c r="J17" s="599">
        <v>500</v>
      </c>
      <c r="K17" s="597">
        <f>IF(NOT(ISERROR(MATCH(J17,'[2]Tabla Impacto'!$B$221:$B$223,0))),'[2]Tabla Impacto'!$F$223&amp;"Por favor no seleccionar los criterios de impacto(Afectación Económica o presupuestal y Pérdida Reputacional)",J17)</f>
        <v>500</v>
      </c>
      <c r="L17" s="602" t="str">
        <f>IF(J17&lt;=0,"",IF(J17&lt;=10,"Leve",IF(J17&lt;=50,"Menor",IF(J17&lt;=100,"Moderado",IF(J17&lt;=500,"Mayor","Catastrófico")))))</f>
        <v>Mayor</v>
      </c>
      <c r="M17" s="597">
        <f>IF(L17="","",IF(L17="Leve",0.2,IF(L17="Menor",0.4,IF(L17="Moderado",0.6,IF(L17="Mayor",0.8,IF(L17="Catastrófico",1,))))))</f>
        <v>0.8</v>
      </c>
      <c r="N17" s="596" t="str">
        <f>IF(OR(AND(F17="Muy Baja",L17="Leve"),AND(F17="Muy Baja",L17="Menor"),AND(F17="Baja",L17="Leve")),"Bajo",IF(OR(AND(F17="Muy baja",L17="Moderado"),AND(F17="Baja",L17="Menor"),AND(F17="Baja",L17="Moderado"),AND(F17="Media",L17="Leve"),AND(F17="Media",L17="Menor"),AND(F17="Media",L17="Moderado"),AND(F17="Alta",L17="Leve"),AND(F17="Alta",L17="Menor")),"Moderado",IF(OR(AND(F17="Muy Baja",L17="Mayor"),AND(F17="Baja",L17="Mayor"),AND(F17="Media",L17="Mayor"),AND(F17="Alta",L17="Moderado"),AND(F17="Alta",L17="Mayor"),AND(F17="Muy Alta",L17="Leve"),AND(F17="Muy Alta",L17="Menor"),AND(F17="Muy Alta",L17="Moderado"),AND(F17="Muy Alta",L17="Mayor")),"Alto",IF(OR(AND(F17="Muy Baja",L17="Catastrófico"),AND(F17="Baja",L17="Catastrófico"),AND(F17="Media",L17="Catastrófico"),AND(F17="Alta",L17="Catastrófico"),AND(F17="Muy Alta",L17="Catastrófico")),"Extremo",""))))</f>
        <v>Alto</v>
      </c>
      <c r="O17" s="278">
        <v>1</v>
      </c>
      <c r="P17" s="279"/>
      <c r="Q17" s="280" t="str">
        <f t="shared" ref="Q17:Q30" si="0">IF(OR(R17="Preventivo",R17="Detectivo"),"Probabilidad",IF(R17="Correctivo","Impacto",""))</f>
        <v>Probabilidad</v>
      </c>
      <c r="R17" s="281" t="s">
        <v>14</v>
      </c>
      <c r="S17" s="281" t="s">
        <v>9</v>
      </c>
      <c r="T17" s="282" t="str">
        <f>IF(AND(R17="Preventivo",S17="Automático"),"50%",IF(AND(R17="Preventivo",S17="Manual"),"40%",IF(AND(R17="Detectivo",S17="Automático"),"40%",IF(AND(R17="Detectivo",S17="Manual"),"30%",IF(AND(R17="Correctivo",S17="Automático"),"35%",IF(AND(R17="Correctivo",S17="Manual"),"25%",""))))))</f>
        <v>40%</v>
      </c>
      <c r="U17" s="281" t="s">
        <v>493</v>
      </c>
      <c r="V17" s="281" t="s">
        <v>22</v>
      </c>
      <c r="W17" s="281" t="s">
        <v>497</v>
      </c>
      <c r="X17" s="283">
        <f>IFERROR(IF(Q17="Probabilidad",(I17-(+I17*T17)),IF(Q17="Impacto",I17,"")),"")</f>
        <v>0.36</v>
      </c>
      <c r="Y17" s="284" t="str">
        <f>IFERROR(IF(X17="","",IF(X17&lt;=0.2,"Muy Baja",IF(X17&lt;=0.4,"Baja",IF(X17&lt;=0.6,"Media",IF(X17&lt;=0.8,"Alta","Muy Alta"))))),"")</f>
        <v>Baja</v>
      </c>
      <c r="Z17" s="282">
        <f>+X17</f>
        <v>0.36</v>
      </c>
      <c r="AA17" s="284" t="str">
        <f>IFERROR(IF(AB17="","",IF(AB17&lt;=0.2,"Leve",IF(AB17&lt;=0.4,"Menor",IF(AB17&lt;=0.6,"Moderado",IF(AB17&lt;=0.8,"Mayor","Catastrófico"))))),"")</f>
        <v>Mayor</v>
      </c>
      <c r="AB17" s="282">
        <f>IFERROR(IF(Q17="Impacto",(M17-(+M17*T17)),IF(Q17="Probabilidad",M17,"")),"")</f>
        <v>0.8</v>
      </c>
      <c r="AC17" s="285" t="str">
        <f>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281" t="s">
        <v>30</v>
      </c>
      <c r="AE17" s="286"/>
      <c r="AF17" s="286"/>
      <c r="AG17" s="287"/>
      <c r="AH17" s="288"/>
      <c r="AI17" s="288"/>
      <c r="AJ17" s="288"/>
      <c r="AK17" s="286"/>
      <c r="AL17" s="289" t="s">
        <v>40</v>
      </c>
      <c r="AM17" s="290"/>
      <c r="AN17" s="290"/>
      <c r="AO17" s="290"/>
      <c r="AP17" s="290"/>
      <c r="AQ17" s="290"/>
      <c r="AR17" s="290"/>
      <c r="AS17" s="290"/>
      <c r="AT17" s="290"/>
      <c r="AU17" s="290"/>
      <c r="AV17" s="290"/>
      <c r="AW17" s="290"/>
      <c r="AX17" s="290"/>
      <c r="AY17" s="290"/>
      <c r="AZ17" s="290"/>
      <c r="BA17" s="290"/>
      <c r="BB17" s="290"/>
      <c r="BC17" s="290"/>
      <c r="BD17" s="290"/>
      <c r="BE17" s="290"/>
      <c r="BF17" s="290"/>
      <c r="BG17" s="290"/>
      <c r="BH17" s="290"/>
      <c r="BI17" s="290"/>
      <c r="BJ17" s="290"/>
      <c r="BK17" s="290"/>
      <c r="BL17" s="290"/>
      <c r="BM17" s="290"/>
      <c r="BN17" s="290"/>
      <c r="BO17" s="290"/>
      <c r="BP17" s="290"/>
      <c r="BQ17" s="290"/>
      <c r="BR17" s="290"/>
    </row>
    <row r="18" spans="1:70" s="293" customFormat="1" ht="60" customHeight="1" x14ac:dyDescent="0.2">
      <c r="A18" s="604"/>
      <c r="B18" s="602"/>
      <c r="C18" s="602"/>
      <c r="D18" s="599"/>
      <c r="E18" s="601"/>
      <c r="F18" s="602"/>
      <c r="I18" s="597"/>
      <c r="J18" s="599"/>
      <c r="K18" s="597">
        <f ca="1">IF(NOT(ISERROR(MATCH(J18,_xlfn.ANCHORARRAY(E21),0))),#REF!&amp;"Por favor no seleccionar los criterios de impacto",J18)</f>
        <v>0</v>
      </c>
      <c r="L18" s="602"/>
      <c r="M18" s="597"/>
      <c r="N18" s="596"/>
      <c r="O18" s="278">
        <v>2</v>
      </c>
      <c r="P18" s="279"/>
      <c r="Q18" s="280" t="str">
        <f t="shared" si="0"/>
        <v>Probabilidad</v>
      </c>
      <c r="R18" s="281" t="s">
        <v>15</v>
      </c>
      <c r="S18" s="281" t="s">
        <v>9</v>
      </c>
      <c r="T18" s="282" t="str">
        <f t="shared" ref="T18" si="1">IF(AND(R18="Preventivo",S18="Automático"),"50%",IF(AND(R18="Preventivo",S18="Manual"),"40%",IF(AND(R18="Detectivo",S18="Automático"),"40%",IF(AND(R18="Detectivo",S18="Manual"),"30%",IF(AND(R18="Correctivo",S18="Automático"),"35%",IF(AND(R18="Correctivo",S18="Manual"),"25%",""))))))</f>
        <v>30%</v>
      </c>
      <c r="U18" s="281" t="s">
        <v>493</v>
      </c>
      <c r="V18" s="281" t="s">
        <v>22</v>
      </c>
      <c r="W18" s="281" t="s">
        <v>497</v>
      </c>
      <c r="X18" s="283">
        <f>IFERROR(IF(AND(Q17="Probabilidad",Q18="Probabilidad"),(Z17-(+Z17*T18)),IF(Q18="Probabilidad",(I17-(+I17*T18)),IF(Q18="Impacto",Z17,""))),"")</f>
        <v>0.252</v>
      </c>
      <c r="Y18" s="284" t="str">
        <f t="shared" ref="Y18:Y30" si="2">IFERROR(IF(X18="","",IF(X18&lt;=0.2,"Muy Baja",IF(X18&lt;=0.4,"Baja",IF(X18&lt;=0.6,"Media",IF(X18&lt;=0.8,"Alta","Muy Alta"))))),"")</f>
        <v>Baja</v>
      </c>
      <c r="Z18" s="282">
        <f t="shared" ref="Z18" si="3">+X18</f>
        <v>0.252</v>
      </c>
      <c r="AA18" s="284" t="str">
        <f t="shared" ref="AA18:AA30" si="4">IFERROR(IF(AB18="","",IF(AB18&lt;=0.2,"Leve",IF(AB18&lt;=0.4,"Menor",IF(AB18&lt;=0.6,"Moderado",IF(AB18&lt;=0.8,"Mayor","Catastrófico"))))),"")</f>
        <v>Mayor</v>
      </c>
      <c r="AB18" s="282">
        <f>IFERROR(IF(AND(Q17="Impacto",Q18="Impacto"),(AB17-(+AB17*T18)),IF(Q18="Impacto",($M$17-(+$M$17*T18)),IF(Q18="Probabilidad",AB17,""))),"")</f>
        <v>0.8</v>
      </c>
      <c r="AC18" s="285" t="str">
        <f t="shared" ref="AC18" si="5">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Alto</v>
      </c>
      <c r="AD18" s="281" t="s">
        <v>30</v>
      </c>
      <c r="AE18" s="286"/>
      <c r="AF18" s="286"/>
      <c r="AG18" s="287"/>
      <c r="AH18" s="288"/>
      <c r="AI18" s="288"/>
      <c r="AJ18" s="288"/>
      <c r="AK18" s="286"/>
      <c r="AL18" s="289"/>
      <c r="AM18" s="292"/>
      <c r="AN18" s="292"/>
      <c r="AO18" s="292"/>
      <c r="AP18" s="292"/>
      <c r="AQ18" s="292"/>
      <c r="AR18" s="292"/>
      <c r="AS18" s="292"/>
      <c r="AT18" s="292"/>
      <c r="AU18" s="292"/>
      <c r="AV18" s="292"/>
      <c r="AW18" s="292"/>
      <c r="AX18" s="292"/>
      <c r="AY18" s="292"/>
      <c r="AZ18" s="292"/>
      <c r="BA18" s="292"/>
      <c r="BB18" s="292"/>
      <c r="BC18" s="292"/>
      <c r="BD18" s="292"/>
      <c r="BE18" s="292"/>
      <c r="BF18" s="292"/>
      <c r="BG18" s="292"/>
      <c r="BH18" s="292"/>
      <c r="BI18" s="292"/>
      <c r="BJ18" s="292"/>
      <c r="BK18" s="292"/>
      <c r="BL18" s="292"/>
      <c r="BM18" s="292"/>
      <c r="BN18" s="292"/>
      <c r="BO18" s="292"/>
      <c r="BP18" s="292"/>
      <c r="BQ18" s="292"/>
      <c r="BR18" s="292"/>
    </row>
    <row r="19" spans="1:70" s="293" customFormat="1" ht="69" customHeight="1" x14ac:dyDescent="0.2">
      <c r="A19" s="598"/>
      <c r="B19" s="599"/>
      <c r="C19" s="599"/>
      <c r="D19" s="599"/>
      <c r="E19" s="600"/>
      <c r="F19" s="599"/>
      <c r="G19" s="601"/>
      <c r="H19" s="602" t="str">
        <f t="shared" ref="H19" si="6">IF(G19&lt;=0,"",IF(G19&lt;=2,"Muy Baja",IF(G19&lt;=24,"Baja",IF(G19&lt;=500,"Media",IF(G19&lt;=5000,"Alta","Muy Alta")))))</f>
        <v/>
      </c>
      <c r="I19" s="597" t="str">
        <f t="shared" ref="I19" si="7">IF(H19="","",IF(H19="Muy Baja",0.2,IF(H19="Baja",0.4,IF(H19="Media",0.6,IF(H19="Alta",0.8,IF(H19="Muy Alta",1,))))))</f>
        <v/>
      </c>
      <c r="J19" s="599"/>
      <c r="K19" s="597">
        <f>IF(NOT(ISERROR(MATCH(J19,'[2]Tabla Impacto'!$B$221:$B$223,0))),'[2]Tabla Impacto'!$F$223&amp;"Por favor no seleccionar los criterios de impacto(Afectación Económica o presupuestal y Pérdida Reputacional)",J19)</f>
        <v>0</v>
      </c>
      <c r="L19" s="602" t="str">
        <f t="shared" ref="L19" si="8">IF(J19&lt;=0,"",IF(J19&lt;=10,"Leve",IF(J19&lt;=50,"Menor",IF(J19&lt;=100,"Moderado",IF(J19&lt;=500,"Mayor","Catastrófico")))))</f>
        <v/>
      </c>
      <c r="M19" s="597" t="str">
        <f t="shared" ref="M19" si="9">IF(L19="","",IF(L19="Leve",0.2,IF(L19="Menor",0.4,IF(L19="Moderado",0.6,IF(L19="Mayor",0.8,IF(L19="Catastrófico",1,))))))</f>
        <v/>
      </c>
      <c r="N19" s="596" t="str">
        <f t="shared" ref="N19" si="10">IF(OR(AND(H19="Muy Baja",L19="Leve"),AND(H19="Muy Baja",L19="Menor"),AND(H19="Baja",L19="Leve")),"Bajo",IF(OR(AND(H19="Muy baja",L19="Moderado"),AND(H19="Baja",L19="Menor"),AND(H19="Baja",L19="Moderado"),AND(H19="Media",L19="Leve"),AND(H19="Media",L19="Menor"),AND(H19="Media",L19="Moderado"),AND(H19="Alta",L19="Leve"),AND(H19="Alta",L19="Menor")),"Moderado",IF(OR(AND(H19="Muy Baja",L19="Mayor"),AND(H19="Baja",L19="Mayor"),AND(H19="Media",L19="Mayor"),AND(H19="Alta",L19="Moderado"),AND(H19="Alta",L19="Mayor"),AND(H19="Muy Alta",L19="Leve"),AND(H19="Muy Alta",L19="Menor"),AND(H19="Muy Alta",L19="Moderado"),AND(H19="Muy Alta",L19="Mayor")),"Alto",IF(OR(AND(H19="Muy Baja",L19="Catastrófico"),AND(H19="Baja",L19="Catastrófico"),AND(H19="Media",L19="Catastrófico"),AND(H19="Alta",L19="Catastrófico"),AND(H19="Muy Alta",L19="Catastrófico")),"Extremo",""))))</f>
        <v/>
      </c>
      <c r="O19" s="278">
        <v>1</v>
      </c>
      <c r="P19" s="279"/>
      <c r="Q19" s="280" t="str">
        <f t="shared" si="0"/>
        <v/>
      </c>
      <c r="R19" s="281"/>
      <c r="S19" s="281"/>
      <c r="T19" s="282" t="str">
        <f>IF(AND(R19="Preventivo",S19="Automático"),"50%",IF(AND(R19="Preventivo",S19="Manual"),"40%",IF(AND(R19="Detectivo",S19="Automático"),"40%",IF(AND(R19="Detectivo",S19="Manual"),"30%",IF(AND(R19="Correctivo",S19="Automático"),"35%",IF(AND(R19="Correctivo",S19="Manual"),"25%",""))))))</f>
        <v/>
      </c>
      <c r="U19" s="281"/>
      <c r="V19" s="281"/>
      <c r="W19" s="281"/>
      <c r="X19" s="283" t="str">
        <f>IFERROR(IF(Q19="Probabilidad",(I19-(+I19*T19)),IF(Q19="Impacto",I19,"")),"")</f>
        <v/>
      </c>
      <c r="Y19" s="284" t="str">
        <f>IFERROR(IF(X19="","",IF(X19&lt;=0.2,"Muy Baja",IF(X19&lt;=0.4,"Baja",IF(X19&lt;=0.6,"Media",IF(X19&lt;=0.8,"Alta","Muy Alta"))))),"")</f>
        <v/>
      </c>
      <c r="Z19" s="282" t="str">
        <f>+X19</f>
        <v/>
      </c>
      <c r="AA19" s="284" t="str">
        <f>IFERROR(IF(AB19="","",IF(AB19&lt;=0.2,"Leve",IF(AB19&lt;=0.4,"Menor",IF(AB19&lt;=0.6,"Moderado",IF(AB19&lt;=0.8,"Mayor","Catastrófico"))))),"")</f>
        <v/>
      </c>
      <c r="AB19" s="282" t="str">
        <f>IFERROR(IF(Q19="Impacto",(M19-(+M19*T19)),IF(Q19="Probabilidad",M19,"")),"")</f>
        <v/>
      </c>
      <c r="AC19" s="285"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81"/>
      <c r="AE19" s="286"/>
      <c r="AF19" s="286"/>
      <c r="AG19" s="287"/>
      <c r="AH19" s="288"/>
      <c r="AI19" s="288"/>
      <c r="AJ19" s="288"/>
      <c r="AK19" s="286"/>
      <c r="AL19" s="289"/>
      <c r="AM19" s="292"/>
      <c r="AN19" s="292"/>
      <c r="AO19" s="292"/>
      <c r="AP19" s="292"/>
      <c r="AQ19" s="292"/>
      <c r="AR19" s="292"/>
      <c r="AS19" s="292"/>
      <c r="AT19" s="292"/>
      <c r="AU19" s="292"/>
      <c r="AV19" s="292"/>
      <c r="AW19" s="292"/>
      <c r="AX19" s="292"/>
      <c r="AY19" s="292"/>
      <c r="AZ19" s="292"/>
      <c r="BA19" s="292"/>
      <c r="BB19" s="292"/>
      <c r="BC19" s="292"/>
      <c r="BD19" s="292"/>
      <c r="BE19" s="292"/>
      <c r="BF19" s="292"/>
      <c r="BG19" s="292"/>
      <c r="BH19" s="292"/>
      <c r="BI19" s="292"/>
      <c r="BJ19" s="292"/>
      <c r="BK19" s="292"/>
      <c r="BL19" s="292"/>
      <c r="BM19" s="292"/>
      <c r="BN19" s="292"/>
      <c r="BO19" s="292"/>
      <c r="BP19" s="292"/>
      <c r="BQ19" s="292"/>
      <c r="BR19" s="292"/>
    </row>
    <row r="20" spans="1:70" s="293" customFormat="1" ht="69" customHeight="1" x14ac:dyDescent="0.2">
      <c r="A20" s="598"/>
      <c r="B20" s="599"/>
      <c r="C20" s="599"/>
      <c r="D20" s="599"/>
      <c r="E20" s="600"/>
      <c r="F20" s="599"/>
      <c r="G20" s="601"/>
      <c r="H20" s="602"/>
      <c r="I20" s="597"/>
      <c r="J20" s="599"/>
      <c r="K20" s="597">
        <f ca="1">IF(NOT(ISERROR(MATCH(J20,_xlfn.ANCHORARRAY(E23),0))),#REF!&amp;"Por favor no seleccionar los criterios de impacto",J20)</f>
        <v>0</v>
      </c>
      <c r="L20" s="602"/>
      <c r="M20" s="597"/>
      <c r="N20" s="596"/>
      <c r="O20" s="278">
        <v>2</v>
      </c>
      <c r="P20" s="279"/>
      <c r="Q20" s="280" t="str">
        <f t="shared" si="0"/>
        <v/>
      </c>
      <c r="R20" s="281"/>
      <c r="S20" s="281"/>
      <c r="T20" s="282" t="str">
        <f t="shared" ref="T20" si="11">IF(AND(R20="Preventivo",S20="Automático"),"50%",IF(AND(R20="Preventivo",S20="Manual"),"40%",IF(AND(R20="Detectivo",S20="Automático"),"40%",IF(AND(R20="Detectivo",S20="Manual"),"30%",IF(AND(R20="Correctivo",S20="Automático"),"35%",IF(AND(R20="Correctivo",S20="Manual"),"25%",""))))))</f>
        <v/>
      </c>
      <c r="U20" s="281"/>
      <c r="V20" s="281"/>
      <c r="W20" s="281"/>
      <c r="X20" s="283" t="str">
        <f>IFERROR(IF(AND(Q19="Probabilidad",Q20="Probabilidad"),(Z19-(+Z19*T20)),IF(Q20="Probabilidad",(I19-(+I19*T20)),IF(Q20="Impacto",Z19,""))),"")</f>
        <v/>
      </c>
      <c r="Y20" s="284" t="str">
        <f t="shared" si="2"/>
        <v/>
      </c>
      <c r="Z20" s="282" t="str">
        <f t="shared" ref="Z20" si="12">+X20</f>
        <v/>
      </c>
      <c r="AA20" s="284" t="str">
        <f t="shared" si="4"/>
        <v/>
      </c>
      <c r="AB20" s="282" t="str">
        <f>IFERROR(IF(AND(Q19="Impacto",Q20="Impacto"),(AB17-(+AB17*T20)),IF(Q20="Impacto",($M$19-(+$M$19*T20)),IF(Q20="Probabilidad",AB17,""))),"")</f>
        <v/>
      </c>
      <c r="AC20" s="285" t="str">
        <f t="shared" ref="AC20" si="13">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81"/>
      <c r="AE20" s="286"/>
      <c r="AF20" s="286"/>
      <c r="AG20" s="287"/>
      <c r="AH20" s="288"/>
      <c r="AI20" s="288"/>
      <c r="AJ20" s="288"/>
      <c r="AK20" s="286"/>
      <c r="AL20" s="289"/>
      <c r="AM20" s="292"/>
      <c r="AN20" s="292"/>
      <c r="AO20" s="292"/>
      <c r="AP20" s="292"/>
      <c r="AQ20" s="292"/>
      <c r="AR20" s="292"/>
      <c r="AS20" s="292"/>
      <c r="AT20" s="292"/>
      <c r="AU20" s="292"/>
      <c r="AV20" s="292"/>
      <c r="AW20" s="292"/>
      <c r="AX20" s="292"/>
      <c r="AY20" s="292"/>
      <c r="AZ20" s="292"/>
      <c r="BA20" s="292"/>
      <c r="BB20" s="292"/>
      <c r="BC20" s="292"/>
      <c r="BD20" s="292"/>
      <c r="BE20" s="292"/>
      <c r="BF20" s="292"/>
      <c r="BG20" s="292"/>
      <c r="BH20" s="292"/>
      <c r="BI20" s="292"/>
      <c r="BJ20" s="292"/>
      <c r="BK20" s="292"/>
      <c r="BL20" s="292"/>
      <c r="BM20" s="292"/>
      <c r="BN20" s="292"/>
      <c r="BO20" s="292"/>
      <c r="BP20" s="292"/>
      <c r="BQ20" s="292"/>
      <c r="BR20" s="292"/>
    </row>
    <row r="21" spans="1:70" s="293" customFormat="1" ht="69" customHeight="1" x14ac:dyDescent="0.2">
      <c r="A21" s="598"/>
      <c r="B21" s="599"/>
      <c r="C21" s="599"/>
      <c r="D21" s="599"/>
      <c r="E21" s="600"/>
      <c r="F21" s="599"/>
      <c r="G21" s="601"/>
      <c r="H21" s="602" t="str">
        <f t="shared" ref="H21" si="14">IF(G21&lt;=0,"",IF(G21&lt;=2,"Muy Baja",IF(G21&lt;=24,"Baja",IF(G21&lt;=500,"Media",IF(G21&lt;=5000,"Alta","Muy Alta")))))</f>
        <v/>
      </c>
      <c r="I21" s="597" t="str">
        <f t="shared" ref="I21" si="15">IF(H21="","",IF(H21="Muy Baja",0.2,IF(H21="Baja",0.4,IF(H21="Media",0.6,IF(H21="Alta",0.8,IF(H21="Muy Alta",1,))))))</f>
        <v/>
      </c>
      <c r="J21" s="599"/>
      <c r="K21" s="597">
        <f>IF(NOT(ISERROR(MATCH(J21,'[2]Tabla Impacto'!$B$221:$B$223,0))),'[2]Tabla Impacto'!$F$223&amp;"Por favor no seleccionar los criterios de impacto(Afectación Económica o presupuestal y Pérdida Reputacional)",J21)</f>
        <v>0</v>
      </c>
      <c r="L21" s="602" t="str">
        <f t="shared" ref="L21" si="16">IF(J21&lt;=0,"",IF(J21&lt;=10,"Leve",IF(J21&lt;=50,"Menor",IF(J21&lt;=100,"Moderado",IF(J21&lt;=500,"Mayor","Catastrófico")))))</f>
        <v/>
      </c>
      <c r="M21" s="597" t="str">
        <f t="shared" ref="M21" si="17">IF(L21="","",IF(L21="Leve",0.2,IF(L21="Menor",0.4,IF(L21="Moderado",0.6,IF(L21="Mayor",0.8,IF(L21="Catastrófico",1,))))))</f>
        <v/>
      </c>
      <c r="N21" s="596" t="str">
        <f t="shared" ref="N21" si="18">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8">
        <v>1</v>
      </c>
      <c r="P21" s="279"/>
      <c r="Q21" s="280" t="str">
        <f t="shared" si="0"/>
        <v/>
      </c>
      <c r="R21" s="281"/>
      <c r="S21" s="281"/>
      <c r="T21" s="282" t="str">
        <f>IF(AND(R21="Preventivo",S21="Automático"),"50%",IF(AND(R21="Preventivo",S21="Manual"),"40%",IF(AND(R21="Detectivo",S21="Automático"),"40%",IF(AND(R21="Detectivo",S21="Manual"),"30%",IF(AND(R21="Correctivo",S21="Automático"),"35%",IF(AND(R21="Correctivo",S21="Manual"),"25%",""))))))</f>
        <v/>
      </c>
      <c r="U21" s="281"/>
      <c r="V21" s="281"/>
      <c r="W21" s="281"/>
      <c r="X21" s="283" t="str">
        <f>IFERROR(IF(Q21="Probabilidad",(I21-(+I21*T21)),IF(Q21="Impacto",I21,"")),"")</f>
        <v/>
      </c>
      <c r="Y21" s="284" t="str">
        <f>IFERROR(IF(X21="","",IF(X21&lt;=0.2,"Muy Baja",IF(X21&lt;=0.4,"Baja",IF(X21&lt;=0.6,"Media",IF(X21&lt;=0.8,"Alta","Muy Alta"))))),"")</f>
        <v/>
      </c>
      <c r="Z21" s="282" t="str">
        <f>+X21</f>
        <v/>
      </c>
      <c r="AA21" s="284" t="str">
        <f>IFERROR(IF(AB21="","",IF(AB21&lt;=0.2,"Leve",IF(AB21&lt;=0.4,"Menor",IF(AB21&lt;=0.6,"Moderado",IF(AB21&lt;=0.8,"Mayor","Catastrófico"))))),"")</f>
        <v/>
      </c>
      <c r="AB21" s="282" t="str">
        <f>IFERROR(IF(Q21="Impacto",(M21-(+M21*T21)),IF(Q21="Probabilidad",M21,"")),"")</f>
        <v/>
      </c>
      <c r="AC21" s="285"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81"/>
      <c r="AE21" s="286"/>
      <c r="AF21" s="286"/>
      <c r="AG21" s="287"/>
      <c r="AH21" s="288"/>
      <c r="AI21" s="288"/>
      <c r="AJ21" s="288"/>
      <c r="AK21" s="286"/>
      <c r="AL21" s="289"/>
      <c r="AM21" s="292"/>
      <c r="AN21" s="292"/>
      <c r="AO21" s="292"/>
      <c r="AP21" s="292"/>
      <c r="AQ21" s="292"/>
      <c r="AR21" s="292"/>
      <c r="AS21" s="292"/>
      <c r="AT21" s="292"/>
      <c r="AU21" s="292"/>
      <c r="AV21" s="292"/>
      <c r="AW21" s="292"/>
      <c r="AX21" s="292"/>
      <c r="AY21" s="292"/>
      <c r="AZ21" s="292"/>
      <c r="BA21" s="292"/>
      <c r="BB21" s="292"/>
      <c r="BC21" s="292"/>
      <c r="BD21" s="292"/>
      <c r="BE21" s="292"/>
      <c r="BF21" s="292"/>
      <c r="BG21" s="292"/>
      <c r="BH21" s="292"/>
      <c r="BI21" s="292"/>
      <c r="BJ21" s="292"/>
      <c r="BK21" s="292"/>
      <c r="BL21" s="292"/>
      <c r="BM21" s="292"/>
      <c r="BN21" s="292"/>
      <c r="BO21" s="292"/>
      <c r="BP21" s="292"/>
      <c r="BQ21" s="292"/>
      <c r="BR21" s="292"/>
    </row>
    <row r="22" spans="1:70" s="293" customFormat="1" ht="69" customHeight="1" x14ac:dyDescent="0.2">
      <c r="A22" s="598"/>
      <c r="B22" s="599"/>
      <c r="C22" s="599"/>
      <c r="D22" s="599"/>
      <c r="E22" s="600"/>
      <c r="F22" s="599"/>
      <c r="G22" s="601"/>
      <c r="H22" s="602"/>
      <c r="I22" s="597"/>
      <c r="J22" s="599"/>
      <c r="K22" s="597">
        <f ca="1">IF(NOT(ISERROR(MATCH(J22,_xlfn.ANCHORARRAY(E25),0))),#REF!&amp;"Por favor no seleccionar los criterios de impacto",J22)</f>
        <v>0</v>
      </c>
      <c r="L22" s="602"/>
      <c r="M22" s="597"/>
      <c r="N22" s="596"/>
      <c r="O22" s="278">
        <v>2</v>
      </c>
      <c r="P22" s="279"/>
      <c r="Q22" s="280" t="str">
        <f t="shared" si="0"/>
        <v/>
      </c>
      <c r="R22" s="281"/>
      <c r="S22" s="281"/>
      <c r="T22" s="282" t="str">
        <f t="shared" ref="T22" si="19">IF(AND(R22="Preventivo",S22="Automático"),"50%",IF(AND(R22="Preventivo",S22="Manual"),"40%",IF(AND(R22="Detectivo",S22="Automático"),"40%",IF(AND(R22="Detectivo",S22="Manual"),"30%",IF(AND(R22="Correctivo",S22="Automático"),"35%",IF(AND(R22="Correctivo",S22="Manual"),"25%",""))))))</f>
        <v/>
      </c>
      <c r="U22" s="281"/>
      <c r="V22" s="281"/>
      <c r="W22" s="281"/>
      <c r="X22" s="283" t="str">
        <f>IFERROR(IF(AND(Q21="Probabilidad",Q22="Probabilidad"),(Z21-(+Z21*T22)),IF(Q22="Probabilidad",(I21-(+I21*T22)),IF(Q22="Impacto",Z21,""))),"")</f>
        <v/>
      </c>
      <c r="Y22" s="284" t="str">
        <f t="shared" si="2"/>
        <v/>
      </c>
      <c r="Z22" s="282" t="str">
        <f t="shared" ref="Z22" si="20">+X22</f>
        <v/>
      </c>
      <c r="AA22" s="284" t="str">
        <f t="shared" si="4"/>
        <v/>
      </c>
      <c r="AB22" s="282" t="str">
        <f>IFERROR(IF(AND(Q21="Impacto",Q22="Impacto"),(AB19-(+AB19*T22)),IF(Q22="Impacto",($M$21-(+$M$21*T22)),IF(Q22="Probabilidad",AB19,""))),"")</f>
        <v/>
      </c>
      <c r="AC22" s="285" t="str">
        <f t="shared" ref="AC22" si="21">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81"/>
      <c r="AE22" s="286"/>
      <c r="AF22" s="286"/>
      <c r="AG22" s="287"/>
      <c r="AH22" s="288"/>
      <c r="AI22" s="288"/>
      <c r="AJ22" s="288"/>
      <c r="AK22" s="286"/>
      <c r="AL22" s="289"/>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row>
    <row r="23" spans="1:70" s="293" customFormat="1" ht="69" customHeight="1" x14ac:dyDescent="0.2">
      <c r="A23" s="598"/>
      <c r="B23" s="599"/>
      <c r="C23" s="599"/>
      <c r="D23" s="599"/>
      <c r="E23" s="600"/>
      <c r="F23" s="599"/>
      <c r="G23" s="601"/>
      <c r="H23" s="602" t="str">
        <f t="shared" ref="H23" si="22">IF(G23&lt;=0,"",IF(G23&lt;=2,"Muy Baja",IF(G23&lt;=24,"Baja",IF(G23&lt;=500,"Media",IF(G23&lt;=5000,"Alta","Muy Alta")))))</f>
        <v/>
      </c>
      <c r="I23" s="597" t="str">
        <f t="shared" ref="I23" si="23">IF(H23="","",IF(H23="Muy Baja",0.2,IF(H23="Baja",0.4,IF(H23="Media",0.6,IF(H23="Alta",0.8,IF(H23="Muy Alta",1,))))))</f>
        <v/>
      </c>
      <c r="J23" s="599"/>
      <c r="K23" s="597">
        <f>IF(NOT(ISERROR(MATCH(J23,'[2]Tabla Impacto'!$B$221:$B$223,0))),'[2]Tabla Impacto'!$F$223&amp;"Por favor no seleccionar los criterios de impacto(Afectación Económica o presupuestal y Pérdida Reputacional)",J23)</f>
        <v>0</v>
      </c>
      <c r="L23" s="602" t="str">
        <f t="shared" ref="L23" si="24">IF(J23&lt;=0,"",IF(J23&lt;=10,"Leve",IF(J23&lt;=50,"Menor",IF(J23&lt;=100,"Moderado",IF(J23&lt;=500,"Mayor","Catastrófico")))))</f>
        <v/>
      </c>
      <c r="M23" s="597" t="str">
        <f t="shared" ref="M23" si="25">IF(L23="","",IF(L23="Leve",0.2,IF(L23="Menor",0.4,IF(L23="Moderado",0.6,IF(L23="Mayor",0.8,IF(L23="Catastrófico",1,))))))</f>
        <v/>
      </c>
      <c r="N23" s="596" t="str">
        <f t="shared" ref="N23" si="26">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8">
        <v>1</v>
      </c>
      <c r="P23" s="279"/>
      <c r="Q23" s="280" t="str">
        <f t="shared" si="0"/>
        <v/>
      </c>
      <c r="R23" s="281"/>
      <c r="S23" s="281"/>
      <c r="T23" s="282" t="str">
        <f>IF(AND(R23="Preventivo",S23="Automático"),"50%",IF(AND(R23="Preventivo",S23="Manual"),"40%",IF(AND(R23="Detectivo",S23="Automático"),"40%",IF(AND(R23="Detectivo",S23="Manual"),"30%",IF(AND(R23="Correctivo",S23="Automático"),"35%",IF(AND(R23="Correctivo",S23="Manual"),"25%",""))))))</f>
        <v/>
      </c>
      <c r="U23" s="281"/>
      <c r="V23" s="281"/>
      <c r="W23" s="281"/>
      <c r="X23" s="283" t="str">
        <f>IFERROR(IF(Q23="Probabilidad",(I23-(+I23*T23)),IF(Q23="Impacto",I23,"")),"")</f>
        <v/>
      </c>
      <c r="Y23" s="284" t="str">
        <f>IFERROR(IF(X23="","",IF(X23&lt;=0.2,"Muy Baja",IF(X23&lt;=0.4,"Baja",IF(X23&lt;=0.6,"Media",IF(X23&lt;=0.8,"Alta","Muy Alta"))))),"")</f>
        <v/>
      </c>
      <c r="Z23" s="282" t="str">
        <f>+X23</f>
        <v/>
      </c>
      <c r="AA23" s="284" t="str">
        <f>IFERROR(IF(AB23="","",IF(AB23&lt;=0.2,"Leve",IF(AB23&lt;=0.4,"Menor",IF(AB23&lt;=0.6,"Moderado",IF(AB23&lt;=0.8,"Mayor","Catastrófico"))))),"")</f>
        <v/>
      </c>
      <c r="AB23" s="282" t="str">
        <f>IFERROR(IF(Q23="Impacto",(M23-(+M23*T23)),IF(Q23="Probabilidad",M23,"")),"")</f>
        <v/>
      </c>
      <c r="AC23" s="285"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81"/>
      <c r="AE23" s="286"/>
      <c r="AF23" s="286"/>
      <c r="AG23" s="287"/>
      <c r="AH23" s="288"/>
      <c r="AI23" s="288"/>
      <c r="AJ23" s="288"/>
      <c r="AK23" s="286"/>
      <c r="AL23" s="289"/>
      <c r="AM23" s="292"/>
      <c r="AN23" s="292"/>
      <c r="AO23" s="292"/>
      <c r="AP23" s="292"/>
      <c r="AQ23" s="292"/>
      <c r="AR23" s="292"/>
      <c r="AS23" s="292"/>
      <c r="AT23" s="292"/>
      <c r="AU23" s="292"/>
      <c r="AV23" s="292"/>
      <c r="AW23" s="292"/>
      <c r="AX23" s="292"/>
      <c r="AY23" s="292"/>
      <c r="AZ23" s="292"/>
      <c r="BA23" s="292"/>
      <c r="BB23" s="292"/>
      <c r="BC23" s="292"/>
      <c r="BD23" s="292"/>
      <c r="BE23" s="292"/>
      <c r="BF23" s="292"/>
      <c r="BG23" s="292"/>
      <c r="BH23" s="292"/>
      <c r="BI23" s="292"/>
      <c r="BJ23" s="292"/>
      <c r="BK23" s="292"/>
      <c r="BL23" s="292"/>
      <c r="BM23" s="292"/>
      <c r="BN23" s="292"/>
      <c r="BO23" s="292"/>
      <c r="BP23" s="292"/>
      <c r="BQ23" s="292"/>
      <c r="BR23" s="292"/>
    </row>
    <row r="24" spans="1:70" s="293" customFormat="1" ht="69" customHeight="1" x14ac:dyDescent="0.2">
      <c r="A24" s="598"/>
      <c r="B24" s="599"/>
      <c r="C24" s="599"/>
      <c r="D24" s="599"/>
      <c r="E24" s="600"/>
      <c r="F24" s="599"/>
      <c r="G24" s="601"/>
      <c r="H24" s="602"/>
      <c r="I24" s="597"/>
      <c r="J24" s="599"/>
      <c r="K24" s="597">
        <f ca="1">IF(NOT(ISERROR(MATCH(J24,_xlfn.ANCHORARRAY(E27),0))),#REF!&amp;"Por favor no seleccionar los criterios de impacto",J24)</f>
        <v>0</v>
      </c>
      <c r="L24" s="602"/>
      <c r="M24" s="597"/>
      <c r="N24" s="596"/>
      <c r="O24" s="278">
        <v>2</v>
      </c>
      <c r="P24" s="279"/>
      <c r="Q24" s="280" t="str">
        <f t="shared" si="0"/>
        <v/>
      </c>
      <c r="R24" s="281"/>
      <c r="S24" s="281"/>
      <c r="T24" s="282" t="str">
        <f t="shared" ref="T24" si="27">IF(AND(R24="Preventivo",S24="Automático"),"50%",IF(AND(R24="Preventivo",S24="Manual"),"40%",IF(AND(R24="Detectivo",S24="Automático"),"40%",IF(AND(R24="Detectivo",S24="Manual"),"30%",IF(AND(R24="Correctivo",S24="Automático"),"35%",IF(AND(R24="Correctivo",S24="Manual"),"25%",""))))))</f>
        <v/>
      </c>
      <c r="U24" s="281"/>
      <c r="V24" s="281"/>
      <c r="W24" s="281"/>
      <c r="X24" s="283" t="str">
        <f>IFERROR(IF(AND(Q23="Probabilidad",Q24="Probabilidad"),(Z23-(+Z23*T24)),IF(Q24="Probabilidad",(I23-(+I23*T24)),IF(Q24="Impacto",Z23,""))),"")</f>
        <v/>
      </c>
      <c r="Y24" s="284" t="str">
        <f t="shared" si="2"/>
        <v/>
      </c>
      <c r="Z24" s="282" t="str">
        <f t="shared" ref="Z24" si="28">+X24</f>
        <v/>
      </c>
      <c r="AA24" s="284" t="str">
        <f t="shared" si="4"/>
        <v/>
      </c>
      <c r="AB24" s="282" t="str">
        <f>IFERROR(IF(AND(Q23="Impacto",Q24="Impacto"),(AB21-(+AB21*T24)),IF(Q24="Impacto",($M$23-(+$M$23*T24)),IF(Q24="Probabilidad",AB21,""))),"")</f>
        <v/>
      </c>
      <c r="AC24" s="285" t="str">
        <f t="shared" ref="AC24" si="29">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81"/>
      <c r="AE24" s="286"/>
      <c r="AF24" s="286"/>
      <c r="AG24" s="287"/>
      <c r="AH24" s="288"/>
      <c r="AI24" s="288"/>
      <c r="AJ24" s="288"/>
      <c r="AK24" s="286"/>
      <c r="AL24" s="289"/>
      <c r="AM24" s="292"/>
      <c r="AN24" s="292"/>
      <c r="AO24" s="292"/>
      <c r="AP24" s="292"/>
      <c r="AQ24" s="292"/>
      <c r="AR24" s="292"/>
      <c r="AS24" s="292"/>
      <c r="AT24" s="292"/>
      <c r="AU24" s="292"/>
      <c r="AV24" s="292"/>
      <c r="AW24" s="292"/>
      <c r="AX24" s="292"/>
      <c r="AY24" s="292"/>
      <c r="AZ24" s="292"/>
      <c r="BA24" s="292"/>
      <c r="BB24" s="292"/>
      <c r="BC24" s="292"/>
      <c r="BD24" s="292"/>
      <c r="BE24" s="292"/>
      <c r="BF24" s="292"/>
      <c r="BG24" s="292"/>
      <c r="BH24" s="292"/>
      <c r="BI24" s="292"/>
      <c r="BJ24" s="292"/>
      <c r="BK24" s="292"/>
      <c r="BL24" s="292"/>
      <c r="BM24" s="292"/>
      <c r="BN24" s="292"/>
      <c r="BO24" s="292"/>
      <c r="BP24" s="292"/>
      <c r="BQ24" s="292"/>
      <c r="BR24" s="292"/>
    </row>
    <row r="25" spans="1:70" s="293" customFormat="1" ht="69" customHeight="1" x14ac:dyDescent="0.2">
      <c r="A25" s="598"/>
      <c r="B25" s="599"/>
      <c r="C25" s="599"/>
      <c r="D25" s="599"/>
      <c r="E25" s="600"/>
      <c r="F25" s="599"/>
      <c r="G25" s="601"/>
      <c r="H25" s="602" t="str">
        <f t="shared" ref="H25" si="30">IF(G25&lt;=0,"",IF(G25&lt;=2,"Muy Baja",IF(G25&lt;=24,"Baja",IF(G25&lt;=500,"Media",IF(G25&lt;=5000,"Alta","Muy Alta")))))</f>
        <v/>
      </c>
      <c r="I25" s="597" t="str">
        <f t="shared" ref="I25" si="31">IF(H25="","",IF(H25="Muy Baja",0.2,IF(H25="Baja",0.4,IF(H25="Media",0.6,IF(H25="Alta",0.8,IF(H25="Muy Alta",1,))))))</f>
        <v/>
      </c>
      <c r="J25" s="599"/>
      <c r="K25" s="597">
        <f>IF(NOT(ISERROR(MATCH(J25,'[2]Tabla Impacto'!$B$221:$B$223,0))),'[2]Tabla Impacto'!$F$223&amp;"Por favor no seleccionar los criterios de impacto(Afectación Económica o presupuestal y Pérdida Reputacional)",J25)</f>
        <v>0</v>
      </c>
      <c r="L25" s="602" t="str">
        <f t="shared" ref="L25" si="32">IF(J25&lt;=0,"",IF(J25&lt;=10,"Leve",IF(J25&lt;=50,"Menor",IF(J25&lt;=100,"Moderado",IF(J25&lt;=500,"Mayor","Catastrófico")))))</f>
        <v/>
      </c>
      <c r="M25" s="597" t="str">
        <f t="shared" ref="M25" si="33">IF(L25="","",IF(L25="Leve",0.2,IF(L25="Menor",0.4,IF(L25="Moderado",0.6,IF(L25="Mayor",0.8,IF(L25="Catastrófico",1,))))))</f>
        <v/>
      </c>
      <c r="N25" s="596" t="str">
        <f t="shared" ref="N25" si="34">IF(OR(AND(H25="Muy Baja",L25="Leve"),AND(H25="Muy Baja",L25="Menor"),AND(H25="Baja",L25="Leve")),"Bajo",IF(OR(AND(H25="Muy baja",L25="Moderado"),AND(H25="Baja",L25="Menor"),AND(H25="Baja",L25="Moderado"),AND(H25="Media",L25="Leve"),AND(H25="Media",L25="Menor"),AND(H25="Media",L25="Moderado"),AND(H25="Alta",L25="Leve"),AND(H25="Alta",L25="Menor")),"Moderado",IF(OR(AND(H25="Muy Baja",L25="Mayor"),AND(H25="Baja",L25="Mayor"),AND(H25="Media",L25="Mayor"),AND(H25="Alta",L25="Moderado"),AND(H25="Alta",L25="Mayor"),AND(H25="Muy Alta",L25="Leve"),AND(H25="Muy Alta",L25="Menor"),AND(H25="Muy Alta",L25="Moderado"),AND(H25="Muy Alta",L25="Mayor")),"Alto",IF(OR(AND(H25="Muy Baja",L25="Catastrófico"),AND(H25="Baja",L25="Catastrófico"),AND(H25="Media",L25="Catastrófico"),AND(H25="Alta",L25="Catastrófico"),AND(H25="Muy Alta",L25="Catastrófico")),"Extremo",""))))</f>
        <v/>
      </c>
      <c r="O25" s="278">
        <v>1</v>
      </c>
      <c r="P25" s="279"/>
      <c r="Q25" s="280" t="str">
        <f t="shared" si="0"/>
        <v/>
      </c>
      <c r="R25" s="281"/>
      <c r="S25" s="281"/>
      <c r="T25" s="282" t="str">
        <f>IF(AND(R25="Preventivo",S25="Automático"),"50%",IF(AND(R25="Preventivo",S25="Manual"),"40%",IF(AND(R25="Detectivo",S25="Automático"),"40%",IF(AND(R25="Detectivo",S25="Manual"),"30%",IF(AND(R25="Correctivo",S25="Automático"),"35%",IF(AND(R25="Correctivo",S25="Manual"),"25%",""))))))</f>
        <v/>
      </c>
      <c r="U25" s="281"/>
      <c r="V25" s="281"/>
      <c r="W25" s="281"/>
      <c r="X25" s="283" t="str">
        <f>IFERROR(IF(Q25="Probabilidad",(I25-(+I25*T25)),IF(Q25="Impacto",I25,"")),"")</f>
        <v/>
      </c>
      <c r="Y25" s="284" t="str">
        <f>IFERROR(IF(X25="","",IF(X25&lt;=0.2,"Muy Baja",IF(X25&lt;=0.4,"Baja",IF(X25&lt;=0.6,"Media",IF(X25&lt;=0.8,"Alta","Muy Alta"))))),"")</f>
        <v/>
      </c>
      <c r="Z25" s="282" t="str">
        <f>+X25</f>
        <v/>
      </c>
      <c r="AA25" s="284" t="str">
        <f>IFERROR(IF(AB25="","",IF(AB25&lt;=0.2,"Leve",IF(AB25&lt;=0.4,"Menor",IF(AB25&lt;=0.6,"Moderado",IF(AB25&lt;=0.8,"Mayor","Catastrófico"))))),"")</f>
        <v/>
      </c>
      <c r="AB25" s="282" t="str">
        <f>IFERROR(IF(Q25="Impacto",(M25-(+M25*T25)),IF(Q25="Probabilidad",M25,"")),"")</f>
        <v/>
      </c>
      <c r="AC25" s="285"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81"/>
      <c r="AE25" s="286"/>
      <c r="AF25" s="286"/>
      <c r="AG25" s="287"/>
      <c r="AH25" s="288"/>
      <c r="AI25" s="288"/>
      <c r="AJ25" s="288"/>
      <c r="AK25" s="286"/>
      <c r="AL25" s="289"/>
      <c r="AM25" s="292"/>
      <c r="AN25" s="292"/>
      <c r="AO25" s="292"/>
      <c r="AP25" s="292"/>
      <c r="AQ25" s="292"/>
      <c r="AR25" s="292"/>
      <c r="AS25" s="292"/>
      <c r="AT25" s="292"/>
      <c r="AU25" s="292"/>
      <c r="AV25" s="292"/>
      <c r="AW25" s="292"/>
      <c r="AX25" s="292"/>
      <c r="AY25" s="292"/>
      <c r="AZ25" s="292"/>
      <c r="BA25" s="292"/>
      <c r="BB25" s="292"/>
      <c r="BC25" s="292"/>
      <c r="BD25" s="292"/>
      <c r="BE25" s="292"/>
      <c r="BF25" s="292"/>
      <c r="BG25" s="292"/>
      <c r="BH25" s="292"/>
      <c r="BI25" s="292"/>
      <c r="BJ25" s="292"/>
      <c r="BK25" s="292"/>
      <c r="BL25" s="292"/>
      <c r="BM25" s="292"/>
      <c r="BN25" s="292"/>
      <c r="BO25" s="292"/>
      <c r="BP25" s="292"/>
      <c r="BQ25" s="292"/>
      <c r="BR25" s="292"/>
    </row>
    <row r="26" spans="1:70" s="293" customFormat="1" ht="69" customHeight="1" x14ac:dyDescent="0.2">
      <c r="A26" s="598"/>
      <c r="B26" s="599"/>
      <c r="C26" s="599"/>
      <c r="D26" s="599"/>
      <c r="E26" s="600"/>
      <c r="F26" s="599"/>
      <c r="G26" s="601"/>
      <c r="H26" s="602"/>
      <c r="I26" s="597"/>
      <c r="J26" s="599"/>
      <c r="K26" s="597">
        <f ca="1">IF(NOT(ISERROR(MATCH(J26,_xlfn.ANCHORARRAY(E29),0))),#REF!&amp;"Por favor no seleccionar los criterios de impacto",J26)</f>
        <v>0</v>
      </c>
      <c r="L26" s="602"/>
      <c r="M26" s="597"/>
      <c r="N26" s="596"/>
      <c r="O26" s="278">
        <v>2</v>
      </c>
      <c r="P26" s="279"/>
      <c r="Q26" s="280" t="str">
        <f t="shared" si="0"/>
        <v/>
      </c>
      <c r="R26" s="281"/>
      <c r="S26" s="281"/>
      <c r="T26" s="282" t="str">
        <f t="shared" ref="T26" si="35">IF(AND(R26="Preventivo",S26="Automático"),"50%",IF(AND(R26="Preventivo",S26="Manual"),"40%",IF(AND(R26="Detectivo",S26="Automático"),"40%",IF(AND(R26="Detectivo",S26="Manual"),"30%",IF(AND(R26="Correctivo",S26="Automático"),"35%",IF(AND(R26="Correctivo",S26="Manual"),"25%",""))))))</f>
        <v/>
      </c>
      <c r="U26" s="281"/>
      <c r="V26" s="281"/>
      <c r="W26" s="281"/>
      <c r="X26" s="283" t="str">
        <f>IFERROR(IF(AND(Q25="Probabilidad",Q26="Probabilidad"),(Z25-(+Z25*T26)),IF(Q26="Probabilidad",(I25-(+I25*T26)),IF(Q26="Impacto",Z25,""))),"")</f>
        <v/>
      </c>
      <c r="Y26" s="284" t="str">
        <f t="shared" si="2"/>
        <v/>
      </c>
      <c r="Z26" s="282" t="str">
        <f t="shared" ref="Z26" si="36">+X26</f>
        <v/>
      </c>
      <c r="AA26" s="284" t="str">
        <f t="shared" si="4"/>
        <v/>
      </c>
      <c r="AB26" s="282" t="str">
        <f>IFERROR(IF(AND(Q25="Impacto",Q26="Impacto"),(AB23-(+AB23*T26)),IF(Q26="Impacto",($M$25-(+$M$25*T26)),IF(Q26="Probabilidad",AB23,""))),"")</f>
        <v/>
      </c>
      <c r="AC26" s="285" t="str">
        <f t="shared" ref="AC26" si="37">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81"/>
      <c r="AE26" s="286"/>
      <c r="AF26" s="286"/>
      <c r="AG26" s="287"/>
      <c r="AH26" s="288"/>
      <c r="AI26" s="288"/>
      <c r="AJ26" s="288"/>
      <c r="AK26" s="286"/>
      <c r="AL26" s="289"/>
      <c r="AM26" s="292"/>
      <c r="AN26" s="292"/>
      <c r="AO26" s="292"/>
      <c r="AP26" s="292"/>
      <c r="AQ26" s="292"/>
      <c r="AR26" s="292"/>
      <c r="AS26" s="292"/>
      <c r="AT26" s="292"/>
      <c r="AU26" s="292"/>
      <c r="AV26" s="292"/>
      <c r="AW26" s="292"/>
      <c r="AX26" s="292"/>
      <c r="AY26" s="292"/>
      <c r="AZ26" s="292"/>
      <c r="BA26" s="292"/>
      <c r="BB26" s="292"/>
      <c r="BC26" s="292"/>
      <c r="BD26" s="292"/>
      <c r="BE26" s="292"/>
      <c r="BF26" s="292"/>
      <c r="BG26" s="292"/>
      <c r="BH26" s="292"/>
      <c r="BI26" s="292"/>
      <c r="BJ26" s="292"/>
      <c r="BK26" s="292"/>
      <c r="BL26" s="292"/>
      <c r="BM26" s="292"/>
      <c r="BN26" s="292"/>
      <c r="BO26" s="292"/>
      <c r="BP26" s="292"/>
      <c r="BQ26" s="292"/>
      <c r="BR26" s="292"/>
    </row>
    <row r="27" spans="1:70" s="293" customFormat="1" ht="69" customHeight="1" x14ac:dyDescent="0.2">
      <c r="A27" s="598"/>
      <c r="B27" s="599"/>
      <c r="C27" s="599"/>
      <c r="D27" s="296"/>
      <c r="E27" s="296"/>
      <c r="F27" s="296"/>
      <c r="G27" s="296"/>
      <c r="H27" s="296"/>
      <c r="I27" s="597" t="str">
        <f t="shared" ref="I27" si="38">IF(H27="","",IF(H27="Muy Baja",0.2,IF(H27="Baja",0.4,IF(H27="Media",0.6,IF(H27="Alta",0.8,IF(H27="Muy Alta",1,))))))</f>
        <v/>
      </c>
      <c r="J27" s="599"/>
      <c r="K27" s="597">
        <f>IF(NOT(ISERROR(MATCH(J27,'[2]Tabla Impacto'!$B$221:$B$223,0))),'[2]Tabla Impacto'!$F$223&amp;"Por favor no seleccionar los criterios de impacto(Afectación Económica o presupuestal y Pérdida Reputacional)",J27)</f>
        <v>0</v>
      </c>
      <c r="L27" s="602" t="str">
        <f t="shared" ref="L27" si="39">IF(J27&lt;=0,"",IF(J27&lt;=10,"Leve",IF(J27&lt;=50,"Menor",IF(J27&lt;=100,"Moderado",IF(J27&lt;=500,"Mayor","Catastrófico")))))</f>
        <v/>
      </c>
      <c r="M27" s="597" t="str">
        <f t="shared" ref="M27" si="40">IF(L27="","",IF(L27="Leve",0.2,IF(L27="Menor",0.4,IF(L27="Moderado",0.6,IF(L27="Mayor",0.8,IF(L27="Catastrófico",1,))))))</f>
        <v/>
      </c>
      <c r="N27" s="596" t="str">
        <f t="shared" ref="N27" si="41">IF(OR(AND(H27="Muy Baja",L27="Leve"),AND(H27="Muy Baja",L27="Menor"),AND(H27="Baja",L27="Leve")),"Bajo",IF(OR(AND(H27="Muy baja",L27="Moderado"),AND(H27="Baja",L27="Menor"),AND(H27="Baja",L27="Moderado"),AND(H27="Media",L27="Leve"),AND(H27="Media",L27="Menor"),AND(H27="Media",L27="Moderado"),AND(H27="Alta",L27="Leve"),AND(H27="Alta",L27="Menor")),"Moderado",IF(OR(AND(H27="Muy Baja",L27="Mayor"),AND(H27="Baja",L27="Mayor"),AND(H27="Media",L27="Mayor"),AND(H27="Alta",L27="Moderado"),AND(H27="Alta",L27="Mayor"),AND(H27="Muy Alta",L27="Leve"),AND(H27="Muy Alta",L27="Menor"),AND(H27="Muy Alta",L27="Moderado"),AND(H27="Muy Alta",L27="Mayor")),"Alto",IF(OR(AND(H27="Muy Baja",L27="Catastrófico"),AND(H27="Baja",L27="Catastrófico"),AND(H27="Media",L27="Catastrófico"),AND(H27="Alta",L27="Catastrófico"),AND(H27="Muy Alta",L27="Catastrófico")),"Extremo",""))))</f>
        <v/>
      </c>
      <c r="O27" s="278">
        <v>1</v>
      </c>
      <c r="P27" s="279"/>
      <c r="Q27" s="280" t="str">
        <f t="shared" si="0"/>
        <v/>
      </c>
      <c r="R27" s="281"/>
      <c r="S27" s="281"/>
      <c r="T27" s="282" t="str">
        <f>IF(AND(R27="Preventivo",S27="Automático"),"50%",IF(AND(R27="Preventivo",S27="Manual"),"40%",IF(AND(R27="Detectivo",S27="Automático"),"40%",IF(AND(R27="Detectivo",S27="Manual"),"30%",IF(AND(R27="Correctivo",S27="Automático"),"35%",IF(AND(R27="Correctivo",S27="Manual"),"25%",""))))))</f>
        <v/>
      </c>
      <c r="U27" s="281"/>
      <c r="V27" s="281"/>
      <c r="W27" s="281"/>
      <c r="X27" s="283" t="str">
        <f>IFERROR(IF(Q27="Probabilidad",(I27-(+I27*T27)),IF(Q27="Impacto",I27,"")),"")</f>
        <v/>
      </c>
      <c r="Y27" s="284" t="str">
        <f>IFERROR(IF(X27="","",IF(X27&lt;=0.2,"Muy Baja",IF(X27&lt;=0.4,"Baja",IF(X27&lt;=0.6,"Media",IF(X27&lt;=0.8,"Alta","Muy Alta"))))),"")</f>
        <v/>
      </c>
      <c r="Z27" s="282" t="str">
        <f>+X27</f>
        <v/>
      </c>
      <c r="AA27" s="284" t="str">
        <f>IFERROR(IF(AB27="","",IF(AB27&lt;=0.2,"Leve",IF(AB27&lt;=0.4,"Menor",IF(AB27&lt;=0.6,"Moderado",IF(AB27&lt;=0.8,"Mayor","Catastrófico"))))),"")</f>
        <v/>
      </c>
      <c r="AB27" s="282" t="str">
        <f>IFERROR(IF(Q27="Impacto",(M27-(+M27*T27)),IF(Q27="Probabilidad",M27,"")),"")</f>
        <v/>
      </c>
      <c r="AC27" s="285" t="str">
        <f>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81"/>
      <c r="AE27" s="286"/>
      <c r="AF27" s="286"/>
      <c r="AG27" s="287"/>
      <c r="AH27" s="288"/>
      <c r="AI27" s="288"/>
      <c r="AJ27" s="288"/>
      <c r="AK27" s="286"/>
      <c r="AL27" s="289"/>
      <c r="AM27" s="292"/>
      <c r="AN27" s="292"/>
      <c r="AO27" s="292"/>
      <c r="AP27" s="292"/>
      <c r="AQ27" s="292"/>
      <c r="AR27" s="292"/>
      <c r="AS27" s="292"/>
      <c r="AT27" s="292"/>
      <c r="AU27" s="292"/>
      <c r="AV27" s="292"/>
      <c r="AW27" s="292"/>
      <c r="AX27" s="292"/>
      <c r="AY27" s="292"/>
      <c r="AZ27" s="292"/>
      <c r="BA27" s="292"/>
      <c r="BB27" s="292"/>
      <c r="BC27" s="292"/>
      <c r="BD27" s="292"/>
      <c r="BE27" s="292"/>
      <c r="BF27" s="292"/>
      <c r="BG27" s="292"/>
      <c r="BH27" s="292"/>
      <c r="BI27" s="292"/>
      <c r="BJ27" s="292"/>
      <c r="BK27" s="292"/>
      <c r="BL27" s="292"/>
      <c r="BM27" s="292"/>
      <c r="BN27" s="292"/>
      <c r="BO27" s="292"/>
      <c r="BP27" s="292"/>
      <c r="BQ27" s="292"/>
      <c r="BR27" s="292"/>
    </row>
    <row r="28" spans="1:70" s="293" customFormat="1" ht="69" customHeight="1" x14ac:dyDescent="0.2">
      <c r="A28" s="598"/>
      <c r="B28" s="599"/>
      <c r="C28" s="599"/>
      <c r="D28" s="296"/>
      <c r="E28" s="296"/>
      <c r="F28" s="296"/>
      <c r="G28" s="296"/>
      <c r="H28" s="296"/>
      <c r="I28" s="597"/>
      <c r="J28" s="599"/>
      <c r="K28" s="597">
        <f ca="1">IF(NOT(ISERROR(MATCH(J28,_xlfn.ANCHORARRAY(#REF!),0))),#REF!&amp;"Por favor no seleccionar los criterios de impacto",J28)</f>
        <v>0</v>
      </c>
      <c r="L28" s="602"/>
      <c r="M28" s="597"/>
      <c r="N28" s="596"/>
      <c r="O28" s="278">
        <v>2</v>
      </c>
      <c r="P28" s="279"/>
      <c r="Q28" s="280" t="str">
        <f t="shared" si="0"/>
        <v/>
      </c>
      <c r="R28" s="281"/>
      <c r="S28" s="281"/>
      <c r="T28" s="282" t="str">
        <f t="shared" ref="T28" si="42">IF(AND(R28="Preventivo",S28="Automático"),"50%",IF(AND(R28="Preventivo",S28="Manual"),"40%",IF(AND(R28="Detectivo",S28="Automático"),"40%",IF(AND(R28="Detectivo",S28="Manual"),"30%",IF(AND(R28="Correctivo",S28="Automático"),"35%",IF(AND(R28="Correctivo",S28="Manual"),"25%",""))))))</f>
        <v/>
      </c>
      <c r="U28" s="281"/>
      <c r="V28" s="281"/>
      <c r="W28" s="281"/>
      <c r="X28" s="283" t="str">
        <f>IFERROR(IF(AND(Q27="Probabilidad",Q28="Probabilidad"),(Z27-(+Z27*T28)),IF(Q28="Probabilidad",(I27-(+I27*T28)),IF(Q28="Impacto",Z27,""))),"")</f>
        <v/>
      </c>
      <c r="Y28" s="284" t="str">
        <f t="shared" si="2"/>
        <v/>
      </c>
      <c r="Z28" s="282" t="str">
        <f t="shared" ref="Z28" si="43">+X28</f>
        <v/>
      </c>
      <c r="AA28" s="284" t="str">
        <f t="shared" si="4"/>
        <v/>
      </c>
      <c r="AB28" s="282" t="str">
        <f>IFERROR(IF(AND(Q27="Impacto",Q28="Impacto"),(AB25-(+AB25*T28)),IF(Q28="Impacto",($M$27-(+$M$27*T28)),IF(Q28="Probabilidad",AB25,""))),"")</f>
        <v/>
      </c>
      <c r="AC28" s="285" t="str">
        <f t="shared" ref="AC28" si="44">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81"/>
      <c r="AE28" s="286"/>
      <c r="AF28" s="286"/>
      <c r="AG28" s="287"/>
      <c r="AH28" s="288"/>
      <c r="AI28" s="288"/>
      <c r="AJ28" s="288"/>
      <c r="AK28" s="286"/>
      <c r="AL28" s="289"/>
      <c r="AM28" s="292"/>
      <c r="AN28" s="292"/>
      <c r="AO28" s="292"/>
      <c r="AP28" s="292"/>
      <c r="AQ28" s="292"/>
      <c r="AR28" s="292"/>
      <c r="AS28" s="292"/>
      <c r="AT28" s="292"/>
      <c r="AU28" s="292"/>
      <c r="AV28" s="292"/>
      <c r="AW28" s="292"/>
      <c r="AX28" s="292"/>
      <c r="AY28" s="292"/>
      <c r="AZ28" s="292"/>
      <c r="BA28" s="292"/>
      <c r="BB28" s="292"/>
      <c r="BC28" s="292"/>
      <c r="BD28" s="292"/>
      <c r="BE28" s="292"/>
      <c r="BF28" s="292"/>
      <c r="BG28" s="292"/>
      <c r="BH28" s="292"/>
      <c r="BI28" s="292"/>
      <c r="BJ28" s="292"/>
      <c r="BK28" s="292"/>
      <c r="BL28" s="292"/>
      <c r="BM28" s="292"/>
      <c r="BN28" s="292"/>
      <c r="BO28" s="292"/>
      <c r="BP28" s="292"/>
      <c r="BQ28" s="292"/>
      <c r="BR28" s="292"/>
    </row>
    <row r="29" spans="1:70" s="293" customFormat="1" ht="69" customHeight="1" x14ac:dyDescent="0.2">
      <c r="A29" s="598"/>
      <c r="B29" s="599"/>
      <c r="C29" s="599"/>
      <c r="D29" s="599"/>
      <c r="E29" s="600"/>
      <c r="F29" s="599"/>
      <c r="G29" s="601"/>
      <c r="H29" s="602" t="str">
        <f t="shared" ref="H29" si="45">IF(G29&lt;=0,"",IF(G29&lt;=2,"Muy Baja",IF(G29&lt;=24,"Baja",IF(G29&lt;=500,"Media",IF(G29&lt;=5000,"Alta","Muy Alta")))))</f>
        <v/>
      </c>
      <c r="I29" s="597" t="str">
        <f t="shared" ref="I29" si="46">IF(H29="","",IF(H29="Muy Baja",0.2,IF(H29="Baja",0.4,IF(H29="Media",0.6,IF(H29="Alta",0.8,IF(H29="Muy Alta",1,))))))</f>
        <v/>
      </c>
      <c r="J29" s="599"/>
      <c r="K29" s="597">
        <f>IF(NOT(ISERROR(MATCH(J29,'[2]Tabla Impacto'!$B$221:$B$223,0))),'[2]Tabla Impacto'!$F$223&amp;"Por favor no seleccionar los criterios de impacto(Afectación Económica o presupuestal y Pérdida Reputacional)",J29)</f>
        <v>0</v>
      </c>
      <c r="L29" s="602" t="str">
        <f t="shared" ref="L29" si="47">IF(J29&lt;=0,"",IF(J29&lt;=10,"Leve",IF(J29&lt;=50,"Menor",IF(J29&lt;=100,"Moderado",IF(J29&lt;=500,"Mayor","Catastrófico")))))</f>
        <v/>
      </c>
      <c r="M29" s="597" t="str">
        <f t="shared" ref="M29" si="48">IF(L29="","",IF(L29="Leve",0.2,IF(L29="Menor",0.4,IF(L29="Moderado",0.6,IF(L29="Mayor",0.8,IF(L29="Catastrófico",1,))))))</f>
        <v/>
      </c>
      <c r="N29" s="596" t="str">
        <f t="shared" ref="N29" si="49">IF(OR(AND(H29="Muy Baja",L29="Leve"),AND(H29="Muy Baja",L29="Menor"),AND(H29="Baja",L29="Leve")),"Bajo",IF(OR(AND(H29="Muy baja",L29="Moderado"),AND(H29="Baja",L29="Menor"),AND(H29="Baja",L29="Moderado"),AND(H29="Media",L29="Leve"),AND(H29="Media",L29="Menor"),AND(H29="Media",L29="Moderado"),AND(H29="Alta",L29="Leve"),AND(H29="Alta",L29="Menor")),"Moderado",IF(OR(AND(H29="Muy Baja",L29="Mayor"),AND(H29="Baja",L29="Mayor"),AND(H29="Media",L29="Mayor"),AND(H29="Alta",L29="Moderado"),AND(H29="Alta",L29="Mayor"),AND(H29="Muy Alta",L29="Leve"),AND(H29="Muy Alta",L29="Menor"),AND(H29="Muy Alta",L29="Moderado"),AND(H29="Muy Alta",L29="Mayor")),"Alto",IF(OR(AND(H29="Muy Baja",L29="Catastrófico"),AND(H29="Baja",L29="Catastrófico"),AND(H29="Media",L29="Catastrófico"),AND(H29="Alta",L29="Catastrófico"),AND(H29="Muy Alta",L29="Catastrófico")),"Extremo",""))))</f>
        <v/>
      </c>
      <c r="O29" s="278">
        <v>1</v>
      </c>
      <c r="P29" s="279"/>
      <c r="Q29" s="280" t="str">
        <f t="shared" si="0"/>
        <v/>
      </c>
      <c r="R29" s="281"/>
      <c r="S29" s="281"/>
      <c r="T29" s="282" t="str">
        <f>IF(AND(R29="Preventivo",S29="Automático"),"50%",IF(AND(R29="Preventivo",S29="Manual"),"40%",IF(AND(R29="Detectivo",S29="Automático"),"40%",IF(AND(R29="Detectivo",S29="Manual"),"30%",IF(AND(R29="Correctivo",S29="Automático"),"35%",IF(AND(R29="Correctivo",S29="Manual"),"25%",""))))))</f>
        <v/>
      </c>
      <c r="U29" s="281"/>
      <c r="V29" s="281"/>
      <c r="W29" s="281"/>
      <c r="X29" s="283" t="str">
        <f>IFERROR(IF(Q29="Probabilidad",(I29-(+I29*T29)),IF(Q29="Impacto",I29,"")),"")</f>
        <v/>
      </c>
      <c r="Y29" s="284" t="str">
        <f>IFERROR(IF(X29="","",IF(X29&lt;=0.2,"Muy Baja",IF(X29&lt;=0.4,"Baja",IF(X29&lt;=0.6,"Media",IF(X29&lt;=0.8,"Alta","Muy Alta"))))),"")</f>
        <v/>
      </c>
      <c r="Z29" s="282" t="str">
        <f>+X29</f>
        <v/>
      </c>
      <c r="AA29" s="284" t="str">
        <f>IFERROR(IF(AB29="","",IF(AB29&lt;=0.2,"Leve",IF(AB29&lt;=0.4,"Menor",IF(AB29&lt;=0.6,"Moderado",IF(AB29&lt;=0.8,"Mayor","Catastrófico"))))),"")</f>
        <v/>
      </c>
      <c r="AB29" s="282" t="str">
        <f>IFERROR(IF(Q29="Impacto",(M29-(+M29*T29)),IF(Q29="Probabilidad",M29,"")),"")</f>
        <v/>
      </c>
      <c r="AC29" s="285" t="str">
        <f>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81"/>
      <c r="AE29" s="286"/>
      <c r="AF29" s="286"/>
      <c r="AG29" s="287"/>
      <c r="AH29" s="288"/>
      <c r="AI29" s="288"/>
      <c r="AJ29" s="288"/>
      <c r="AK29" s="286"/>
      <c r="AL29" s="289"/>
      <c r="AM29" s="292"/>
      <c r="AN29" s="292"/>
      <c r="AO29" s="292"/>
      <c r="AP29" s="292"/>
      <c r="AQ29" s="292"/>
      <c r="AR29" s="292"/>
      <c r="AS29" s="292"/>
      <c r="AT29" s="292"/>
      <c r="AU29" s="292"/>
      <c r="AV29" s="292"/>
      <c r="AW29" s="292"/>
      <c r="AX29" s="292"/>
      <c r="AY29" s="292"/>
      <c r="AZ29" s="292"/>
      <c r="BA29" s="292"/>
      <c r="BB29" s="292"/>
      <c r="BC29" s="292"/>
      <c r="BD29" s="292"/>
      <c r="BE29" s="292"/>
      <c r="BF29" s="292"/>
      <c r="BG29" s="292"/>
      <c r="BH29" s="292"/>
      <c r="BI29" s="292"/>
      <c r="BJ29" s="292"/>
      <c r="BK29" s="292"/>
      <c r="BL29" s="292"/>
      <c r="BM29" s="292"/>
      <c r="BN29" s="292"/>
      <c r="BO29" s="292"/>
      <c r="BP29" s="292"/>
      <c r="BQ29" s="292"/>
      <c r="BR29" s="292"/>
    </row>
    <row r="30" spans="1:70" s="293" customFormat="1" ht="69" customHeight="1" x14ac:dyDescent="0.2">
      <c r="A30" s="598"/>
      <c r="B30" s="599"/>
      <c r="C30" s="599"/>
      <c r="D30" s="599"/>
      <c r="E30" s="600"/>
      <c r="F30" s="599"/>
      <c r="G30" s="601"/>
      <c r="H30" s="602"/>
      <c r="I30" s="597"/>
      <c r="J30" s="599"/>
      <c r="K30" s="597">
        <f ca="1">IF(NOT(ISERROR(MATCH(J30,_xlfn.ANCHORARRAY(#REF!),0))),#REF!&amp;"Por favor no seleccionar los criterios de impacto",J30)</f>
        <v>0</v>
      </c>
      <c r="L30" s="602"/>
      <c r="M30" s="597"/>
      <c r="N30" s="596"/>
      <c r="O30" s="278">
        <v>2</v>
      </c>
      <c r="P30" s="279"/>
      <c r="Q30" s="280" t="str">
        <f t="shared" si="0"/>
        <v/>
      </c>
      <c r="R30" s="281"/>
      <c r="S30" s="281"/>
      <c r="T30" s="282" t="str">
        <f t="shared" ref="T30" si="50">IF(AND(R30="Preventivo",S30="Automático"),"50%",IF(AND(R30="Preventivo",S30="Manual"),"40%",IF(AND(R30="Detectivo",S30="Automático"),"40%",IF(AND(R30="Detectivo",S30="Manual"),"30%",IF(AND(R30="Correctivo",S30="Automático"),"35%",IF(AND(R30="Correctivo",S30="Manual"),"25%",""))))))</f>
        <v/>
      </c>
      <c r="U30" s="281"/>
      <c r="V30" s="281"/>
      <c r="W30" s="281"/>
      <c r="X30" s="283" t="str">
        <f>IFERROR(IF(AND(Q29="Probabilidad",Q30="Probabilidad"),(Z29-(+Z29*T30)),IF(Q30="Probabilidad",(I29-(+I29*T30)),IF(Q30="Impacto",Z29,""))),"")</f>
        <v/>
      </c>
      <c r="Y30" s="284" t="str">
        <f t="shared" si="2"/>
        <v/>
      </c>
      <c r="Z30" s="282" t="str">
        <f t="shared" ref="Z30" si="51">+X30</f>
        <v/>
      </c>
      <c r="AA30" s="284" t="str">
        <f t="shared" si="4"/>
        <v/>
      </c>
      <c r="AB30" s="282" t="str">
        <f>IFERROR(IF(AND(Q29="Impacto",Q30="Impacto"),(AB27-(+AB27*T30)),IF(Q30="Impacto",($M$29-(+$M$29*T30)),IF(Q30="Probabilidad",AB27,""))),"")</f>
        <v/>
      </c>
      <c r="AC30" s="285" t="str">
        <f t="shared" ref="AC30" si="52">IFERROR(IF(OR(AND(Y30="Muy Baja",AA30="Leve"),AND(Y30="Muy Baja",AA30="Menor"),AND(Y30="Baja",AA30="Leve")),"Bajo",IF(OR(AND(Y30="Muy baja",AA30="Moderado"),AND(Y30="Baja",AA30="Menor"),AND(Y30="Baja",AA30="Moderado"),AND(Y30="Media",AA30="Leve"),AND(Y30="Media",AA30="Menor"),AND(Y30="Media",AA30="Moderado"),AND(Y30="Alta",AA30="Leve"),AND(Y30="Alta",AA30="Menor")),"Moderado",IF(OR(AND(Y30="Muy Baja",AA30="Mayor"),AND(Y30="Baja",AA30="Mayor"),AND(Y30="Media",AA30="Mayor"),AND(Y30="Alta",AA30="Moderado"),AND(Y30="Alta",AA30="Mayor"),AND(Y30="Muy Alta",AA30="Leve"),AND(Y30="Muy Alta",AA30="Menor"),AND(Y30="Muy Alta",AA30="Moderado"),AND(Y30="Muy Alta",AA30="Mayor")),"Alto",IF(OR(AND(Y30="Muy Baja",AA30="Catastrófico"),AND(Y30="Baja",AA30="Catastrófico"),AND(Y30="Media",AA30="Catastrófico"),AND(Y30="Alta",AA30="Catastrófico"),AND(Y30="Muy Alta",AA30="Catastrófico")),"Extremo","")))),"")</f>
        <v/>
      </c>
      <c r="AD30" s="281"/>
      <c r="AE30" s="286"/>
      <c r="AF30" s="286"/>
      <c r="AG30" s="287"/>
      <c r="AH30" s="288"/>
      <c r="AI30" s="288"/>
      <c r="AJ30" s="288"/>
      <c r="AK30" s="286"/>
      <c r="AL30" s="289"/>
      <c r="AM30" s="292"/>
      <c r="AN30" s="292"/>
      <c r="AO30" s="292"/>
      <c r="AP30" s="292"/>
      <c r="AQ30" s="292"/>
      <c r="AR30" s="292"/>
      <c r="AS30" s="292"/>
      <c r="AT30" s="292"/>
      <c r="AU30" s="292"/>
      <c r="AV30" s="292"/>
      <c r="AW30" s="292"/>
      <c r="AX30" s="292"/>
      <c r="AY30" s="292"/>
      <c r="AZ30" s="292"/>
      <c r="BA30" s="292"/>
      <c r="BB30" s="292"/>
      <c r="BC30" s="292"/>
      <c r="BD30" s="292"/>
      <c r="BE30" s="292"/>
      <c r="BF30" s="292"/>
      <c r="BG30" s="292"/>
      <c r="BH30" s="292"/>
      <c r="BI30" s="292"/>
      <c r="BJ30" s="292"/>
      <c r="BK30" s="292"/>
      <c r="BL30" s="292"/>
      <c r="BM30" s="292"/>
      <c r="BN30" s="292"/>
      <c r="BO30" s="292"/>
      <c r="BP30" s="292"/>
      <c r="BQ30" s="292"/>
      <c r="BR30" s="292"/>
    </row>
    <row r="32" spans="1:70" x14ac:dyDescent="0.3">
      <c r="A32" s="1"/>
      <c r="B32" s="24"/>
      <c r="C32" s="1"/>
      <c r="D32" s="1"/>
      <c r="F32" s="1"/>
    </row>
    <row r="100" spans="5:9" x14ac:dyDescent="0.3">
      <c r="E100" s="609" t="s">
        <v>469</v>
      </c>
      <c r="F100" s="609"/>
      <c r="G100" s="609"/>
      <c r="H100" s="609"/>
      <c r="I100" s="609"/>
    </row>
    <row r="101" spans="5:9" x14ac:dyDescent="0.3">
      <c r="G101" s="295" t="s">
        <v>13</v>
      </c>
      <c r="H101" s="295" t="s">
        <v>498</v>
      </c>
    </row>
    <row r="102" spans="5:9" x14ac:dyDescent="0.3">
      <c r="E102" s="1" t="s">
        <v>470</v>
      </c>
      <c r="G102" s="1" t="s">
        <v>14</v>
      </c>
      <c r="H102" s="1" t="s">
        <v>491</v>
      </c>
    </row>
    <row r="103" spans="5:9" x14ac:dyDescent="0.3">
      <c r="E103" t="s">
        <v>471</v>
      </c>
      <c r="G103" s="1" t="s">
        <v>15</v>
      </c>
      <c r="H103" s="1" t="s">
        <v>9</v>
      </c>
    </row>
    <row r="104" spans="5:9" x14ac:dyDescent="0.3">
      <c r="E104" s="1" t="s">
        <v>472</v>
      </c>
      <c r="G104" s="1" t="s">
        <v>16</v>
      </c>
    </row>
    <row r="105" spans="5:9" x14ac:dyDescent="0.3">
      <c r="E105" s="1" t="s">
        <v>473</v>
      </c>
    </row>
    <row r="106" spans="5:9" x14ac:dyDescent="0.3">
      <c r="E106" s="1" t="s">
        <v>474</v>
      </c>
      <c r="G106" s="295" t="s">
        <v>18</v>
      </c>
      <c r="H106" s="295" t="s">
        <v>495</v>
      </c>
    </row>
    <row r="107" spans="5:9" x14ac:dyDescent="0.3">
      <c r="E107" s="1" t="s">
        <v>475</v>
      </c>
      <c r="G107" s="1" t="s">
        <v>493</v>
      </c>
      <c r="H107" s="1" t="s">
        <v>22</v>
      </c>
    </row>
    <row r="108" spans="5:9" x14ac:dyDescent="0.3">
      <c r="E108" s="1" t="s">
        <v>476</v>
      </c>
      <c r="G108" s="1" t="s">
        <v>494</v>
      </c>
      <c r="H108" s="1" t="s">
        <v>23</v>
      </c>
    </row>
    <row r="111" spans="5:9" x14ac:dyDescent="0.3">
      <c r="G111" s="295" t="s">
        <v>496</v>
      </c>
      <c r="H111" s="295" t="s">
        <v>29</v>
      </c>
    </row>
    <row r="112" spans="5:9" x14ac:dyDescent="0.3">
      <c r="G112" s="1" t="s">
        <v>497</v>
      </c>
      <c r="H112" s="1" t="s">
        <v>30</v>
      </c>
    </row>
    <row r="113" spans="7:8" x14ac:dyDescent="0.3">
      <c r="G113" s="1" t="s">
        <v>27</v>
      </c>
      <c r="H113" s="1" t="s">
        <v>504</v>
      </c>
    </row>
    <row r="114" spans="7:8" x14ac:dyDescent="0.3">
      <c r="H114" s="1" t="s">
        <v>31</v>
      </c>
    </row>
    <row r="115" spans="7:8" x14ac:dyDescent="0.3">
      <c r="H115" s="1" t="s">
        <v>505</v>
      </c>
    </row>
    <row r="116" spans="7:8" x14ac:dyDescent="0.3">
      <c r="H116" s="1" t="s">
        <v>32</v>
      </c>
    </row>
  </sheetData>
  <dataConsolidate/>
  <mergeCells count="163">
    <mergeCell ref="R10:U10"/>
    <mergeCell ref="R11:U11"/>
    <mergeCell ref="R12:U12"/>
    <mergeCell ref="R13:U13"/>
    <mergeCell ref="A12:C12"/>
    <mergeCell ref="D12:F12"/>
    <mergeCell ref="G12:H12"/>
    <mergeCell ref="I12:J12"/>
    <mergeCell ref="M12:N12"/>
    <mergeCell ref="O12:P12"/>
    <mergeCell ref="I11:J11"/>
    <mergeCell ref="I13:J13"/>
    <mergeCell ref="M10:N10"/>
    <mergeCell ref="O10:P10"/>
    <mergeCell ref="O11:P11"/>
    <mergeCell ref="O13:P13"/>
    <mergeCell ref="M11:N11"/>
    <mergeCell ref="M13:N13"/>
    <mergeCell ref="A10:C10"/>
    <mergeCell ref="A11:C11"/>
    <mergeCell ref="A13:C13"/>
    <mergeCell ref="G11:H11"/>
    <mergeCell ref="G13:H13"/>
    <mergeCell ref="D11:F11"/>
    <mergeCell ref="D13:F13"/>
    <mergeCell ref="D10:F10"/>
    <mergeCell ref="E100:I100"/>
    <mergeCell ref="A8:V8"/>
    <mergeCell ref="A7:XFD7"/>
    <mergeCell ref="A9:XFD9"/>
    <mergeCell ref="I10:J10"/>
    <mergeCell ref="G10:H10"/>
    <mergeCell ref="M29:M30"/>
    <mergeCell ref="N29:N30"/>
    <mergeCell ref="G29:G30"/>
    <mergeCell ref="H29:H30"/>
    <mergeCell ref="I29:I30"/>
    <mergeCell ref="J29:J30"/>
    <mergeCell ref="K29:K30"/>
    <mergeCell ref="L29:L30"/>
    <mergeCell ref="A29:A30"/>
    <mergeCell ref="B29:B30"/>
    <mergeCell ref="C29:C30"/>
    <mergeCell ref="D29:D30"/>
    <mergeCell ref="E29:E30"/>
    <mergeCell ref="F29:F30"/>
    <mergeCell ref="I27:I28"/>
    <mergeCell ref="J27:J28"/>
    <mergeCell ref="K27:K28"/>
    <mergeCell ref="L27:L28"/>
    <mergeCell ref="M27:M28"/>
    <mergeCell ref="N27:N28"/>
    <mergeCell ref="M25:M26"/>
    <mergeCell ref="N25:N26"/>
    <mergeCell ref="A27:A28"/>
    <mergeCell ref="B27:B28"/>
    <mergeCell ref="C27:C28"/>
    <mergeCell ref="G25:G26"/>
    <mergeCell ref="H25:H26"/>
    <mergeCell ref="I25:I26"/>
    <mergeCell ref="J25:J26"/>
    <mergeCell ref="K25:K26"/>
    <mergeCell ref="L25:L26"/>
    <mergeCell ref="A25:A26"/>
    <mergeCell ref="B25:B26"/>
    <mergeCell ref="C25:C26"/>
    <mergeCell ref="D25:D26"/>
    <mergeCell ref="E25:E26"/>
    <mergeCell ref="F25:F26"/>
    <mergeCell ref="I23:I24"/>
    <mergeCell ref="J23:J24"/>
    <mergeCell ref="K23:K24"/>
    <mergeCell ref="L23:L24"/>
    <mergeCell ref="M23:M24"/>
    <mergeCell ref="N23:N24"/>
    <mergeCell ref="M21:M22"/>
    <mergeCell ref="N21:N22"/>
    <mergeCell ref="A23:A24"/>
    <mergeCell ref="B23:B24"/>
    <mergeCell ref="C23:C24"/>
    <mergeCell ref="D23:D24"/>
    <mergeCell ref="E23:E24"/>
    <mergeCell ref="F23:F24"/>
    <mergeCell ref="G23:G24"/>
    <mergeCell ref="H23:H24"/>
    <mergeCell ref="G21:G22"/>
    <mergeCell ref="H21:H22"/>
    <mergeCell ref="I21:I22"/>
    <mergeCell ref="J21:J22"/>
    <mergeCell ref="K21:K22"/>
    <mergeCell ref="L21:L22"/>
    <mergeCell ref="A21:A22"/>
    <mergeCell ref="B21:B22"/>
    <mergeCell ref="C21:C22"/>
    <mergeCell ref="D21:D22"/>
    <mergeCell ref="E21:E22"/>
    <mergeCell ref="F21:F22"/>
    <mergeCell ref="I19:I20"/>
    <mergeCell ref="J19:J20"/>
    <mergeCell ref="K19:K20"/>
    <mergeCell ref="L19:L20"/>
    <mergeCell ref="M19:M20"/>
    <mergeCell ref="N19:N20"/>
    <mergeCell ref="M17:M18"/>
    <mergeCell ref="N17:N18"/>
    <mergeCell ref="A19:A20"/>
    <mergeCell ref="B19:B20"/>
    <mergeCell ref="C19:C20"/>
    <mergeCell ref="D19:D20"/>
    <mergeCell ref="E19:E20"/>
    <mergeCell ref="F19:F20"/>
    <mergeCell ref="G19:G20"/>
    <mergeCell ref="H19:H20"/>
    <mergeCell ref="E17:E18"/>
    <mergeCell ref="F17:F18"/>
    <mergeCell ref="I17:I18"/>
    <mergeCell ref="J17:J18"/>
    <mergeCell ref="K17:K18"/>
    <mergeCell ref="L17:L18"/>
    <mergeCell ref="A17:A18"/>
    <mergeCell ref="B17:B18"/>
    <mergeCell ref="C17:C18"/>
    <mergeCell ref="D17:D18"/>
    <mergeCell ref="AG15:AG16"/>
    <mergeCell ref="Q15:V15"/>
    <mergeCell ref="W15:W16"/>
    <mergeCell ref="X15:X16"/>
    <mergeCell ref="Y15:Y16"/>
    <mergeCell ref="Z15:Z16"/>
    <mergeCell ref="AA15:AA16"/>
    <mergeCell ref="L15:L16"/>
    <mergeCell ref="M15:M16"/>
    <mergeCell ref="N15:N16"/>
    <mergeCell ref="O15:O16"/>
    <mergeCell ref="AB15:AB16"/>
    <mergeCell ref="AC15:AC16"/>
    <mergeCell ref="AD15:AD16"/>
    <mergeCell ref="AE15:AE16"/>
    <mergeCell ref="AF15:AF16"/>
    <mergeCell ref="AE14:AL14"/>
    <mergeCell ref="A15:A16"/>
    <mergeCell ref="B15:B16"/>
    <mergeCell ref="C15:C16"/>
    <mergeCell ref="D15:D16"/>
    <mergeCell ref="A3:AL4"/>
    <mergeCell ref="A5:B5"/>
    <mergeCell ref="C5:N5"/>
    <mergeCell ref="O5:Q5"/>
    <mergeCell ref="A6:B6"/>
    <mergeCell ref="C6:N6"/>
    <mergeCell ref="P15:P16"/>
    <mergeCell ref="E15:E16"/>
    <mergeCell ref="I15:I16"/>
    <mergeCell ref="J15:J16"/>
    <mergeCell ref="A14:G14"/>
    <mergeCell ref="H14:N14"/>
    <mergeCell ref="O14:W14"/>
    <mergeCell ref="X14:AD14"/>
    <mergeCell ref="AH15:AH16"/>
    <mergeCell ref="AI15:AI16"/>
    <mergeCell ref="AJ15:AJ16"/>
    <mergeCell ref="AK15:AK16"/>
    <mergeCell ref="F15:F16"/>
  </mergeCells>
  <conditionalFormatting sqref="F17 H19 H21 H23 H25 H29">
    <cfRule type="cellIs" dxfId="919" priority="147" operator="equal">
      <formula>"Muy Alta"</formula>
    </cfRule>
    <cfRule type="cellIs" dxfId="918" priority="148" operator="equal">
      <formula>"Alta"</formula>
    </cfRule>
    <cfRule type="cellIs" dxfId="917" priority="149" operator="equal">
      <formula>"Media"</formula>
    </cfRule>
    <cfRule type="cellIs" dxfId="916" priority="150" operator="equal">
      <formula>"Baja"</formula>
    </cfRule>
    <cfRule type="cellIs" dxfId="915" priority="151" operator="equal">
      <formula>"Muy Baja"</formula>
    </cfRule>
  </conditionalFormatting>
  <conditionalFormatting sqref="L17 L19 L21 L23 L25 L27 L29">
    <cfRule type="cellIs" dxfId="914" priority="142" operator="equal">
      <formula>"Catastrófico"</formula>
    </cfRule>
    <cfRule type="cellIs" dxfId="913" priority="143" operator="equal">
      <formula>"Mayor"</formula>
    </cfRule>
    <cfRule type="cellIs" dxfId="912" priority="144" operator="equal">
      <formula>"Moderado"</formula>
    </cfRule>
    <cfRule type="cellIs" dxfId="911" priority="145" operator="equal">
      <formula>"Menor"</formula>
    </cfRule>
    <cfRule type="cellIs" dxfId="910" priority="146" operator="equal">
      <formula>"Leve"</formula>
    </cfRule>
  </conditionalFormatting>
  <conditionalFormatting sqref="N17 N19 N21 N23 N25 N27 N29">
    <cfRule type="cellIs" dxfId="909" priority="138" operator="equal">
      <formula>"Extremo"</formula>
    </cfRule>
    <cfRule type="cellIs" dxfId="908" priority="139" operator="equal">
      <formula>"Alto"</formula>
    </cfRule>
    <cfRule type="cellIs" dxfId="907" priority="140" operator="equal">
      <formula>"Moderado"</formula>
    </cfRule>
    <cfRule type="cellIs" dxfId="906" priority="141" operator="equal">
      <formula>"Bajo"</formula>
    </cfRule>
  </conditionalFormatting>
  <conditionalFormatting sqref="Y17:Y18">
    <cfRule type="cellIs" dxfId="905" priority="133" operator="equal">
      <formula>"Muy Alta"</formula>
    </cfRule>
    <cfRule type="cellIs" dxfId="904" priority="134" operator="equal">
      <formula>"Alta"</formula>
    </cfRule>
    <cfRule type="cellIs" dxfId="903" priority="135" operator="equal">
      <formula>"Media"</formula>
    </cfRule>
    <cfRule type="cellIs" dxfId="902" priority="136" operator="equal">
      <formula>"Baja"</formula>
    </cfRule>
    <cfRule type="cellIs" dxfId="901" priority="137" operator="equal">
      <formula>"Muy Baja"</formula>
    </cfRule>
  </conditionalFormatting>
  <conditionalFormatting sqref="AA17:AA18">
    <cfRule type="cellIs" dxfId="900" priority="128" operator="equal">
      <formula>"Catastrófico"</formula>
    </cfRule>
    <cfRule type="cellIs" dxfId="899" priority="129" operator="equal">
      <formula>"Mayor"</formula>
    </cfRule>
    <cfRule type="cellIs" dxfId="898" priority="130" operator="equal">
      <formula>"Moderado"</formula>
    </cfRule>
    <cfRule type="cellIs" dxfId="897" priority="131" operator="equal">
      <formula>"Menor"</formula>
    </cfRule>
    <cfRule type="cellIs" dxfId="896" priority="132" operator="equal">
      <formula>"Leve"</formula>
    </cfRule>
  </conditionalFormatting>
  <conditionalFormatting sqref="AC17:AC18">
    <cfRule type="cellIs" dxfId="895" priority="124" operator="equal">
      <formula>"Extremo"</formula>
    </cfRule>
    <cfRule type="cellIs" dxfId="894" priority="125" operator="equal">
      <formula>"Alto"</formula>
    </cfRule>
    <cfRule type="cellIs" dxfId="893" priority="126" operator="equal">
      <formula>"Moderado"</formula>
    </cfRule>
    <cfRule type="cellIs" dxfId="892" priority="127" operator="equal">
      <formula>"Bajo"</formula>
    </cfRule>
  </conditionalFormatting>
  <conditionalFormatting sqref="Y19:Y20">
    <cfRule type="cellIs" dxfId="891" priority="119" operator="equal">
      <formula>"Muy Alta"</formula>
    </cfRule>
    <cfRule type="cellIs" dxfId="890" priority="120" operator="equal">
      <formula>"Alta"</formula>
    </cfRule>
    <cfRule type="cellIs" dxfId="889" priority="121" operator="equal">
      <formula>"Media"</formula>
    </cfRule>
    <cfRule type="cellIs" dxfId="888" priority="122" operator="equal">
      <formula>"Baja"</formula>
    </cfRule>
    <cfRule type="cellIs" dxfId="887" priority="123" operator="equal">
      <formula>"Muy Baja"</formula>
    </cfRule>
  </conditionalFormatting>
  <conditionalFormatting sqref="AA19:AA20">
    <cfRule type="cellIs" dxfId="886" priority="114" operator="equal">
      <formula>"Catastrófico"</formula>
    </cfRule>
    <cfRule type="cellIs" dxfId="885" priority="115" operator="equal">
      <formula>"Mayor"</formula>
    </cfRule>
    <cfRule type="cellIs" dxfId="884" priority="116" operator="equal">
      <formula>"Moderado"</formula>
    </cfRule>
    <cfRule type="cellIs" dxfId="883" priority="117" operator="equal">
      <formula>"Menor"</formula>
    </cfRule>
    <cfRule type="cellIs" dxfId="882" priority="118" operator="equal">
      <formula>"Leve"</formula>
    </cfRule>
  </conditionalFormatting>
  <conditionalFormatting sqref="AC19:AC20">
    <cfRule type="cellIs" dxfId="881" priority="110" operator="equal">
      <formula>"Extremo"</formula>
    </cfRule>
    <cfRule type="cellIs" dxfId="880" priority="111" operator="equal">
      <formula>"Alto"</formula>
    </cfRule>
    <cfRule type="cellIs" dxfId="879" priority="112" operator="equal">
      <formula>"Moderado"</formula>
    </cfRule>
    <cfRule type="cellIs" dxfId="878" priority="113" operator="equal">
      <formula>"Bajo"</formula>
    </cfRule>
  </conditionalFormatting>
  <conditionalFormatting sqref="Y21:Y22">
    <cfRule type="cellIs" dxfId="877" priority="105" operator="equal">
      <formula>"Muy Alta"</formula>
    </cfRule>
    <cfRule type="cellIs" dxfId="876" priority="106" operator="equal">
      <formula>"Alta"</formula>
    </cfRule>
    <cfRule type="cellIs" dxfId="875" priority="107" operator="equal">
      <formula>"Media"</formula>
    </cfRule>
    <cfRule type="cellIs" dxfId="874" priority="108" operator="equal">
      <formula>"Baja"</formula>
    </cfRule>
    <cfRule type="cellIs" dxfId="873" priority="109" operator="equal">
      <formula>"Muy Baja"</formula>
    </cfRule>
  </conditionalFormatting>
  <conditionalFormatting sqref="AA21:AA22">
    <cfRule type="cellIs" dxfId="872" priority="100" operator="equal">
      <formula>"Catastrófico"</formula>
    </cfRule>
    <cfRule type="cellIs" dxfId="871" priority="101" operator="equal">
      <formula>"Mayor"</formula>
    </cfRule>
    <cfRule type="cellIs" dxfId="870" priority="102" operator="equal">
      <formula>"Moderado"</formula>
    </cfRule>
    <cfRule type="cellIs" dxfId="869" priority="103" operator="equal">
      <formula>"Menor"</formula>
    </cfRule>
    <cfRule type="cellIs" dxfId="868" priority="104" operator="equal">
      <formula>"Leve"</formula>
    </cfRule>
  </conditionalFormatting>
  <conditionalFormatting sqref="AC21:AC22">
    <cfRule type="cellIs" dxfId="867" priority="96" operator="equal">
      <formula>"Extremo"</formula>
    </cfRule>
    <cfRule type="cellIs" dxfId="866" priority="97" operator="equal">
      <formula>"Alto"</formula>
    </cfRule>
    <cfRule type="cellIs" dxfId="865" priority="98" operator="equal">
      <formula>"Moderado"</formula>
    </cfRule>
    <cfRule type="cellIs" dxfId="864" priority="99" operator="equal">
      <formula>"Bajo"</formula>
    </cfRule>
  </conditionalFormatting>
  <conditionalFormatting sqref="Y23:Y24">
    <cfRule type="cellIs" dxfId="863" priority="91" operator="equal">
      <formula>"Muy Alta"</formula>
    </cfRule>
    <cfRule type="cellIs" dxfId="862" priority="92" operator="equal">
      <formula>"Alta"</formula>
    </cfRule>
    <cfRule type="cellIs" dxfId="861" priority="93" operator="equal">
      <formula>"Media"</formula>
    </cfRule>
    <cfRule type="cellIs" dxfId="860" priority="94" operator="equal">
      <formula>"Baja"</formula>
    </cfRule>
    <cfRule type="cellIs" dxfId="859" priority="95" operator="equal">
      <formula>"Muy Baja"</formula>
    </cfRule>
  </conditionalFormatting>
  <conditionalFormatting sqref="AA23:AA24">
    <cfRule type="cellIs" dxfId="858" priority="86" operator="equal">
      <formula>"Catastrófico"</formula>
    </cfRule>
    <cfRule type="cellIs" dxfId="857" priority="87" operator="equal">
      <formula>"Mayor"</formula>
    </cfRule>
    <cfRule type="cellIs" dxfId="856" priority="88" operator="equal">
      <formula>"Moderado"</formula>
    </cfRule>
    <cfRule type="cellIs" dxfId="855" priority="89" operator="equal">
      <formula>"Menor"</formula>
    </cfRule>
    <cfRule type="cellIs" dxfId="854" priority="90" operator="equal">
      <formula>"Leve"</formula>
    </cfRule>
  </conditionalFormatting>
  <conditionalFormatting sqref="AC23:AC24">
    <cfRule type="cellIs" dxfId="853" priority="82" operator="equal">
      <formula>"Extremo"</formula>
    </cfRule>
    <cfRule type="cellIs" dxfId="852" priority="83" operator="equal">
      <formula>"Alto"</formula>
    </cfRule>
    <cfRule type="cellIs" dxfId="851" priority="84" operator="equal">
      <formula>"Moderado"</formula>
    </cfRule>
    <cfRule type="cellIs" dxfId="850" priority="85" operator="equal">
      <formula>"Bajo"</formula>
    </cfRule>
  </conditionalFormatting>
  <conditionalFormatting sqref="Y25:Y26">
    <cfRule type="cellIs" dxfId="849" priority="77" operator="equal">
      <formula>"Muy Alta"</formula>
    </cfRule>
    <cfRule type="cellIs" dxfId="848" priority="78" operator="equal">
      <formula>"Alta"</formula>
    </cfRule>
    <cfRule type="cellIs" dxfId="847" priority="79" operator="equal">
      <formula>"Media"</formula>
    </cfRule>
    <cfRule type="cellIs" dxfId="846" priority="80" operator="equal">
      <formula>"Baja"</formula>
    </cfRule>
    <cfRule type="cellIs" dxfId="845" priority="81" operator="equal">
      <formula>"Muy Baja"</formula>
    </cfRule>
  </conditionalFormatting>
  <conditionalFormatting sqref="AA25:AA26">
    <cfRule type="cellIs" dxfId="844" priority="72" operator="equal">
      <formula>"Catastrófico"</formula>
    </cfRule>
    <cfRule type="cellIs" dxfId="843" priority="73" operator="equal">
      <formula>"Mayor"</formula>
    </cfRule>
    <cfRule type="cellIs" dxfId="842" priority="74" operator="equal">
      <formula>"Moderado"</formula>
    </cfRule>
    <cfRule type="cellIs" dxfId="841" priority="75" operator="equal">
      <formula>"Menor"</formula>
    </cfRule>
    <cfRule type="cellIs" dxfId="840" priority="76" operator="equal">
      <formula>"Leve"</formula>
    </cfRule>
  </conditionalFormatting>
  <conditionalFormatting sqref="AC25:AC26">
    <cfRule type="cellIs" dxfId="839" priority="68" operator="equal">
      <formula>"Extremo"</formula>
    </cfRule>
    <cfRule type="cellIs" dxfId="838" priority="69" operator="equal">
      <formula>"Alto"</formula>
    </cfRule>
    <cfRule type="cellIs" dxfId="837" priority="70" operator="equal">
      <formula>"Moderado"</formula>
    </cfRule>
    <cfRule type="cellIs" dxfId="836" priority="71" operator="equal">
      <formula>"Bajo"</formula>
    </cfRule>
  </conditionalFormatting>
  <conditionalFormatting sqref="Y27:Y28">
    <cfRule type="cellIs" dxfId="835" priority="63" operator="equal">
      <formula>"Muy Alta"</formula>
    </cfRule>
    <cfRule type="cellIs" dxfId="834" priority="64" operator="equal">
      <formula>"Alta"</formula>
    </cfRule>
    <cfRule type="cellIs" dxfId="833" priority="65" operator="equal">
      <formula>"Media"</formula>
    </cfRule>
    <cfRule type="cellIs" dxfId="832" priority="66" operator="equal">
      <formula>"Baja"</formula>
    </cfRule>
    <cfRule type="cellIs" dxfId="831" priority="67" operator="equal">
      <formula>"Muy Baja"</formula>
    </cfRule>
  </conditionalFormatting>
  <conditionalFormatting sqref="AA27:AA28">
    <cfRule type="cellIs" dxfId="830" priority="58" operator="equal">
      <formula>"Catastrófico"</formula>
    </cfRule>
    <cfRule type="cellIs" dxfId="829" priority="59" operator="equal">
      <formula>"Mayor"</formula>
    </cfRule>
    <cfRule type="cellIs" dxfId="828" priority="60" operator="equal">
      <formula>"Moderado"</formula>
    </cfRule>
    <cfRule type="cellIs" dxfId="827" priority="61" operator="equal">
      <formula>"Menor"</formula>
    </cfRule>
    <cfRule type="cellIs" dxfId="826" priority="62" operator="equal">
      <formula>"Leve"</formula>
    </cfRule>
  </conditionalFormatting>
  <conditionalFormatting sqref="AC27:AC28">
    <cfRule type="cellIs" dxfId="825" priority="54" operator="equal">
      <formula>"Extremo"</formula>
    </cfRule>
    <cfRule type="cellIs" dxfId="824" priority="55" operator="equal">
      <formula>"Alto"</formula>
    </cfRule>
    <cfRule type="cellIs" dxfId="823" priority="56" operator="equal">
      <formula>"Moderado"</formula>
    </cfRule>
    <cfRule type="cellIs" dxfId="822" priority="57" operator="equal">
      <formula>"Bajo"</formula>
    </cfRule>
  </conditionalFormatting>
  <conditionalFormatting sqref="Y29:Y30">
    <cfRule type="cellIs" dxfId="821" priority="49" operator="equal">
      <formula>"Muy Alta"</formula>
    </cfRule>
    <cfRule type="cellIs" dxfId="820" priority="50" operator="equal">
      <formula>"Alta"</formula>
    </cfRule>
    <cfRule type="cellIs" dxfId="819" priority="51" operator="equal">
      <formula>"Media"</formula>
    </cfRule>
    <cfRule type="cellIs" dxfId="818" priority="52" operator="equal">
      <formula>"Baja"</formula>
    </cfRule>
    <cfRule type="cellIs" dxfId="817" priority="53" operator="equal">
      <formula>"Muy Baja"</formula>
    </cfRule>
  </conditionalFormatting>
  <conditionalFormatting sqref="AA29:AA30">
    <cfRule type="cellIs" dxfId="816" priority="44" operator="equal">
      <formula>"Catastrófico"</formula>
    </cfRule>
    <cfRule type="cellIs" dxfId="815" priority="45" operator="equal">
      <formula>"Mayor"</formula>
    </cfRule>
    <cfRule type="cellIs" dxfId="814" priority="46" operator="equal">
      <formula>"Moderado"</formula>
    </cfRule>
    <cfRule type="cellIs" dxfId="813" priority="47" operator="equal">
      <formula>"Menor"</formula>
    </cfRule>
    <cfRule type="cellIs" dxfId="812" priority="48" operator="equal">
      <formula>"Leve"</formula>
    </cfRule>
  </conditionalFormatting>
  <conditionalFormatting sqref="AC29:AC30">
    <cfRule type="cellIs" dxfId="811" priority="40" operator="equal">
      <formula>"Extremo"</formula>
    </cfRule>
    <cfRule type="cellIs" dxfId="810" priority="41" operator="equal">
      <formula>"Alto"</formula>
    </cfRule>
    <cfRule type="cellIs" dxfId="809" priority="42" operator="equal">
      <formula>"Moderado"</formula>
    </cfRule>
    <cfRule type="cellIs" dxfId="808" priority="43" operator="equal">
      <formula>"Bajo"</formula>
    </cfRule>
  </conditionalFormatting>
  <conditionalFormatting sqref="K17:K30">
    <cfRule type="containsText" dxfId="807" priority="11" operator="containsText" text="❌">
      <formula>NOT(ISERROR(SEARCH("❌",K17)))</formula>
    </cfRule>
  </conditionalFormatting>
  <conditionalFormatting sqref="C17">
    <cfRule type="cellIs" dxfId="806" priority="6" operator="equal">
      <formula>"Muy Alta"</formula>
    </cfRule>
    <cfRule type="cellIs" dxfId="805" priority="7" operator="equal">
      <formula>"Alta"</formula>
    </cfRule>
    <cfRule type="cellIs" dxfId="804" priority="8" operator="equal">
      <formula>"Media"</formula>
    </cfRule>
    <cfRule type="cellIs" dxfId="803" priority="9" operator="equal">
      <formula>"Baja"</formula>
    </cfRule>
    <cfRule type="cellIs" dxfId="802" priority="10" operator="equal">
      <formula>"Muy Baja"</formula>
    </cfRule>
  </conditionalFormatting>
  <conditionalFormatting sqref="B17">
    <cfRule type="cellIs" dxfId="801" priority="1" operator="equal">
      <formula>"Muy Alta"</formula>
    </cfRule>
    <cfRule type="cellIs" dxfId="800" priority="2" operator="equal">
      <formula>"Alta"</formula>
    </cfRule>
    <cfRule type="cellIs" dxfId="799" priority="3" operator="equal">
      <formula>"Media"</formula>
    </cfRule>
    <cfRule type="cellIs" dxfId="798" priority="4" operator="equal">
      <formula>"Baja"</formula>
    </cfRule>
    <cfRule type="cellIs" dxfId="797" priority="5" operator="equal">
      <formula>"Muy Baja"</formula>
    </cfRule>
  </conditionalFormatting>
  <dataValidations count="7">
    <dataValidation type="list" allowBlank="1" showInputMessage="1" showErrorMessage="1" sqref="AD17:AD30" xr:uid="{48D09155-F485-433A-8EA9-97E7C8B3F7F1}">
      <formula1>$H$112:$H$116</formula1>
    </dataValidation>
    <dataValidation type="list" allowBlank="1" showInputMessage="1" showErrorMessage="1" sqref="W17:W30" xr:uid="{EDF84D9E-014D-49D8-B934-0C5DD000C590}">
      <formula1>$G$112:$G$113</formula1>
    </dataValidation>
    <dataValidation type="list" allowBlank="1" showInputMessage="1" showErrorMessage="1" sqref="V17:V30" xr:uid="{9BFBA6D9-8AE7-4C18-A0C9-90807ED8D46A}">
      <formula1>$H$107:$H$108</formula1>
    </dataValidation>
    <dataValidation type="list" allowBlank="1" showInputMessage="1" showErrorMessage="1" sqref="U17:U30" xr:uid="{8DCB431C-1FF4-4036-9E4F-E5486890AB24}">
      <formula1>$G$107:$G$108</formula1>
    </dataValidation>
    <dataValidation type="list" allowBlank="1" showInputMessage="1" showErrorMessage="1" sqref="S17:S30" xr:uid="{D47B7190-0F8F-45BD-BB73-884B10E9C61E}">
      <formula1>$H$102:$H$103</formula1>
    </dataValidation>
    <dataValidation type="list" allowBlank="1" showInputMessage="1" showErrorMessage="1" sqref="R17:R30" xr:uid="{97A6460A-EE59-4045-9194-11205D390B64}">
      <formula1>$G$102:$G$104</formula1>
    </dataValidation>
    <dataValidation type="list" allowBlank="1" showInputMessage="1" showErrorMessage="1" sqref="F19:F30" xr:uid="{0B4DB190-7AAA-4D4D-BD02-DFB38E1BD6A2}">
      <formula1>$E$102:$E$108</formula1>
    </dataValidation>
  </dataValidation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P72"/>
  <sheetViews>
    <sheetView topLeftCell="A4" zoomScale="70" zoomScaleNormal="70" workbookViewId="0">
      <selection activeCell="L10" sqref="L10:L15"/>
    </sheetView>
  </sheetViews>
  <sheetFormatPr baseColWidth="10" defaultRowHeight="16.5" x14ac:dyDescent="0.3"/>
  <cols>
    <col min="1" max="1" width="4" style="2" bestFit="1" customWidth="1"/>
    <col min="2" max="2" width="14.140625" style="2" customWidth="1"/>
    <col min="3" max="3" width="13.140625" style="2" customWidth="1"/>
    <col min="4" max="4" width="16.140625" style="2" customWidth="1"/>
    <col min="5" max="5" width="32.42578125" style="1" customWidth="1"/>
    <col min="6" max="6" width="19" style="5" customWidth="1"/>
    <col min="7" max="7" width="17.85546875" style="1" customWidth="1"/>
    <col min="8" max="8" width="16.5703125" style="1" customWidth="1"/>
    <col min="9" max="9" width="6.28515625" style="1" bestFit="1" customWidth="1"/>
    <col min="10" max="10" width="27.28515625" style="1" bestFit="1" customWidth="1"/>
    <col min="11" max="11" width="30.5703125" style="1" hidden="1" customWidth="1"/>
    <col min="12" max="12" width="17.5703125" style="1" customWidth="1"/>
    <col min="13" max="13" width="6.28515625" style="1" bestFit="1" customWidth="1"/>
    <col min="14" max="14" width="16" style="1" customWidth="1"/>
    <col min="15" max="15" width="5.85546875" style="1" customWidth="1"/>
    <col min="16" max="16" width="31" style="1" customWidth="1"/>
    <col min="17" max="17" width="15.140625" style="1" bestFit="1" customWidth="1"/>
    <col min="18" max="18" width="6.85546875" style="1" customWidth="1"/>
    <col min="19" max="19" width="5" style="1" customWidth="1"/>
    <col min="20" max="20" width="5.5703125" style="1" customWidth="1"/>
    <col min="21" max="21" width="7.140625" style="1" customWidth="1"/>
    <col min="22" max="22" width="6.7109375" style="1" customWidth="1"/>
    <col min="23" max="23" width="7.5703125" style="1" customWidth="1"/>
    <col min="24" max="24" width="38.28515625" style="1" hidden="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23" style="1" customWidth="1"/>
    <col min="32" max="32" width="18.85546875" style="1" customWidth="1"/>
    <col min="33" max="33" width="16.85546875" style="1" customWidth="1"/>
    <col min="34" max="34" width="14.85546875" style="1" customWidth="1"/>
    <col min="35" max="35" width="18.5703125" style="1" customWidth="1"/>
    <col min="36" max="36" width="21" style="1" customWidth="1"/>
    <col min="37" max="16384" width="11.42578125" style="1"/>
  </cols>
  <sheetData>
    <row r="1" spans="1:68" ht="16.5" customHeight="1" x14ac:dyDescent="0.3">
      <c r="A1" s="628" t="s">
        <v>144</v>
      </c>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629"/>
      <c r="AE1" s="629"/>
      <c r="AF1" s="629"/>
      <c r="AG1" s="629"/>
      <c r="AH1" s="629"/>
      <c r="AI1" s="629"/>
      <c r="AJ1" s="630"/>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1:68" ht="24" customHeight="1" x14ac:dyDescent="0.3">
      <c r="A2" s="631"/>
      <c r="B2" s="632"/>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3"/>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1:68" x14ac:dyDescent="0.3">
      <c r="A3" s="28"/>
      <c r="B3" s="29"/>
      <c r="C3" s="28"/>
      <c r="D3" s="28"/>
      <c r="E3" s="8"/>
      <c r="F3" s="27"/>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row>
    <row r="4" spans="1:68" ht="26.25" customHeight="1" x14ac:dyDescent="0.3">
      <c r="A4" s="665" t="s">
        <v>43</v>
      </c>
      <c r="B4" s="666"/>
      <c r="C4" s="624"/>
      <c r="D4" s="625"/>
      <c r="E4" s="625"/>
      <c r="F4" s="625"/>
      <c r="G4" s="625"/>
      <c r="H4" s="625"/>
      <c r="I4" s="625"/>
      <c r="J4" s="625"/>
      <c r="K4" s="625"/>
      <c r="L4" s="625"/>
      <c r="M4" s="625"/>
      <c r="N4" s="626"/>
      <c r="O4" s="627"/>
      <c r="P4" s="627"/>
      <c r="Q4" s="627"/>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row>
    <row r="5" spans="1:68" ht="30" customHeight="1" x14ac:dyDescent="0.3">
      <c r="A5" s="665" t="s">
        <v>130</v>
      </c>
      <c r="B5" s="666"/>
      <c r="C5" s="624"/>
      <c r="D5" s="625"/>
      <c r="E5" s="625"/>
      <c r="F5" s="625"/>
      <c r="G5" s="625"/>
      <c r="H5" s="625"/>
      <c r="I5" s="625"/>
      <c r="J5" s="625"/>
      <c r="K5" s="625"/>
      <c r="L5" s="625"/>
      <c r="M5" s="625"/>
      <c r="N5" s="626"/>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row>
    <row r="6" spans="1:68" ht="49.5" customHeight="1" x14ac:dyDescent="0.3">
      <c r="A6" s="665" t="s">
        <v>44</v>
      </c>
      <c r="B6" s="666"/>
      <c r="C6" s="675"/>
      <c r="D6" s="676"/>
      <c r="E6" s="676"/>
      <c r="F6" s="676"/>
      <c r="G6" s="676"/>
      <c r="H6" s="676"/>
      <c r="I6" s="676"/>
      <c r="J6" s="676"/>
      <c r="K6" s="676"/>
      <c r="L6" s="676"/>
      <c r="M6" s="676"/>
      <c r="N6" s="677"/>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row>
    <row r="7" spans="1:68" x14ac:dyDescent="0.3">
      <c r="A7" s="634" t="s">
        <v>139</v>
      </c>
      <c r="B7" s="635"/>
      <c r="C7" s="635"/>
      <c r="D7" s="635"/>
      <c r="E7" s="635"/>
      <c r="F7" s="635"/>
      <c r="G7" s="636"/>
      <c r="H7" s="634" t="s">
        <v>140</v>
      </c>
      <c r="I7" s="635"/>
      <c r="J7" s="635"/>
      <c r="K7" s="635"/>
      <c r="L7" s="635"/>
      <c r="M7" s="635"/>
      <c r="N7" s="636"/>
      <c r="O7" s="634" t="s">
        <v>141</v>
      </c>
      <c r="P7" s="635"/>
      <c r="Q7" s="635"/>
      <c r="R7" s="635"/>
      <c r="S7" s="635"/>
      <c r="T7" s="635"/>
      <c r="U7" s="635"/>
      <c r="V7" s="635"/>
      <c r="W7" s="636"/>
      <c r="X7" s="634" t="s">
        <v>142</v>
      </c>
      <c r="Y7" s="635"/>
      <c r="Z7" s="635"/>
      <c r="AA7" s="635"/>
      <c r="AB7" s="635"/>
      <c r="AC7" s="635"/>
      <c r="AD7" s="636"/>
      <c r="AE7" s="634" t="s">
        <v>34</v>
      </c>
      <c r="AF7" s="635"/>
      <c r="AG7" s="635"/>
      <c r="AH7" s="635"/>
      <c r="AI7" s="635"/>
      <c r="AJ7" s="636"/>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row>
    <row r="8" spans="1:68" ht="16.5" customHeight="1" x14ac:dyDescent="0.3">
      <c r="A8" s="667" t="s">
        <v>0</v>
      </c>
      <c r="B8" s="672" t="s">
        <v>2</v>
      </c>
      <c r="C8" s="670" t="s">
        <v>3</v>
      </c>
      <c r="D8" s="670" t="s">
        <v>42</v>
      </c>
      <c r="E8" s="671" t="s">
        <v>1</v>
      </c>
      <c r="F8" s="669" t="s">
        <v>50</v>
      </c>
      <c r="G8" s="670" t="s">
        <v>135</v>
      </c>
      <c r="H8" s="679" t="s">
        <v>33</v>
      </c>
      <c r="I8" s="680" t="s">
        <v>5</v>
      </c>
      <c r="J8" s="669" t="s">
        <v>87</v>
      </c>
      <c r="K8" s="669" t="s">
        <v>92</v>
      </c>
      <c r="L8" s="682" t="s">
        <v>45</v>
      </c>
      <c r="M8" s="680" t="s">
        <v>5</v>
      </c>
      <c r="N8" s="670" t="s">
        <v>48</v>
      </c>
      <c r="O8" s="673" t="s">
        <v>11</v>
      </c>
      <c r="P8" s="664" t="s">
        <v>163</v>
      </c>
      <c r="Q8" s="669" t="s">
        <v>12</v>
      </c>
      <c r="R8" s="664" t="s">
        <v>8</v>
      </c>
      <c r="S8" s="664"/>
      <c r="T8" s="664"/>
      <c r="U8" s="664"/>
      <c r="V8" s="664"/>
      <c r="W8" s="664"/>
      <c r="X8" s="678" t="s">
        <v>138</v>
      </c>
      <c r="Y8" s="678" t="s">
        <v>46</v>
      </c>
      <c r="Z8" s="678" t="s">
        <v>5</v>
      </c>
      <c r="AA8" s="678" t="s">
        <v>47</v>
      </c>
      <c r="AB8" s="678" t="s">
        <v>5</v>
      </c>
      <c r="AC8" s="678" t="s">
        <v>49</v>
      </c>
      <c r="AD8" s="673" t="s">
        <v>29</v>
      </c>
      <c r="AE8" s="664" t="s">
        <v>34</v>
      </c>
      <c r="AF8" s="664" t="s">
        <v>35</v>
      </c>
      <c r="AG8" s="664" t="s">
        <v>36</v>
      </c>
      <c r="AH8" s="664" t="s">
        <v>38</v>
      </c>
      <c r="AI8" s="664" t="s">
        <v>37</v>
      </c>
      <c r="AJ8" s="664" t="s">
        <v>39</v>
      </c>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row>
    <row r="9" spans="1:68" s="4" customFormat="1" ht="94.5" customHeight="1" x14ac:dyDescent="0.25">
      <c r="A9" s="668"/>
      <c r="B9" s="672"/>
      <c r="C9" s="664"/>
      <c r="D9" s="664"/>
      <c r="E9" s="672"/>
      <c r="F9" s="670"/>
      <c r="G9" s="664"/>
      <c r="H9" s="670"/>
      <c r="I9" s="681"/>
      <c r="J9" s="670"/>
      <c r="K9" s="670"/>
      <c r="L9" s="681"/>
      <c r="M9" s="681"/>
      <c r="N9" s="664"/>
      <c r="O9" s="674"/>
      <c r="P9" s="664"/>
      <c r="Q9" s="670"/>
      <c r="R9" s="7" t="s">
        <v>13</v>
      </c>
      <c r="S9" s="7" t="s">
        <v>17</v>
      </c>
      <c r="T9" s="7" t="s">
        <v>28</v>
      </c>
      <c r="U9" s="7" t="s">
        <v>18</v>
      </c>
      <c r="V9" s="7" t="s">
        <v>21</v>
      </c>
      <c r="W9" s="7" t="s">
        <v>24</v>
      </c>
      <c r="X9" s="678"/>
      <c r="Y9" s="678"/>
      <c r="Z9" s="678"/>
      <c r="AA9" s="678"/>
      <c r="AB9" s="678"/>
      <c r="AC9" s="678"/>
      <c r="AD9" s="674"/>
      <c r="AE9" s="664"/>
      <c r="AF9" s="664"/>
      <c r="AG9" s="664"/>
      <c r="AH9" s="664"/>
      <c r="AI9" s="664"/>
      <c r="AJ9" s="664"/>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row>
    <row r="10" spans="1:68" s="3" customFormat="1" ht="167.25" customHeight="1" x14ac:dyDescent="0.25">
      <c r="A10" s="646">
        <v>1</v>
      </c>
      <c r="B10" s="649" t="s">
        <v>134</v>
      </c>
      <c r="C10" s="649"/>
      <c r="D10" s="649"/>
      <c r="E10" s="652"/>
      <c r="F10" s="649" t="s">
        <v>123</v>
      </c>
      <c r="G10" s="655">
        <v>2</v>
      </c>
      <c r="H10" s="658" t="str">
        <f>IF(G10&lt;=0,"",IF(G10&lt;=2,"Muy Baja",IF(G10&lt;=24,"Baja",IF(G10&lt;=500,"Media",IF(G10&lt;=5000,"Alta","Muy Alta")))))</f>
        <v>Muy Baja</v>
      </c>
      <c r="I10" s="640">
        <f>IF(H10="","",IF(H10="Muy Baja",0.2,IF(H10="Baja",0.4,IF(H10="Media",0.6,IF(H10="Alta",0.8,IF(H10="Muy Alta",1,))))))</f>
        <v>0.2</v>
      </c>
      <c r="J10" s="661" t="s">
        <v>152</v>
      </c>
      <c r="K10" s="640" t="str">
        <f ca="1">IF(NOT(ISERROR(MATCH(J10,'Tabla Impacto'!$B$221:$B$223,0))),'Tabla Impacto'!$F$223&amp;"Por favor no seleccionar los criterios de impacto(Afectación Económica o presupuestal y Pérdida Reputacional)",J10)</f>
        <v xml:space="preserve">     Mayor a 500 SMLMV </v>
      </c>
      <c r="L10" s="658" t="str">
        <f ca="1">IF(OR(K10='Tabla Impacto'!$C$11,K10='Tabla Impacto'!$D$11),"Leve",IF(OR(K10='Tabla Impacto'!$C$12,K10='Tabla Impacto'!$D$12),"Menor",IF(OR(K10='Tabla Impacto'!$C$13,K10='Tabla Impacto'!$D$13),"Moderado",IF(OR(K10='Tabla Impacto'!$C$14,K10='Tabla Impacto'!$D$14),"Mayor",IF(OR(K10='Tabla Impacto'!$C$15,K10='Tabla Impacto'!$D$15),"Catastrófico","")))))</f>
        <v>Catastrófico</v>
      </c>
      <c r="M10" s="640">
        <f ca="1">IF(L10="","",IF(L10="Leve",0.2,IF(L10="Menor",0.4,IF(L10="Moderado",0.6,IF(L10="Mayor",0.8,IF(L10="Catastrófico",1,))))))</f>
        <v>1</v>
      </c>
      <c r="N10" s="643" t="str">
        <f ca="1">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123">
        <v>1</v>
      </c>
      <c r="P10" s="124" t="s">
        <v>372</v>
      </c>
      <c r="Q10" s="125" t="str">
        <f>IF(OR(R10="Preventivo",R10="Detectivo"),"Probabilidad",IF(R10="Correctivo","Impacto",""))</f>
        <v>Probabilidad</v>
      </c>
      <c r="R10" s="126" t="s">
        <v>14</v>
      </c>
      <c r="S10" s="126" t="s">
        <v>10</v>
      </c>
      <c r="T10" s="127" t="str">
        <f>IF(AND(R10="Preventivo",S10="Automático"),"50%",IF(AND(R10="Preventivo",S10="Manual"),"40%",IF(AND(R10="Detectivo",S10="Automático"),"40%",IF(AND(R10="Detectivo",S10="Manual"),"30%",IF(AND(R10="Correctivo",S10="Automático"),"35%",IF(AND(R10="Correctivo",S10="Manual"),"25%",""))))))</f>
        <v>50%</v>
      </c>
      <c r="U10" s="126" t="s">
        <v>19</v>
      </c>
      <c r="V10" s="126" t="s">
        <v>23</v>
      </c>
      <c r="W10" s="126" t="s">
        <v>119</v>
      </c>
      <c r="X10" s="128">
        <f>IFERROR(IF(Q10="Probabilidad",(I10-(+I10*T10)),IF(Q10="Impacto",I10,"")),"")</f>
        <v>0.1</v>
      </c>
      <c r="Y10" s="129" t="str">
        <f>IFERROR(IF(X10="","",IF(X10&lt;=0.2,"Muy Baja",IF(X10&lt;=0.4,"Baja",IF(X10&lt;=0.6,"Media",IF(X10&lt;=0.8,"Alta","Muy Alta"))))),"")</f>
        <v>Muy Baja</v>
      </c>
      <c r="Z10" s="130">
        <f>+X10</f>
        <v>0.1</v>
      </c>
      <c r="AA10" s="129" t="str">
        <f ca="1">IFERROR(IF(AB10="","",IF(AB10&lt;=0.2,"Leve",IF(AB10&lt;=0.4,"Menor",IF(AB10&lt;=0.6,"Moderado",IF(AB10&lt;=0.8,"Mayor","Catastrófico"))))),"")</f>
        <v>Catastrófico</v>
      </c>
      <c r="AB10" s="130">
        <f ca="1">IFERROR(IF(Q10="Impacto",(M10-(+M10*T10)),IF(Q10="Probabilidad",M10,"")),"")</f>
        <v>1</v>
      </c>
      <c r="AC10" s="131" t="str">
        <f ca="1">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132" t="s">
        <v>32</v>
      </c>
      <c r="AE10" s="133"/>
      <c r="AF10" s="134"/>
      <c r="AG10" s="135"/>
      <c r="AH10" s="135"/>
      <c r="AI10" s="133"/>
      <c r="AJ10" s="134" t="s">
        <v>40</v>
      </c>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row>
    <row r="11" spans="1:68" ht="151.5" customHeight="1" x14ac:dyDescent="0.3">
      <c r="A11" s="647"/>
      <c r="B11" s="650"/>
      <c r="C11" s="650"/>
      <c r="D11" s="650"/>
      <c r="E11" s="653"/>
      <c r="F11" s="650"/>
      <c r="G11" s="656"/>
      <c r="H11" s="659"/>
      <c r="I11" s="641"/>
      <c r="J11" s="662"/>
      <c r="K11" s="641">
        <f ca="1">IF(NOT(ISERROR(MATCH(J11,_xlfn.ANCHORARRAY(E22),0))),I24&amp;"Por favor no seleccionar los criterios de impacto",J11)</f>
        <v>0</v>
      </c>
      <c r="L11" s="659"/>
      <c r="M11" s="641"/>
      <c r="N11" s="644"/>
      <c r="O11" s="123">
        <v>2</v>
      </c>
      <c r="P11" s="124"/>
      <c r="Q11" s="125" t="str">
        <f>IF(OR(R11="Preventivo",R11="Detectivo"),"Probabilidad",IF(R11="Correctivo","Impacto",""))</f>
        <v/>
      </c>
      <c r="R11" s="126"/>
      <c r="S11" s="126"/>
      <c r="T11" s="127" t="str">
        <f t="shared" ref="T11:T15" si="0">IF(AND(R11="Preventivo",S11="Automático"),"50%",IF(AND(R11="Preventivo",S11="Manual"),"40%",IF(AND(R11="Detectivo",S11="Automático"),"40%",IF(AND(R11="Detectivo",S11="Manual"),"30%",IF(AND(R11="Correctivo",S11="Automático"),"35%",IF(AND(R11="Correctivo",S11="Manual"),"25%",""))))))</f>
        <v/>
      </c>
      <c r="U11" s="126"/>
      <c r="V11" s="126"/>
      <c r="W11" s="126"/>
      <c r="X11" s="128" t="str">
        <f>IFERROR(IF(AND(Q10="Probabilidad",Q11="Probabilidad"),(Z10-(+Z10*T11)),IF(Q11="Probabilidad",(I10-(+I10*T11)),IF(Q11="Impacto",Z10,""))),"")</f>
        <v/>
      </c>
      <c r="Y11" s="129" t="str">
        <f t="shared" ref="Y11:Y69" si="1">IFERROR(IF(X11="","",IF(X11&lt;=0.2,"Muy Baja",IF(X11&lt;=0.4,"Baja",IF(X11&lt;=0.6,"Media",IF(X11&lt;=0.8,"Alta","Muy Alta"))))),"")</f>
        <v/>
      </c>
      <c r="Z11" s="130" t="str">
        <f t="shared" ref="Z11:Z15" si="2">+X11</f>
        <v/>
      </c>
      <c r="AA11" s="129" t="str">
        <f t="shared" ref="AA11:AA69" si="3">IFERROR(IF(AB11="","",IF(AB11&lt;=0.2,"Leve",IF(AB11&lt;=0.4,"Menor",IF(AB11&lt;=0.6,"Moderado",IF(AB11&lt;=0.8,"Mayor","Catastrófico"))))),"")</f>
        <v/>
      </c>
      <c r="AB11" s="130" t="str">
        <f>IFERROR(IF(AND(Q10="Impacto",Q11="Impacto"),(AB10-(+AB10*T11)),IF(Q11="Impacto",($M$10-(+$M$10*T11)),IF(Q11="Probabilidad",AB10,""))),"")</f>
        <v/>
      </c>
      <c r="AC11" s="131"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132"/>
      <c r="AE11" s="133"/>
      <c r="AF11" s="134"/>
      <c r="AG11" s="135"/>
      <c r="AH11" s="135"/>
      <c r="AI11" s="133"/>
      <c r="AJ11" s="134"/>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row>
    <row r="12" spans="1:68" ht="151.5" customHeight="1" x14ac:dyDescent="0.3">
      <c r="A12" s="647"/>
      <c r="B12" s="650"/>
      <c r="C12" s="650"/>
      <c r="D12" s="650"/>
      <c r="E12" s="653"/>
      <c r="F12" s="650"/>
      <c r="G12" s="656"/>
      <c r="H12" s="659"/>
      <c r="I12" s="641"/>
      <c r="J12" s="662"/>
      <c r="K12" s="641">
        <f ca="1">IF(NOT(ISERROR(MATCH(J12,_xlfn.ANCHORARRAY(E23),0))),I25&amp;"Por favor no seleccionar los criterios de impacto",J12)</f>
        <v>0</v>
      </c>
      <c r="L12" s="659"/>
      <c r="M12" s="641"/>
      <c r="N12" s="644"/>
      <c r="O12" s="123">
        <v>3</v>
      </c>
      <c r="P12" s="136"/>
      <c r="Q12" s="125" t="str">
        <f>IF(OR(R12="Preventivo",R12="Detectivo"),"Probabilidad",IF(R12="Correctivo","Impacto",""))</f>
        <v/>
      </c>
      <c r="R12" s="126"/>
      <c r="S12" s="126"/>
      <c r="T12" s="127" t="str">
        <f t="shared" si="0"/>
        <v/>
      </c>
      <c r="U12" s="126"/>
      <c r="V12" s="126"/>
      <c r="W12" s="126"/>
      <c r="X12" s="128" t="str">
        <f>IFERROR(IF(AND(Q11="Probabilidad",Q12="Probabilidad"),(Z11-(+Z11*T12)),IF(AND(Q11="Impacto",Q12="Probabilidad"),(Z10-(+Z10*T12)),IF(Q12="Impacto",Z11,""))),"")</f>
        <v/>
      </c>
      <c r="Y12" s="129" t="str">
        <f t="shared" si="1"/>
        <v/>
      </c>
      <c r="Z12" s="130" t="str">
        <f t="shared" si="2"/>
        <v/>
      </c>
      <c r="AA12" s="129" t="str">
        <f t="shared" si="3"/>
        <v/>
      </c>
      <c r="AB12" s="130" t="str">
        <f>IFERROR(IF(AND(Q11="Impacto",Q12="Impacto"),(AB11-(+AB11*T12)),IF(AND(Q11="Probabilidad",Q12="Impacto"),(AB10-(+AB10*T12)),IF(Q12="Probabilidad",AB11,""))),"")</f>
        <v/>
      </c>
      <c r="AC12" s="131" t="str">
        <f t="shared" si="4"/>
        <v/>
      </c>
      <c r="AD12" s="132"/>
      <c r="AE12" s="133"/>
      <c r="AF12" s="134"/>
      <c r="AG12" s="135"/>
      <c r="AH12" s="135"/>
      <c r="AI12" s="133"/>
      <c r="AJ12" s="134"/>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row>
    <row r="13" spans="1:68" ht="151.5" customHeight="1" x14ac:dyDescent="0.3">
      <c r="A13" s="647"/>
      <c r="B13" s="650"/>
      <c r="C13" s="650"/>
      <c r="D13" s="650"/>
      <c r="E13" s="653"/>
      <c r="F13" s="650"/>
      <c r="G13" s="656"/>
      <c r="H13" s="659"/>
      <c r="I13" s="641"/>
      <c r="J13" s="662"/>
      <c r="K13" s="641">
        <f ca="1">IF(NOT(ISERROR(MATCH(J13,_xlfn.ANCHORARRAY(E24),0))),I26&amp;"Por favor no seleccionar los criterios de impacto",J13)</f>
        <v>0</v>
      </c>
      <c r="L13" s="659"/>
      <c r="M13" s="641"/>
      <c r="N13" s="644"/>
      <c r="O13" s="123">
        <v>4</v>
      </c>
      <c r="P13" s="124"/>
      <c r="Q13" s="125" t="str">
        <f t="shared" ref="Q13:Q15" si="5">IF(OR(R13="Preventivo",R13="Detectivo"),"Probabilidad",IF(R13="Correctivo","Impacto",""))</f>
        <v/>
      </c>
      <c r="R13" s="126"/>
      <c r="S13" s="126"/>
      <c r="T13" s="127" t="str">
        <f t="shared" si="0"/>
        <v/>
      </c>
      <c r="U13" s="126"/>
      <c r="V13" s="126"/>
      <c r="W13" s="126"/>
      <c r="X13" s="128" t="str">
        <f t="shared" ref="X13:X15" si="6">IFERROR(IF(AND(Q12="Probabilidad",Q13="Probabilidad"),(Z12-(+Z12*T13)),IF(AND(Q12="Impacto",Q13="Probabilidad"),(Z11-(+Z11*T13)),IF(Q13="Impacto",Z12,""))),"")</f>
        <v/>
      </c>
      <c r="Y13" s="129" t="str">
        <f t="shared" si="1"/>
        <v/>
      </c>
      <c r="Z13" s="130" t="str">
        <f t="shared" si="2"/>
        <v/>
      </c>
      <c r="AA13" s="129" t="str">
        <f t="shared" si="3"/>
        <v/>
      </c>
      <c r="AB13" s="130" t="str">
        <f t="shared" ref="AB13:AB15" si="7">IFERROR(IF(AND(Q12="Impacto",Q13="Impacto"),(AB12-(+AB12*T13)),IF(AND(Q12="Probabilidad",Q13="Impacto"),(AB11-(+AB11*T13)),IF(Q13="Probabilidad",AB12,""))),"")</f>
        <v/>
      </c>
      <c r="AC13" s="131"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132"/>
      <c r="AE13" s="133"/>
      <c r="AF13" s="134"/>
      <c r="AG13" s="135"/>
      <c r="AH13" s="135"/>
      <c r="AI13" s="133"/>
      <c r="AJ13" s="134"/>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row>
    <row r="14" spans="1:68" ht="151.5" customHeight="1" x14ac:dyDescent="0.3">
      <c r="A14" s="647"/>
      <c r="B14" s="650"/>
      <c r="C14" s="650"/>
      <c r="D14" s="650"/>
      <c r="E14" s="653"/>
      <c r="F14" s="650"/>
      <c r="G14" s="656"/>
      <c r="H14" s="659"/>
      <c r="I14" s="641"/>
      <c r="J14" s="662"/>
      <c r="K14" s="641">
        <f ca="1">IF(NOT(ISERROR(MATCH(J14,_xlfn.ANCHORARRAY(E25),0))),I27&amp;"Por favor no seleccionar los criterios de impacto",J14)</f>
        <v>0</v>
      </c>
      <c r="L14" s="659"/>
      <c r="M14" s="641"/>
      <c r="N14" s="644"/>
      <c r="O14" s="123">
        <v>5</v>
      </c>
      <c r="P14" s="124"/>
      <c r="Q14" s="125" t="str">
        <f t="shared" si="5"/>
        <v/>
      </c>
      <c r="R14" s="126"/>
      <c r="S14" s="126"/>
      <c r="T14" s="127" t="str">
        <f t="shared" si="0"/>
        <v/>
      </c>
      <c r="U14" s="126"/>
      <c r="V14" s="126"/>
      <c r="W14" s="126"/>
      <c r="X14" s="128" t="str">
        <f t="shared" si="6"/>
        <v/>
      </c>
      <c r="Y14" s="129" t="str">
        <f t="shared" si="1"/>
        <v/>
      </c>
      <c r="Z14" s="130" t="str">
        <f t="shared" si="2"/>
        <v/>
      </c>
      <c r="AA14" s="129" t="str">
        <f t="shared" si="3"/>
        <v/>
      </c>
      <c r="AB14" s="130" t="str">
        <f t="shared" si="7"/>
        <v/>
      </c>
      <c r="AC14" s="131" t="str">
        <f t="shared" si="4"/>
        <v/>
      </c>
      <c r="AD14" s="132"/>
      <c r="AE14" s="133"/>
      <c r="AF14" s="134"/>
      <c r="AG14" s="135"/>
      <c r="AH14" s="135"/>
      <c r="AI14" s="133"/>
      <c r="AJ14" s="134"/>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row>
    <row r="15" spans="1:68" ht="151.5" customHeight="1" x14ac:dyDescent="0.3">
      <c r="A15" s="648"/>
      <c r="B15" s="651"/>
      <c r="C15" s="651"/>
      <c r="D15" s="651"/>
      <c r="E15" s="654"/>
      <c r="F15" s="651"/>
      <c r="G15" s="657"/>
      <c r="H15" s="660"/>
      <c r="I15" s="642"/>
      <c r="J15" s="663"/>
      <c r="K15" s="642">
        <f ca="1">IF(NOT(ISERROR(MATCH(J15,_xlfn.ANCHORARRAY(E26),0))),I28&amp;"Por favor no seleccionar los criterios de impacto",J15)</f>
        <v>0</v>
      </c>
      <c r="L15" s="660"/>
      <c r="M15" s="642"/>
      <c r="N15" s="645"/>
      <c r="O15" s="123">
        <v>6</v>
      </c>
      <c r="P15" s="124"/>
      <c r="Q15" s="125" t="str">
        <f t="shared" si="5"/>
        <v/>
      </c>
      <c r="R15" s="126"/>
      <c r="S15" s="126"/>
      <c r="T15" s="127" t="str">
        <f t="shared" si="0"/>
        <v/>
      </c>
      <c r="U15" s="126"/>
      <c r="V15" s="126"/>
      <c r="W15" s="126"/>
      <c r="X15" s="128" t="str">
        <f t="shared" si="6"/>
        <v/>
      </c>
      <c r="Y15" s="129" t="str">
        <f t="shared" si="1"/>
        <v/>
      </c>
      <c r="Z15" s="130" t="str">
        <f t="shared" si="2"/>
        <v/>
      </c>
      <c r="AA15" s="129" t="str">
        <f t="shared" si="3"/>
        <v/>
      </c>
      <c r="AB15" s="130" t="str">
        <f t="shared" si="7"/>
        <v/>
      </c>
      <c r="AC15" s="131" t="str">
        <f t="shared" si="4"/>
        <v/>
      </c>
      <c r="AD15" s="132"/>
      <c r="AE15" s="133"/>
      <c r="AF15" s="134"/>
      <c r="AG15" s="135"/>
      <c r="AH15" s="135"/>
      <c r="AI15" s="133"/>
      <c r="AJ15" s="134"/>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row>
    <row r="16" spans="1:68" ht="151.5" customHeight="1" x14ac:dyDescent="0.3">
      <c r="A16" s="646">
        <v>2</v>
      </c>
      <c r="B16" s="649"/>
      <c r="C16" s="649"/>
      <c r="D16" s="649"/>
      <c r="E16" s="652"/>
      <c r="F16" s="649"/>
      <c r="G16" s="655"/>
      <c r="H16" s="658" t="str">
        <f>IF(G16&lt;=0,"",IF(G16&lt;=2,"Muy Baja",IF(G16&lt;=24,"Baja",IF(G16&lt;=500,"Media",IF(G16&lt;=5000,"Alta","Muy Alta")))))</f>
        <v/>
      </c>
      <c r="I16" s="640" t="str">
        <f>IF(H16="","",IF(H16="Muy Baja",0.2,IF(H16="Baja",0.4,IF(H16="Media",0.6,IF(H16="Alta",0.8,IF(H16="Muy Alta",1,))))))</f>
        <v/>
      </c>
      <c r="J16" s="661"/>
      <c r="K16" s="640">
        <f ca="1">IF(NOT(ISERROR(MATCH(J16,'Tabla Impacto'!$B$221:$B$223,0))),'Tabla Impacto'!$F$223&amp;"Por favor no seleccionar los criterios de impacto(Afectación Económica o presupuestal y Pérdida Reputacional)",J16)</f>
        <v>0</v>
      </c>
      <c r="L16" s="658" t="str">
        <f ca="1">IF(OR(K16='Tabla Impacto'!$C$11,K16='Tabla Impacto'!$D$11),"Leve",IF(OR(K16='Tabla Impacto'!$C$12,K16='Tabla Impacto'!$D$12),"Menor",IF(OR(K16='Tabla Impacto'!$C$13,K16='Tabla Impacto'!$D$13),"Moderado",IF(OR(K16='Tabla Impacto'!$C$14,K16='Tabla Impacto'!$D$14),"Mayor",IF(OR(K16='Tabla Impacto'!$C$15,K16='Tabla Impacto'!$D$15),"Catastrófico","")))))</f>
        <v/>
      </c>
      <c r="M16" s="640" t="str">
        <f ca="1">IF(L16="","",IF(L16="Leve",0.2,IF(L16="Menor",0.4,IF(L16="Moderado",0.6,IF(L16="Mayor",0.8,IF(L16="Catastrófico",1,))))))</f>
        <v/>
      </c>
      <c r="N16" s="643" t="str">
        <f ca="1">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123">
        <v>1</v>
      </c>
      <c r="P16" s="124"/>
      <c r="Q16" s="125" t="str">
        <f>IF(OR(R16="Preventivo",R16="Detectivo"),"Probabilidad",IF(R16="Correctivo","Impacto",""))</f>
        <v/>
      </c>
      <c r="R16" s="126"/>
      <c r="S16" s="126"/>
      <c r="T16" s="127" t="str">
        <f>IF(AND(R16="Preventivo",S16="Automático"),"50%",IF(AND(R16="Preventivo",S16="Manual"),"40%",IF(AND(R16="Detectivo",S16="Automático"),"40%",IF(AND(R16="Detectivo",S16="Manual"),"30%",IF(AND(R16="Correctivo",S16="Automático"),"35%",IF(AND(R16="Correctivo",S16="Manual"),"25%",""))))))</f>
        <v/>
      </c>
      <c r="U16" s="126"/>
      <c r="V16" s="126"/>
      <c r="W16" s="126"/>
      <c r="X16" s="128" t="str">
        <f>IFERROR(IF(Q16="Probabilidad",(I16-(+I16*T16)),IF(Q16="Impacto",I16,"")),"")</f>
        <v/>
      </c>
      <c r="Y16" s="129" t="str">
        <f>IFERROR(IF(X16="","",IF(X16&lt;=0.2,"Muy Baja",IF(X16&lt;=0.4,"Baja",IF(X16&lt;=0.6,"Media",IF(X16&lt;=0.8,"Alta","Muy Alta"))))),"")</f>
        <v/>
      </c>
      <c r="Z16" s="130" t="str">
        <f>+X16</f>
        <v/>
      </c>
      <c r="AA16" s="129" t="str">
        <f>IFERROR(IF(AB16="","",IF(AB16&lt;=0.2,"Leve",IF(AB16&lt;=0.4,"Menor",IF(AB16&lt;=0.6,"Moderado",IF(AB16&lt;=0.8,"Mayor","Catastrófico"))))),"")</f>
        <v/>
      </c>
      <c r="AB16" s="130" t="str">
        <f>IFERROR(IF(Q16="Impacto",(M16-(+M16*T16)),IF(Q16="Probabilidad",M16,"")),"")</f>
        <v/>
      </c>
      <c r="AC16" s="131"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132"/>
      <c r="AE16" s="133"/>
      <c r="AF16" s="134"/>
      <c r="AG16" s="135"/>
      <c r="AH16" s="135"/>
      <c r="AI16" s="133"/>
      <c r="AJ16" s="134"/>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row>
    <row r="17" spans="1:68" ht="151.5" customHeight="1" x14ac:dyDescent="0.3">
      <c r="A17" s="647"/>
      <c r="B17" s="650"/>
      <c r="C17" s="650"/>
      <c r="D17" s="650"/>
      <c r="E17" s="653"/>
      <c r="F17" s="650"/>
      <c r="G17" s="656"/>
      <c r="H17" s="659"/>
      <c r="I17" s="641"/>
      <c r="J17" s="662"/>
      <c r="K17" s="641">
        <f ca="1">IF(NOT(ISERROR(MATCH(J17,_xlfn.ANCHORARRAY(E28),0))),I30&amp;"Por favor no seleccionar los criterios de impacto",J17)</f>
        <v>0</v>
      </c>
      <c r="L17" s="659"/>
      <c r="M17" s="641"/>
      <c r="N17" s="644"/>
      <c r="O17" s="123">
        <v>2</v>
      </c>
      <c r="P17" s="124"/>
      <c r="Q17" s="125" t="str">
        <f>IF(OR(R17="Preventivo",R17="Detectivo"),"Probabilidad",IF(R17="Correctivo","Impacto",""))</f>
        <v/>
      </c>
      <c r="R17" s="126"/>
      <c r="S17" s="126"/>
      <c r="T17" s="127" t="str">
        <f t="shared" ref="T17:T21" si="8">IF(AND(R17="Preventivo",S17="Automático"),"50%",IF(AND(R17="Preventivo",S17="Manual"),"40%",IF(AND(R17="Detectivo",S17="Automático"),"40%",IF(AND(R17="Detectivo",S17="Manual"),"30%",IF(AND(R17="Correctivo",S17="Automático"),"35%",IF(AND(R17="Correctivo",S17="Manual"),"25%",""))))))</f>
        <v/>
      </c>
      <c r="U17" s="126"/>
      <c r="V17" s="126"/>
      <c r="W17" s="126"/>
      <c r="X17" s="128" t="str">
        <f>IFERROR(IF(AND(Q16="Probabilidad",Q17="Probabilidad"),(Z16-(+Z16*T17)),IF(Q17="Probabilidad",(I16-(+I16*T17)),IF(Q17="Impacto",Z16,""))),"")</f>
        <v/>
      </c>
      <c r="Y17" s="129" t="str">
        <f t="shared" si="1"/>
        <v/>
      </c>
      <c r="Z17" s="130" t="str">
        <f t="shared" ref="Z17:Z21" si="9">+X17</f>
        <v/>
      </c>
      <c r="AA17" s="129" t="str">
        <f t="shared" si="3"/>
        <v/>
      </c>
      <c r="AB17" s="130" t="str">
        <f>IFERROR(IF(AND(Q16="Impacto",Q17="Impacto"),(AB10-(+AB10*T17)),IF(Q17="Impacto",($M$16-(+$M$16*T17)),IF(Q17="Probabilidad",AB10,""))),"")</f>
        <v/>
      </c>
      <c r="AC17" s="131"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132"/>
      <c r="AE17" s="133"/>
      <c r="AF17" s="134"/>
      <c r="AG17" s="135"/>
      <c r="AH17" s="135"/>
      <c r="AI17" s="133"/>
      <c r="AJ17" s="134"/>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row>
    <row r="18" spans="1:68" ht="151.5" customHeight="1" x14ac:dyDescent="0.3">
      <c r="A18" s="647"/>
      <c r="B18" s="650"/>
      <c r="C18" s="650"/>
      <c r="D18" s="650"/>
      <c r="E18" s="653"/>
      <c r="F18" s="650"/>
      <c r="G18" s="656"/>
      <c r="H18" s="659"/>
      <c r="I18" s="641"/>
      <c r="J18" s="662"/>
      <c r="K18" s="641">
        <f ca="1">IF(NOT(ISERROR(MATCH(J18,_xlfn.ANCHORARRAY(E29),0))),I31&amp;"Por favor no seleccionar los criterios de impacto",J18)</f>
        <v>0</v>
      </c>
      <c r="L18" s="659"/>
      <c r="M18" s="641"/>
      <c r="N18" s="644"/>
      <c r="O18" s="123">
        <v>3</v>
      </c>
      <c r="P18" s="136"/>
      <c r="Q18" s="125" t="str">
        <f>IF(OR(R18="Preventivo",R18="Detectivo"),"Probabilidad",IF(R18="Correctivo","Impacto",""))</f>
        <v/>
      </c>
      <c r="R18" s="126"/>
      <c r="S18" s="126"/>
      <c r="T18" s="127" t="str">
        <f t="shared" si="8"/>
        <v/>
      </c>
      <c r="U18" s="126"/>
      <c r="V18" s="126"/>
      <c r="W18" s="126"/>
      <c r="X18" s="128" t="str">
        <f>IFERROR(IF(AND(Q17="Probabilidad",Q18="Probabilidad"),(Z17-(+Z17*T18)),IF(AND(Q17="Impacto",Q18="Probabilidad"),(Z16-(+Z16*T18)),IF(Q18="Impacto",Z17,""))),"")</f>
        <v/>
      </c>
      <c r="Y18" s="129" t="str">
        <f t="shared" si="1"/>
        <v/>
      </c>
      <c r="Z18" s="130" t="str">
        <f t="shared" si="9"/>
        <v/>
      </c>
      <c r="AA18" s="129" t="str">
        <f t="shared" si="3"/>
        <v/>
      </c>
      <c r="AB18" s="130" t="str">
        <f>IFERROR(IF(AND(Q17="Impacto",Q18="Impacto"),(AB17-(+AB17*T18)),IF(AND(Q17="Probabilidad",Q18="Impacto"),(AB16-(+AB16*T18)),IF(Q18="Probabilidad",AB17,""))),"")</f>
        <v/>
      </c>
      <c r="AC18" s="131" t="str">
        <f t="shared" si="10"/>
        <v/>
      </c>
      <c r="AD18" s="132"/>
      <c r="AE18" s="133"/>
      <c r="AF18" s="134"/>
      <c r="AG18" s="135"/>
      <c r="AH18" s="135"/>
      <c r="AI18" s="133"/>
      <c r="AJ18" s="134"/>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row>
    <row r="19" spans="1:68" ht="151.5" customHeight="1" x14ac:dyDescent="0.3">
      <c r="A19" s="647"/>
      <c r="B19" s="650"/>
      <c r="C19" s="650"/>
      <c r="D19" s="650"/>
      <c r="E19" s="653"/>
      <c r="F19" s="650"/>
      <c r="G19" s="656"/>
      <c r="H19" s="659"/>
      <c r="I19" s="641"/>
      <c r="J19" s="662"/>
      <c r="K19" s="641">
        <f ca="1">IF(NOT(ISERROR(MATCH(J19,_xlfn.ANCHORARRAY(E30),0))),I32&amp;"Por favor no seleccionar los criterios de impacto",J19)</f>
        <v>0</v>
      </c>
      <c r="L19" s="659"/>
      <c r="M19" s="641"/>
      <c r="N19" s="644"/>
      <c r="O19" s="123">
        <v>4</v>
      </c>
      <c r="P19" s="124"/>
      <c r="Q19" s="125" t="str">
        <f t="shared" ref="Q19:Q21" si="11">IF(OR(R19="Preventivo",R19="Detectivo"),"Probabilidad",IF(R19="Correctivo","Impacto",""))</f>
        <v/>
      </c>
      <c r="R19" s="126"/>
      <c r="S19" s="126"/>
      <c r="T19" s="127" t="str">
        <f t="shared" si="8"/>
        <v/>
      </c>
      <c r="U19" s="126"/>
      <c r="V19" s="126"/>
      <c r="W19" s="126"/>
      <c r="X19" s="128" t="str">
        <f t="shared" ref="X19:X21" si="12">IFERROR(IF(AND(Q18="Probabilidad",Q19="Probabilidad"),(Z18-(+Z18*T19)),IF(AND(Q18="Impacto",Q19="Probabilidad"),(Z17-(+Z17*T19)),IF(Q19="Impacto",Z18,""))),"")</f>
        <v/>
      </c>
      <c r="Y19" s="129" t="str">
        <f t="shared" si="1"/>
        <v/>
      </c>
      <c r="Z19" s="130" t="str">
        <f t="shared" si="9"/>
        <v/>
      </c>
      <c r="AA19" s="129" t="str">
        <f t="shared" si="3"/>
        <v/>
      </c>
      <c r="AB19" s="130" t="str">
        <f t="shared" ref="AB19:AB21" si="13">IFERROR(IF(AND(Q18="Impacto",Q19="Impacto"),(AB18-(+AB18*T19)),IF(AND(Q18="Probabilidad",Q19="Impacto"),(AB17-(+AB17*T19)),IF(Q19="Probabilidad",AB18,""))),"")</f>
        <v/>
      </c>
      <c r="AC19" s="131"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132"/>
      <c r="AE19" s="133"/>
      <c r="AF19" s="134"/>
      <c r="AG19" s="135"/>
      <c r="AH19" s="135"/>
      <c r="AI19" s="133"/>
      <c r="AJ19" s="134"/>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row>
    <row r="20" spans="1:68" ht="151.5" customHeight="1" x14ac:dyDescent="0.3">
      <c r="A20" s="647"/>
      <c r="B20" s="650"/>
      <c r="C20" s="650"/>
      <c r="D20" s="650"/>
      <c r="E20" s="653"/>
      <c r="F20" s="650"/>
      <c r="G20" s="656"/>
      <c r="H20" s="659"/>
      <c r="I20" s="641"/>
      <c r="J20" s="662"/>
      <c r="K20" s="641">
        <f ca="1">IF(NOT(ISERROR(MATCH(J20,_xlfn.ANCHORARRAY(E31),0))),I33&amp;"Por favor no seleccionar los criterios de impacto",J20)</f>
        <v>0</v>
      </c>
      <c r="L20" s="659"/>
      <c r="M20" s="641"/>
      <c r="N20" s="644"/>
      <c r="O20" s="123">
        <v>5</v>
      </c>
      <c r="P20" s="124"/>
      <c r="Q20" s="125" t="str">
        <f t="shared" si="11"/>
        <v/>
      </c>
      <c r="R20" s="126"/>
      <c r="S20" s="126"/>
      <c r="T20" s="127" t="str">
        <f t="shared" si="8"/>
        <v/>
      </c>
      <c r="U20" s="126"/>
      <c r="V20" s="126"/>
      <c r="W20" s="126"/>
      <c r="X20" s="128" t="str">
        <f t="shared" si="12"/>
        <v/>
      </c>
      <c r="Y20" s="129" t="str">
        <f t="shared" si="1"/>
        <v/>
      </c>
      <c r="Z20" s="130" t="str">
        <f t="shared" si="9"/>
        <v/>
      </c>
      <c r="AA20" s="129" t="str">
        <f t="shared" si="3"/>
        <v/>
      </c>
      <c r="AB20" s="130" t="str">
        <f t="shared" si="13"/>
        <v/>
      </c>
      <c r="AC20" s="131"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132"/>
      <c r="AE20" s="133"/>
      <c r="AF20" s="134"/>
      <c r="AG20" s="135"/>
      <c r="AH20" s="135"/>
      <c r="AI20" s="133"/>
      <c r="AJ20" s="134"/>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row>
    <row r="21" spans="1:68" ht="151.5" customHeight="1" x14ac:dyDescent="0.3">
      <c r="A21" s="648"/>
      <c r="B21" s="651"/>
      <c r="C21" s="651"/>
      <c r="D21" s="651"/>
      <c r="E21" s="654"/>
      <c r="F21" s="651"/>
      <c r="G21" s="657"/>
      <c r="H21" s="660"/>
      <c r="I21" s="642"/>
      <c r="J21" s="663"/>
      <c r="K21" s="642">
        <f ca="1">IF(NOT(ISERROR(MATCH(J21,_xlfn.ANCHORARRAY(E32),0))),I34&amp;"Por favor no seleccionar los criterios de impacto",J21)</f>
        <v>0</v>
      </c>
      <c r="L21" s="660"/>
      <c r="M21" s="642"/>
      <c r="N21" s="645"/>
      <c r="O21" s="123">
        <v>6</v>
      </c>
      <c r="P21" s="124"/>
      <c r="Q21" s="125" t="str">
        <f t="shared" si="11"/>
        <v/>
      </c>
      <c r="R21" s="126"/>
      <c r="S21" s="126"/>
      <c r="T21" s="127" t="str">
        <f t="shared" si="8"/>
        <v/>
      </c>
      <c r="U21" s="126"/>
      <c r="V21" s="126"/>
      <c r="W21" s="126"/>
      <c r="X21" s="128" t="str">
        <f t="shared" si="12"/>
        <v/>
      </c>
      <c r="Y21" s="129" t="str">
        <f t="shared" si="1"/>
        <v/>
      </c>
      <c r="Z21" s="130" t="str">
        <f t="shared" si="9"/>
        <v/>
      </c>
      <c r="AA21" s="129" t="str">
        <f t="shared" si="3"/>
        <v/>
      </c>
      <c r="AB21" s="130" t="str">
        <f t="shared" si="13"/>
        <v/>
      </c>
      <c r="AC21" s="131" t="str">
        <f t="shared" si="14"/>
        <v/>
      </c>
      <c r="AD21" s="132"/>
      <c r="AE21" s="133"/>
      <c r="AF21" s="134"/>
      <c r="AG21" s="135"/>
      <c r="AH21" s="135"/>
      <c r="AI21" s="133"/>
      <c r="AJ21" s="134"/>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row>
    <row r="22" spans="1:68" ht="151.5" customHeight="1" x14ac:dyDescent="0.3">
      <c r="A22" s="646">
        <v>3</v>
      </c>
      <c r="B22" s="649"/>
      <c r="C22" s="649"/>
      <c r="D22" s="649"/>
      <c r="E22" s="652"/>
      <c r="F22" s="649"/>
      <c r="G22" s="655"/>
      <c r="H22" s="658" t="str">
        <f>IF(G22&lt;=0,"",IF(G22&lt;=2,"Muy Baja",IF(G22&lt;=24,"Baja",IF(G22&lt;=500,"Media",IF(G22&lt;=5000,"Alta","Muy Alta")))))</f>
        <v/>
      </c>
      <c r="I22" s="640" t="str">
        <f>IF(H22="","",IF(H22="Muy Baja",0.2,IF(H22="Baja",0.4,IF(H22="Media",0.6,IF(H22="Alta",0.8,IF(H22="Muy Alta",1,))))))</f>
        <v/>
      </c>
      <c r="J22" s="661"/>
      <c r="K22" s="640">
        <f ca="1">IF(NOT(ISERROR(MATCH(J22,'Tabla Impacto'!$B$221:$B$223,0))),'Tabla Impacto'!$F$223&amp;"Por favor no seleccionar los criterios de impacto(Afectación Económica o presupuestal y Pérdida Reputacional)",J22)</f>
        <v>0</v>
      </c>
      <c r="L22" s="658" t="str">
        <f ca="1">IF(OR(K22='Tabla Impacto'!$C$11,K22='Tabla Impacto'!$D$11),"Leve",IF(OR(K22='Tabla Impacto'!$C$12,K22='Tabla Impacto'!$D$12),"Menor",IF(OR(K22='Tabla Impacto'!$C$13,K22='Tabla Impacto'!$D$13),"Moderado",IF(OR(K22='Tabla Impacto'!$C$14,K22='Tabla Impacto'!$D$14),"Mayor",IF(OR(K22='Tabla Impacto'!$C$15,K22='Tabla Impacto'!$D$15),"Catastrófico","")))))</f>
        <v/>
      </c>
      <c r="M22" s="640" t="str">
        <f ca="1">IF(L22="","",IF(L22="Leve",0.2,IF(L22="Menor",0.4,IF(L22="Moderado",0.6,IF(L22="Mayor",0.8,IF(L22="Catastrófico",1,))))))</f>
        <v/>
      </c>
      <c r="N22" s="643" t="str">
        <f ca="1">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123">
        <v>1</v>
      </c>
      <c r="P22" s="124"/>
      <c r="Q22" s="125" t="str">
        <f>IF(OR(R22="Preventivo",R22="Detectivo"),"Probabilidad",IF(R22="Correctivo","Impacto",""))</f>
        <v/>
      </c>
      <c r="R22" s="126"/>
      <c r="S22" s="126"/>
      <c r="T22" s="127" t="str">
        <f>IF(AND(R22="Preventivo",S22="Automático"),"50%",IF(AND(R22="Preventivo",S22="Manual"),"40%",IF(AND(R22="Detectivo",S22="Automático"),"40%",IF(AND(R22="Detectivo",S22="Manual"),"30%",IF(AND(R22="Correctivo",S22="Automático"),"35%",IF(AND(R22="Correctivo",S22="Manual"),"25%",""))))))</f>
        <v/>
      </c>
      <c r="U22" s="126"/>
      <c r="V22" s="126"/>
      <c r="W22" s="126"/>
      <c r="X22" s="128" t="str">
        <f>IFERROR(IF(Q22="Probabilidad",(I22-(+I22*T22)),IF(Q22="Impacto",I22,"")),"")</f>
        <v/>
      </c>
      <c r="Y22" s="129" t="str">
        <f>IFERROR(IF(X22="","",IF(X22&lt;=0.2,"Muy Baja",IF(X22&lt;=0.4,"Baja",IF(X22&lt;=0.6,"Media",IF(X22&lt;=0.8,"Alta","Muy Alta"))))),"")</f>
        <v/>
      </c>
      <c r="Z22" s="130" t="str">
        <f>+X22</f>
        <v/>
      </c>
      <c r="AA22" s="129" t="str">
        <f>IFERROR(IF(AB22="","",IF(AB22&lt;=0.2,"Leve",IF(AB22&lt;=0.4,"Menor",IF(AB22&lt;=0.6,"Moderado",IF(AB22&lt;=0.8,"Mayor","Catastrófico"))))),"")</f>
        <v/>
      </c>
      <c r="AB22" s="130" t="str">
        <f>IFERROR(IF(Q22="Impacto",(M22-(+M22*T22)),IF(Q22="Probabilidad",M22,"")),"")</f>
        <v/>
      </c>
      <c r="AC22" s="131"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132"/>
      <c r="AE22" s="133"/>
      <c r="AF22" s="134"/>
      <c r="AG22" s="135"/>
      <c r="AH22" s="135"/>
      <c r="AI22" s="133"/>
      <c r="AJ22" s="134"/>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row>
    <row r="23" spans="1:68" ht="151.5" customHeight="1" x14ac:dyDescent="0.3">
      <c r="A23" s="647"/>
      <c r="B23" s="650"/>
      <c r="C23" s="650"/>
      <c r="D23" s="650"/>
      <c r="E23" s="653"/>
      <c r="F23" s="650"/>
      <c r="G23" s="656"/>
      <c r="H23" s="659"/>
      <c r="I23" s="641"/>
      <c r="J23" s="662"/>
      <c r="K23" s="641">
        <f t="shared" ref="K23:K27" ca="1" si="15">IF(NOT(ISERROR(MATCH(J23,_xlfn.ANCHORARRAY(E34),0))),I36&amp;"Por favor no seleccionar los criterios de impacto",J23)</f>
        <v>0</v>
      </c>
      <c r="L23" s="659"/>
      <c r="M23" s="641"/>
      <c r="N23" s="644"/>
      <c r="O23" s="123">
        <v>2</v>
      </c>
      <c r="P23" s="124"/>
      <c r="Q23" s="125" t="str">
        <f>IF(OR(R23="Preventivo",R23="Detectivo"),"Probabilidad",IF(R23="Correctivo","Impacto",""))</f>
        <v/>
      </c>
      <c r="R23" s="126"/>
      <c r="S23" s="126"/>
      <c r="T23" s="127" t="str">
        <f t="shared" ref="T23:T27" si="16">IF(AND(R23="Preventivo",S23="Automático"),"50%",IF(AND(R23="Preventivo",S23="Manual"),"40%",IF(AND(R23="Detectivo",S23="Automático"),"40%",IF(AND(R23="Detectivo",S23="Manual"),"30%",IF(AND(R23="Correctivo",S23="Automático"),"35%",IF(AND(R23="Correctivo",S23="Manual"),"25%",""))))))</f>
        <v/>
      </c>
      <c r="U23" s="126"/>
      <c r="V23" s="126"/>
      <c r="W23" s="126"/>
      <c r="X23" s="137" t="str">
        <f>IFERROR(IF(AND(Q22="Probabilidad",Q23="Probabilidad"),(Z22-(+Z22*T23)),IF(Q23="Probabilidad",(I22-(+I22*T23)),IF(Q23="Impacto",Z22,""))),"")</f>
        <v/>
      </c>
      <c r="Y23" s="129" t="str">
        <f t="shared" si="1"/>
        <v/>
      </c>
      <c r="Z23" s="130" t="str">
        <f t="shared" ref="Z23:Z27" si="17">+X23</f>
        <v/>
      </c>
      <c r="AA23" s="129" t="str">
        <f t="shared" si="3"/>
        <v/>
      </c>
      <c r="AB23" s="130" t="str">
        <f>IFERROR(IF(AND(Q22="Impacto",Q23="Impacto"),(AB16-(+AB16*T23)),IF(Q23="Impacto",($M$22-(+$M$22*T23)),IF(Q23="Probabilidad",AB16,""))),"")</f>
        <v/>
      </c>
      <c r="AC23" s="131"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132"/>
      <c r="AE23" s="133"/>
      <c r="AF23" s="134"/>
      <c r="AG23" s="135"/>
      <c r="AH23" s="135"/>
      <c r="AI23" s="133"/>
      <c r="AJ23" s="134"/>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row>
    <row r="24" spans="1:68" ht="151.5" customHeight="1" x14ac:dyDescent="0.3">
      <c r="A24" s="647"/>
      <c r="B24" s="650"/>
      <c r="C24" s="650"/>
      <c r="D24" s="650"/>
      <c r="E24" s="653"/>
      <c r="F24" s="650"/>
      <c r="G24" s="656"/>
      <c r="H24" s="659"/>
      <c r="I24" s="641"/>
      <c r="J24" s="662"/>
      <c r="K24" s="641">
        <f t="shared" ca="1" si="15"/>
        <v>0</v>
      </c>
      <c r="L24" s="659"/>
      <c r="M24" s="641"/>
      <c r="N24" s="644"/>
      <c r="O24" s="123">
        <v>3</v>
      </c>
      <c r="P24" s="136"/>
      <c r="Q24" s="125" t="str">
        <f>IF(OR(R24="Preventivo",R24="Detectivo"),"Probabilidad",IF(R24="Correctivo","Impacto",""))</f>
        <v/>
      </c>
      <c r="R24" s="126"/>
      <c r="S24" s="126"/>
      <c r="T24" s="127" t="str">
        <f t="shared" si="16"/>
        <v/>
      </c>
      <c r="U24" s="126"/>
      <c r="V24" s="126"/>
      <c r="W24" s="126"/>
      <c r="X24" s="128" t="str">
        <f>IFERROR(IF(AND(Q23="Probabilidad",Q24="Probabilidad"),(Z23-(+Z23*T24)),IF(AND(Q23="Impacto",Q24="Probabilidad"),(Z22-(+Z22*T24)),IF(Q24="Impacto",Z23,""))),"")</f>
        <v/>
      </c>
      <c r="Y24" s="129" t="str">
        <f t="shared" si="1"/>
        <v/>
      </c>
      <c r="Z24" s="130" t="str">
        <f t="shared" si="17"/>
        <v/>
      </c>
      <c r="AA24" s="129" t="str">
        <f t="shared" si="3"/>
        <v/>
      </c>
      <c r="AB24" s="130" t="str">
        <f>IFERROR(IF(AND(Q23="Impacto",Q24="Impacto"),(AB23-(+AB23*T24)),IF(AND(Q23="Probabilidad",Q24="Impacto"),(AB22-(+AB22*T24)),IF(Q24="Probabilidad",AB23,""))),"")</f>
        <v/>
      </c>
      <c r="AC24" s="131" t="str">
        <f t="shared" si="18"/>
        <v/>
      </c>
      <c r="AD24" s="132"/>
      <c r="AE24" s="133"/>
      <c r="AF24" s="134"/>
      <c r="AG24" s="135"/>
      <c r="AH24" s="135"/>
      <c r="AI24" s="133"/>
      <c r="AJ24" s="134"/>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row>
    <row r="25" spans="1:68" ht="151.5" customHeight="1" x14ac:dyDescent="0.3">
      <c r="A25" s="647"/>
      <c r="B25" s="650"/>
      <c r="C25" s="650"/>
      <c r="D25" s="650"/>
      <c r="E25" s="653"/>
      <c r="F25" s="650"/>
      <c r="G25" s="656"/>
      <c r="H25" s="659"/>
      <c r="I25" s="641"/>
      <c r="J25" s="662"/>
      <c r="K25" s="641">
        <f t="shared" ca="1" si="15"/>
        <v>0</v>
      </c>
      <c r="L25" s="659"/>
      <c r="M25" s="641"/>
      <c r="N25" s="644"/>
      <c r="O25" s="123">
        <v>4</v>
      </c>
      <c r="P25" s="124"/>
      <c r="Q25" s="125" t="str">
        <f t="shared" ref="Q25:Q27" si="19">IF(OR(R25="Preventivo",R25="Detectivo"),"Probabilidad",IF(R25="Correctivo","Impacto",""))</f>
        <v/>
      </c>
      <c r="R25" s="126"/>
      <c r="S25" s="126"/>
      <c r="T25" s="127" t="str">
        <f t="shared" si="16"/>
        <v/>
      </c>
      <c r="U25" s="126"/>
      <c r="V25" s="126"/>
      <c r="W25" s="126"/>
      <c r="X25" s="128" t="str">
        <f t="shared" ref="X25:X27" si="20">IFERROR(IF(AND(Q24="Probabilidad",Q25="Probabilidad"),(Z24-(+Z24*T25)),IF(AND(Q24="Impacto",Q25="Probabilidad"),(Z23-(+Z23*T25)),IF(Q25="Impacto",Z24,""))),"")</f>
        <v/>
      </c>
      <c r="Y25" s="129" t="str">
        <f t="shared" si="1"/>
        <v/>
      </c>
      <c r="Z25" s="130" t="str">
        <f t="shared" si="17"/>
        <v/>
      </c>
      <c r="AA25" s="129" t="str">
        <f t="shared" si="3"/>
        <v/>
      </c>
      <c r="AB25" s="130" t="str">
        <f t="shared" ref="AB25:AB27" si="21">IFERROR(IF(AND(Q24="Impacto",Q25="Impacto"),(AB24-(+AB24*T25)),IF(AND(Q24="Probabilidad",Q25="Impacto"),(AB23-(+AB23*T25)),IF(Q25="Probabilidad",AB24,""))),"")</f>
        <v/>
      </c>
      <c r="AC25" s="131"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132"/>
      <c r="AE25" s="133"/>
      <c r="AF25" s="134"/>
      <c r="AG25" s="135"/>
      <c r="AH25" s="135"/>
      <c r="AI25" s="133"/>
      <c r="AJ25" s="134"/>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row>
    <row r="26" spans="1:68" ht="151.5" customHeight="1" x14ac:dyDescent="0.3">
      <c r="A26" s="647"/>
      <c r="B26" s="650"/>
      <c r="C26" s="650"/>
      <c r="D26" s="650"/>
      <c r="E26" s="653"/>
      <c r="F26" s="650"/>
      <c r="G26" s="656"/>
      <c r="H26" s="659"/>
      <c r="I26" s="641"/>
      <c r="J26" s="662"/>
      <c r="K26" s="641">
        <f t="shared" ca="1" si="15"/>
        <v>0</v>
      </c>
      <c r="L26" s="659"/>
      <c r="M26" s="641"/>
      <c r="N26" s="644"/>
      <c r="O26" s="123">
        <v>5</v>
      </c>
      <c r="P26" s="124"/>
      <c r="Q26" s="125" t="str">
        <f t="shared" si="19"/>
        <v/>
      </c>
      <c r="R26" s="126"/>
      <c r="S26" s="126"/>
      <c r="T26" s="127" t="str">
        <f t="shared" si="16"/>
        <v/>
      </c>
      <c r="U26" s="126"/>
      <c r="V26" s="126"/>
      <c r="W26" s="126"/>
      <c r="X26" s="128" t="str">
        <f t="shared" si="20"/>
        <v/>
      </c>
      <c r="Y26" s="129" t="str">
        <f t="shared" si="1"/>
        <v/>
      </c>
      <c r="Z26" s="130" t="str">
        <f t="shared" si="17"/>
        <v/>
      </c>
      <c r="AA26" s="129" t="str">
        <f t="shared" si="3"/>
        <v/>
      </c>
      <c r="AB26" s="130" t="str">
        <f t="shared" si="21"/>
        <v/>
      </c>
      <c r="AC26" s="131"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132"/>
      <c r="AE26" s="133"/>
      <c r="AF26" s="134"/>
      <c r="AG26" s="135"/>
      <c r="AH26" s="135"/>
      <c r="AI26" s="133"/>
      <c r="AJ26" s="134"/>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row>
    <row r="27" spans="1:68" ht="151.5" customHeight="1" x14ac:dyDescent="0.3">
      <c r="A27" s="648"/>
      <c r="B27" s="651"/>
      <c r="C27" s="651"/>
      <c r="D27" s="651"/>
      <c r="E27" s="654"/>
      <c r="F27" s="651"/>
      <c r="G27" s="657"/>
      <c r="H27" s="660"/>
      <c r="I27" s="642"/>
      <c r="J27" s="663"/>
      <c r="K27" s="642">
        <f t="shared" ca="1" si="15"/>
        <v>0</v>
      </c>
      <c r="L27" s="660"/>
      <c r="M27" s="642"/>
      <c r="N27" s="645"/>
      <c r="O27" s="123">
        <v>6</v>
      </c>
      <c r="P27" s="124"/>
      <c r="Q27" s="125" t="str">
        <f t="shared" si="19"/>
        <v/>
      </c>
      <c r="R27" s="126"/>
      <c r="S27" s="126"/>
      <c r="T27" s="127" t="str">
        <f t="shared" si="16"/>
        <v/>
      </c>
      <c r="U27" s="126"/>
      <c r="V27" s="126"/>
      <c r="W27" s="126"/>
      <c r="X27" s="128" t="str">
        <f t="shared" si="20"/>
        <v/>
      </c>
      <c r="Y27" s="129" t="str">
        <f t="shared" si="1"/>
        <v/>
      </c>
      <c r="Z27" s="130" t="str">
        <f t="shared" si="17"/>
        <v/>
      </c>
      <c r="AA27" s="129" t="str">
        <f t="shared" si="3"/>
        <v/>
      </c>
      <c r="AB27" s="130" t="str">
        <f t="shared" si="21"/>
        <v/>
      </c>
      <c r="AC27" s="131" t="str">
        <f t="shared" si="22"/>
        <v/>
      </c>
      <c r="AD27" s="132"/>
      <c r="AE27" s="133"/>
      <c r="AF27" s="134"/>
      <c r="AG27" s="135"/>
      <c r="AH27" s="135"/>
      <c r="AI27" s="133"/>
      <c r="AJ27" s="134"/>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row>
    <row r="28" spans="1:68" ht="151.5" customHeight="1" x14ac:dyDescent="0.3">
      <c r="A28" s="646">
        <v>4</v>
      </c>
      <c r="B28" s="649"/>
      <c r="C28" s="649"/>
      <c r="D28" s="649"/>
      <c r="E28" s="652"/>
      <c r="F28" s="649"/>
      <c r="G28" s="655"/>
      <c r="H28" s="658" t="str">
        <f>IF(G28&lt;=0,"",IF(G28&lt;=2,"Muy Baja",IF(G28&lt;=24,"Baja",IF(G28&lt;=500,"Media",IF(G28&lt;=5000,"Alta","Muy Alta")))))</f>
        <v/>
      </c>
      <c r="I28" s="640" t="str">
        <f>IF(H28="","",IF(H28="Muy Baja",0.2,IF(H28="Baja",0.4,IF(H28="Media",0.6,IF(H28="Alta",0.8,IF(H28="Muy Alta",1,))))))</f>
        <v/>
      </c>
      <c r="J28" s="661"/>
      <c r="K28" s="640">
        <f ca="1">IF(NOT(ISERROR(MATCH(J28,'Tabla Impacto'!$B$221:$B$223,0))),'Tabla Impacto'!$F$223&amp;"Por favor no seleccionar los criterios de impacto(Afectación Económica o presupuestal y Pérdida Reputacional)",J28)</f>
        <v>0</v>
      </c>
      <c r="L28" s="658" t="str">
        <f ca="1">IF(OR(K28='Tabla Impacto'!$C$11,K28='Tabla Impacto'!$D$11),"Leve",IF(OR(K28='Tabla Impacto'!$C$12,K28='Tabla Impacto'!$D$12),"Menor",IF(OR(K28='Tabla Impacto'!$C$13,K28='Tabla Impacto'!$D$13),"Moderado",IF(OR(K28='Tabla Impacto'!$C$14,K28='Tabla Impacto'!$D$14),"Mayor",IF(OR(K28='Tabla Impacto'!$C$15,K28='Tabla Impacto'!$D$15),"Catastrófico","")))))</f>
        <v/>
      </c>
      <c r="M28" s="640" t="str">
        <f ca="1">IF(L28="","",IF(L28="Leve",0.2,IF(L28="Menor",0.4,IF(L28="Moderado",0.6,IF(L28="Mayor",0.8,IF(L28="Catastrófico",1,))))))</f>
        <v/>
      </c>
      <c r="N28" s="643" t="str">
        <f ca="1">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123">
        <v>1</v>
      </c>
      <c r="P28" s="124"/>
      <c r="Q28" s="125" t="str">
        <f>IF(OR(R28="Preventivo",R28="Detectivo"),"Probabilidad",IF(R28="Correctivo","Impacto",""))</f>
        <v/>
      </c>
      <c r="R28" s="126"/>
      <c r="S28" s="126"/>
      <c r="T28" s="127" t="str">
        <f>IF(AND(R28="Preventivo",S28="Automático"),"50%",IF(AND(R28="Preventivo",S28="Manual"),"40%",IF(AND(R28="Detectivo",S28="Automático"),"40%",IF(AND(R28="Detectivo",S28="Manual"),"30%",IF(AND(R28="Correctivo",S28="Automático"),"35%",IF(AND(R28="Correctivo",S28="Manual"),"25%",""))))))</f>
        <v/>
      </c>
      <c r="U28" s="126"/>
      <c r="V28" s="126"/>
      <c r="W28" s="126"/>
      <c r="X28" s="128" t="str">
        <f>IFERROR(IF(Q28="Probabilidad",(I28-(+I28*T28)),IF(Q28="Impacto",I28,"")),"")</f>
        <v/>
      </c>
      <c r="Y28" s="129" t="str">
        <f>IFERROR(IF(X28="","",IF(X28&lt;=0.2,"Muy Baja",IF(X28&lt;=0.4,"Baja",IF(X28&lt;=0.6,"Media",IF(X28&lt;=0.8,"Alta","Muy Alta"))))),"")</f>
        <v/>
      </c>
      <c r="Z28" s="130" t="str">
        <f>+X28</f>
        <v/>
      </c>
      <c r="AA28" s="129" t="str">
        <f>IFERROR(IF(AB28="","",IF(AB28&lt;=0.2,"Leve",IF(AB28&lt;=0.4,"Menor",IF(AB28&lt;=0.6,"Moderado",IF(AB28&lt;=0.8,"Mayor","Catastrófico"))))),"")</f>
        <v/>
      </c>
      <c r="AB28" s="130" t="str">
        <f>IFERROR(IF(Q28="Impacto",(M28-(+M28*T28)),IF(Q28="Probabilidad",M28,"")),"")</f>
        <v/>
      </c>
      <c r="AC28" s="131"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132"/>
      <c r="AE28" s="133"/>
      <c r="AF28" s="134"/>
      <c r="AG28" s="135"/>
      <c r="AH28" s="135"/>
      <c r="AI28" s="133"/>
      <c r="AJ28" s="134"/>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row>
    <row r="29" spans="1:68" ht="151.5" customHeight="1" x14ac:dyDescent="0.3">
      <c r="A29" s="647"/>
      <c r="B29" s="650"/>
      <c r="C29" s="650"/>
      <c r="D29" s="650"/>
      <c r="E29" s="653"/>
      <c r="F29" s="650"/>
      <c r="G29" s="656"/>
      <c r="H29" s="659"/>
      <c r="I29" s="641"/>
      <c r="J29" s="662"/>
      <c r="K29" s="641">
        <f t="shared" ref="K29:K33" ca="1" si="23">IF(NOT(ISERROR(MATCH(J29,_xlfn.ANCHORARRAY(E40),0))),I42&amp;"Por favor no seleccionar los criterios de impacto",J29)</f>
        <v>0</v>
      </c>
      <c r="L29" s="659"/>
      <c r="M29" s="641"/>
      <c r="N29" s="644"/>
      <c r="O29" s="123">
        <v>2</v>
      </c>
      <c r="P29" s="124"/>
      <c r="Q29" s="125" t="str">
        <f>IF(OR(R29="Preventivo",R29="Detectivo"),"Probabilidad",IF(R29="Correctivo","Impacto",""))</f>
        <v/>
      </c>
      <c r="R29" s="126"/>
      <c r="S29" s="126"/>
      <c r="T29" s="127" t="str">
        <f t="shared" ref="T29:T33" si="24">IF(AND(R29="Preventivo",S29="Automático"),"50%",IF(AND(R29="Preventivo",S29="Manual"),"40%",IF(AND(R29="Detectivo",S29="Automático"),"40%",IF(AND(R29="Detectivo",S29="Manual"),"30%",IF(AND(R29="Correctivo",S29="Automático"),"35%",IF(AND(R29="Correctivo",S29="Manual"),"25%",""))))))</f>
        <v/>
      </c>
      <c r="U29" s="126"/>
      <c r="V29" s="126"/>
      <c r="W29" s="126"/>
      <c r="X29" s="128" t="str">
        <f>IFERROR(IF(AND(Q28="Probabilidad",Q29="Probabilidad"),(Z28-(+Z28*T29)),IF(Q29="Probabilidad",(I28-(+I28*T29)),IF(Q29="Impacto",Z28,""))),"")</f>
        <v/>
      </c>
      <c r="Y29" s="129" t="str">
        <f t="shared" si="1"/>
        <v/>
      </c>
      <c r="Z29" s="130" t="str">
        <f t="shared" ref="Z29:Z33" si="25">+X29</f>
        <v/>
      </c>
      <c r="AA29" s="129" t="str">
        <f t="shared" si="3"/>
        <v/>
      </c>
      <c r="AB29" s="130" t="str">
        <f>IFERROR(IF(AND(Q28="Impacto",Q29="Impacto"),(AB22-(+AB22*T29)),IF(Q29="Impacto",($M$28-(+$M$28*T29)),IF(Q29="Probabilidad",AB22,""))),"")</f>
        <v/>
      </c>
      <c r="AC29" s="131"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132"/>
      <c r="AE29" s="133"/>
      <c r="AF29" s="134"/>
      <c r="AG29" s="135"/>
      <c r="AH29" s="135"/>
      <c r="AI29" s="133"/>
      <c r="AJ29" s="134"/>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row>
    <row r="30" spans="1:68" ht="151.5" customHeight="1" x14ac:dyDescent="0.3">
      <c r="A30" s="647"/>
      <c r="B30" s="650"/>
      <c r="C30" s="650"/>
      <c r="D30" s="650"/>
      <c r="E30" s="653"/>
      <c r="F30" s="650"/>
      <c r="G30" s="656"/>
      <c r="H30" s="659"/>
      <c r="I30" s="641"/>
      <c r="J30" s="662"/>
      <c r="K30" s="641">
        <f t="shared" ca="1" si="23"/>
        <v>0</v>
      </c>
      <c r="L30" s="659"/>
      <c r="M30" s="641"/>
      <c r="N30" s="644"/>
      <c r="O30" s="123">
        <v>3</v>
      </c>
      <c r="P30" s="136"/>
      <c r="Q30" s="125" t="str">
        <f>IF(OR(R30="Preventivo",R30="Detectivo"),"Probabilidad",IF(R30="Correctivo","Impacto",""))</f>
        <v/>
      </c>
      <c r="R30" s="126"/>
      <c r="S30" s="126"/>
      <c r="T30" s="127" t="str">
        <f t="shared" si="24"/>
        <v/>
      </c>
      <c r="U30" s="126"/>
      <c r="V30" s="126"/>
      <c r="W30" s="126"/>
      <c r="X30" s="128" t="str">
        <f>IFERROR(IF(AND(Q29="Probabilidad",Q30="Probabilidad"),(Z29-(+Z29*T30)),IF(AND(Q29="Impacto",Q30="Probabilidad"),(Z28-(+Z28*T30)),IF(Q30="Impacto",Z29,""))),"")</f>
        <v/>
      </c>
      <c r="Y30" s="129" t="str">
        <f t="shared" si="1"/>
        <v/>
      </c>
      <c r="Z30" s="130" t="str">
        <f t="shared" si="25"/>
        <v/>
      </c>
      <c r="AA30" s="129" t="str">
        <f t="shared" si="3"/>
        <v/>
      </c>
      <c r="AB30" s="130" t="str">
        <f>IFERROR(IF(AND(Q29="Impacto",Q30="Impacto"),(AB29-(+AB29*T30)),IF(AND(Q29="Probabilidad",Q30="Impacto"),(AB28-(+AB28*T30)),IF(Q30="Probabilidad",AB29,""))),"")</f>
        <v/>
      </c>
      <c r="AC30" s="131" t="str">
        <f t="shared" si="26"/>
        <v/>
      </c>
      <c r="AD30" s="132"/>
      <c r="AE30" s="133"/>
      <c r="AF30" s="134"/>
      <c r="AG30" s="135"/>
      <c r="AH30" s="135"/>
      <c r="AI30" s="133"/>
      <c r="AJ30" s="134"/>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row>
    <row r="31" spans="1:68" ht="151.5" customHeight="1" x14ac:dyDescent="0.3">
      <c r="A31" s="647"/>
      <c r="B31" s="650"/>
      <c r="C31" s="650"/>
      <c r="D31" s="650"/>
      <c r="E31" s="653"/>
      <c r="F31" s="650"/>
      <c r="G31" s="656"/>
      <c r="H31" s="659"/>
      <c r="I31" s="641"/>
      <c r="J31" s="662"/>
      <c r="K31" s="641">
        <f t="shared" ca="1" si="23"/>
        <v>0</v>
      </c>
      <c r="L31" s="659"/>
      <c r="M31" s="641"/>
      <c r="N31" s="644"/>
      <c r="O31" s="123">
        <v>4</v>
      </c>
      <c r="P31" s="124"/>
      <c r="Q31" s="125" t="str">
        <f t="shared" ref="Q31:Q33" si="27">IF(OR(R31="Preventivo",R31="Detectivo"),"Probabilidad",IF(R31="Correctivo","Impacto",""))</f>
        <v/>
      </c>
      <c r="R31" s="126"/>
      <c r="S31" s="126"/>
      <c r="T31" s="127" t="str">
        <f t="shared" si="24"/>
        <v/>
      </c>
      <c r="U31" s="126"/>
      <c r="V31" s="126"/>
      <c r="W31" s="126"/>
      <c r="X31" s="128" t="str">
        <f t="shared" ref="X31:X33" si="28">IFERROR(IF(AND(Q30="Probabilidad",Q31="Probabilidad"),(Z30-(+Z30*T31)),IF(AND(Q30="Impacto",Q31="Probabilidad"),(Z29-(+Z29*T31)),IF(Q31="Impacto",Z30,""))),"")</f>
        <v/>
      </c>
      <c r="Y31" s="129" t="str">
        <f t="shared" si="1"/>
        <v/>
      </c>
      <c r="Z31" s="130" t="str">
        <f t="shared" si="25"/>
        <v/>
      </c>
      <c r="AA31" s="129" t="str">
        <f t="shared" si="3"/>
        <v/>
      </c>
      <c r="AB31" s="130" t="str">
        <f t="shared" ref="AB31:AB33" si="29">IFERROR(IF(AND(Q30="Impacto",Q31="Impacto"),(AB30-(+AB30*T31)),IF(AND(Q30="Probabilidad",Q31="Impacto"),(AB29-(+AB29*T31)),IF(Q31="Probabilidad",AB30,""))),"")</f>
        <v/>
      </c>
      <c r="AC31" s="131"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132"/>
      <c r="AE31" s="133"/>
      <c r="AF31" s="134"/>
      <c r="AG31" s="135"/>
      <c r="AH31" s="135"/>
      <c r="AI31" s="133"/>
      <c r="AJ31" s="134"/>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row>
    <row r="32" spans="1:68" ht="151.5" customHeight="1" x14ac:dyDescent="0.3">
      <c r="A32" s="647"/>
      <c r="B32" s="650"/>
      <c r="C32" s="650"/>
      <c r="D32" s="650"/>
      <c r="E32" s="653"/>
      <c r="F32" s="650"/>
      <c r="G32" s="656"/>
      <c r="H32" s="659"/>
      <c r="I32" s="641"/>
      <c r="J32" s="662"/>
      <c r="K32" s="641">
        <f t="shared" ca="1" si="23"/>
        <v>0</v>
      </c>
      <c r="L32" s="659"/>
      <c r="M32" s="641"/>
      <c r="N32" s="644"/>
      <c r="O32" s="123">
        <v>5</v>
      </c>
      <c r="P32" s="124"/>
      <c r="Q32" s="125" t="str">
        <f t="shared" si="27"/>
        <v/>
      </c>
      <c r="R32" s="126"/>
      <c r="S32" s="126"/>
      <c r="T32" s="127" t="str">
        <f t="shared" si="24"/>
        <v/>
      </c>
      <c r="U32" s="126"/>
      <c r="V32" s="126"/>
      <c r="W32" s="126"/>
      <c r="X32" s="137" t="str">
        <f t="shared" si="28"/>
        <v/>
      </c>
      <c r="Y32" s="129" t="str">
        <f>IFERROR(IF(X32="","",IF(X32&lt;=0.2,"Muy Baja",IF(X32&lt;=0.4,"Baja",IF(X32&lt;=0.6,"Media",IF(X32&lt;=0.8,"Alta","Muy Alta"))))),"")</f>
        <v/>
      </c>
      <c r="Z32" s="130" t="str">
        <f t="shared" si="25"/>
        <v/>
      </c>
      <c r="AA32" s="129" t="str">
        <f t="shared" si="3"/>
        <v/>
      </c>
      <c r="AB32" s="130" t="str">
        <f t="shared" si="29"/>
        <v/>
      </c>
      <c r="AC32" s="131"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132"/>
      <c r="AE32" s="133"/>
      <c r="AF32" s="134"/>
      <c r="AG32" s="135"/>
      <c r="AH32" s="135"/>
      <c r="AI32" s="133"/>
      <c r="AJ32" s="134"/>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row>
    <row r="33" spans="1:68" ht="151.5" customHeight="1" x14ac:dyDescent="0.3">
      <c r="A33" s="648"/>
      <c r="B33" s="651"/>
      <c r="C33" s="651"/>
      <c r="D33" s="651"/>
      <c r="E33" s="654"/>
      <c r="F33" s="651"/>
      <c r="G33" s="657"/>
      <c r="H33" s="660"/>
      <c r="I33" s="642"/>
      <c r="J33" s="663"/>
      <c r="K33" s="642">
        <f t="shared" ca="1" si="23"/>
        <v>0</v>
      </c>
      <c r="L33" s="660"/>
      <c r="M33" s="642"/>
      <c r="N33" s="645"/>
      <c r="O33" s="123">
        <v>6</v>
      </c>
      <c r="P33" s="124"/>
      <c r="Q33" s="125" t="str">
        <f t="shared" si="27"/>
        <v/>
      </c>
      <c r="R33" s="126"/>
      <c r="S33" s="126"/>
      <c r="T33" s="127" t="str">
        <f t="shared" si="24"/>
        <v/>
      </c>
      <c r="U33" s="126"/>
      <c r="V33" s="126"/>
      <c r="W33" s="126"/>
      <c r="X33" s="128" t="str">
        <f t="shared" si="28"/>
        <v/>
      </c>
      <c r="Y33" s="129" t="str">
        <f t="shared" si="1"/>
        <v/>
      </c>
      <c r="Z33" s="130" t="str">
        <f t="shared" si="25"/>
        <v/>
      </c>
      <c r="AA33" s="129" t="str">
        <f t="shared" si="3"/>
        <v/>
      </c>
      <c r="AB33" s="130" t="str">
        <f t="shared" si="29"/>
        <v/>
      </c>
      <c r="AC33" s="131" t="str">
        <f t="shared" si="30"/>
        <v/>
      </c>
      <c r="AD33" s="132"/>
      <c r="AE33" s="133"/>
      <c r="AF33" s="134"/>
      <c r="AG33" s="135"/>
      <c r="AH33" s="135"/>
      <c r="AI33" s="133"/>
      <c r="AJ33" s="134"/>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row>
    <row r="34" spans="1:68" ht="151.5" customHeight="1" x14ac:dyDescent="0.3">
      <c r="A34" s="646">
        <v>5</v>
      </c>
      <c r="B34" s="649"/>
      <c r="C34" s="649"/>
      <c r="D34" s="649"/>
      <c r="E34" s="652"/>
      <c r="F34" s="649"/>
      <c r="G34" s="655"/>
      <c r="H34" s="658" t="str">
        <f>IF(G34&lt;=0,"",IF(G34&lt;=2,"Muy Baja",IF(G34&lt;=24,"Baja",IF(G34&lt;=500,"Media",IF(G34&lt;=5000,"Alta","Muy Alta")))))</f>
        <v/>
      </c>
      <c r="I34" s="640" t="str">
        <f>IF(H34="","",IF(H34="Muy Baja",0.2,IF(H34="Baja",0.4,IF(H34="Media",0.6,IF(H34="Alta",0.8,IF(H34="Muy Alta",1,))))))</f>
        <v/>
      </c>
      <c r="J34" s="661"/>
      <c r="K34" s="640">
        <f ca="1">IF(NOT(ISERROR(MATCH(J34,'Tabla Impacto'!$B$221:$B$223,0))),'Tabla Impacto'!$F$223&amp;"Por favor no seleccionar los criterios de impacto(Afectación Económica o presupuestal y Pérdida Reputacional)",J34)</f>
        <v>0</v>
      </c>
      <c r="L34" s="658" t="str">
        <f ca="1">IF(OR(K34='Tabla Impacto'!$C$11,K34='Tabla Impacto'!$D$11),"Leve",IF(OR(K34='Tabla Impacto'!$C$12,K34='Tabla Impacto'!$D$12),"Menor",IF(OR(K34='Tabla Impacto'!$C$13,K34='Tabla Impacto'!$D$13),"Moderado",IF(OR(K34='Tabla Impacto'!$C$14,K34='Tabla Impacto'!$D$14),"Mayor",IF(OR(K34='Tabla Impacto'!$C$15,K34='Tabla Impacto'!$D$15),"Catastrófico","")))))</f>
        <v/>
      </c>
      <c r="M34" s="640" t="str">
        <f ca="1">IF(L34="","",IF(L34="Leve",0.2,IF(L34="Menor",0.4,IF(L34="Moderado",0.6,IF(L34="Mayor",0.8,IF(L34="Catastrófico",1,))))))</f>
        <v/>
      </c>
      <c r="N34" s="643" t="str">
        <f ca="1">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123">
        <v>1</v>
      </c>
      <c r="P34" s="124"/>
      <c r="Q34" s="125" t="str">
        <f>IF(OR(R34="Preventivo",R34="Detectivo"),"Probabilidad",IF(R34="Correctivo","Impacto",""))</f>
        <v/>
      </c>
      <c r="R34" s="126"/>
      <c r="S34" s="126"/>
      <c r="T34" s="127" t="str">
        <f>IF(AND(R34="Preventivo",S34="Automático"),"50%",IF(AND(R34="Preventivo",S34="Manual"),"40%",IF(AND(R34="Detectivo",S34="Automático"),"40%",IF(AND(R34="Detectivo",S34="Manual"),"30%",IF(AND(R34="Correctivo",S34="Automático"),"35%",IF(AND(R34="Correctivo",S34="Manual"),"25%",""))))))</f>
        <v/>
      </c>
      <c r="U34" s="126"/>
      <c r="V34" s="126"/>
      <c r="W34" s="126"/>
      <c r="X34" s="128" t="str">
        <f>IFERROR(IF(Q34="Probabilidad",(I34-(+I34*T34)),IF(Q34="Impacto",I34,"")),"")</f>
        <v/>
      </c>
      <c r="Y34" s="129" t="str">
        <f>IFERROR(IF(X34="","",IF(X34&lt;=0.2,"Muy Baja",IF(X34&lt;=0.4,"Baja",IF(X34&lt;=0.6,"Media",IF(X34&lt;=0.8,"Alta","Muy Alta"))))),"")</f>
        <v/>
      </c>
      <c r="Z34" s="130" t="str">
        <f>+X34</f>
        <v/>
      </c>
      <c r="AA34" s="129" t="str">
        <f>IFERROR(IF(AB34="","",IF(AB34&lt;=0.2,"Leve",IF(AB34&lt;=0.4,"Menor",IF(AB34&lt;=0.6,"Moderado",IF(AB34&lt;=0.8,"Mayor","Catastrófico"))))),"")</f>
        <v/>
      </c>
      <c r="AB34" s="130" t="str">
        <f>IFERROR(IF(Q34="Impacto",(M34-(+M34*T34)),IF(Q34="Probabilidad",M34,"")),"")</f>
        <v/>
      </c>
      <c r="AC34" s="131"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132"/>
      <c r="AE34" s="133"/>
      <c r="AF34" s="134"/>
      <c r="AG34" s="135"/>
      <c r="AH34" s="135"/>
      <c r="AI34" s="133"/>
      <c r="AJ34" s="134"/>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row>
    <row r="35" spans="1:68" ht="151.5" customHeight="1" x14ac:dyDescent="0.3">
      <c r="A35" s="647"/>
      <c r="B35" s="650"/>
      <c r="C35" s="650"/>
      <c r="D35" s="650"/>
      <c r="E35" s="653"/>
      <c r="F35" s="650"/>
      <c r="G35" s="656"/>
      <c r="H35" s="659"/>
      <c r="I35" s="641"/>
      <c r="J35" s="662"/>
      <c r="K35" s="641">
        <f t="shared" ref="K35:K39" ca="1" si="31">IF(NOT(ISERROR(MATCH(J35,_xlfn.ANCHORARRAY(E46),0))),I48&amp;"Por favor no seleccionar los criterios de impacto",J35)</f>
        <v>0</v>
      </c>
      <c r="L35" s="659"/>
      <c r="M35" s="641"/>
      <c r="N35" s="644"/>
      <c r="O35" s="123">
        <v>2</v>
      </c>
      <c r="P35" s="124"/>
      <c r="Q35" s="125" t="str">
        <f>IF(OR(R35="Preventivo",R35="Detectivo"),"Probabilidad",IF(R35="Correctivo","Impacto",""))</f>
        <v/>
      </c>
      <c r="R35" s="126"/>
      <c r="S35" s="126"/>
      <c r="T35" s="127" t="str">
        <f t="shared" ref="T35:T39" si="32">IF(AND(R35="Preventivo",S35="Automático"),"50%",IF(AND(R35="Preventivo",S35="Manual"),"40%",IF(AND(R35="Detectivo",S35="Automático"),"40%",IF(AND(R35="Detectivo",S35="Manual"),"30%",IF(AND(R35="Correctivo",S35="Automático"),"35%",IF(AND(R35="Correctivo",S35="Manual"),"25%",""))))))</f>
        <v/>
      </c>
      <c r="U35" s="126"/>
      <c r="V35" s="126"/>
      <c r="W35" s="126"/>
      <c r="X35" s="128" t="str">
        <f>IFERROR(IF(AND(Q34="Probabilidad",Q35="Probabilidad"),(Z34-(+Z34*T35)),IF(Q35="Probabilidad",(I34-(+I34*T35)),IF(Q35="Impacto",Z34,""))),"")</f>
        <v/>
      </c>
      <c r="Y35" s="129" t="str">
        <f t="shared" si="1"/>
        <v/>
      </c>
      <c r="Z35" s="130" t="str">
        <f t="shared" ref="Z35:Z39" si="33">+X35</f>
        <v/>
      </c>
      <c r="AA35" s="129" t="str">
        <f t="shared" si="3"/>
        <v/>
      </c>
      <c r="AB35" s="130" t="str">
        <f>IFERROR(IF(AND(Q34="Impacto",Q35="Impacto"),(AB28-(+AB28*T35)),IF(Q35="Impacto",($M$34-(+$M$34*T35)),IF(Q35="Probabilidad",AB28,""))),"")</f>
        <v/>
      </c>
      <c r="AC35" s="131"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132"/>
      <c r="AE35" s="133"/>
      <c r="AF35" s="134"/>
      <c r="AG35" s="135"/>
      <c r="AH35" s="135"/>
      <c r="AI35" s="133"/>
      <c r="AJ35" s="134"/>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row>
    <row r="36" spans="1:68" ht="151.5" customHeight="1" x14ac:dyDescent="0.3">
      <c r="A36" s="647"/>
      <c r="B36" s="650"/>
      <c r="C36" s="650"/>
      <c r="D36" s="650"/>
      <c r="E36" s="653"/>
      <c r="F36" s="650"/>
      <c r="G36" s="656"/>
      <c r="H36" s="659"/>
      <c r="I36" s="641"/>
      <c r="J36" s="662"/>
      <c r="K36" s="641">
        <f t="shared" ca="1" si="31"/>
        <v>0</v>
      </c>
      <c r="L36" s="659"/>
      <c r="M36" s="641"/>
      <c r="N36" s="644"/>
      <c r="O36" s="123">
        <v>3</v>
      </c>
      <c r="P36" s="136"/>
      <c r="Q36" s="125" t="str">
        <f>IF(OR(R36="Preventivo",R36="Detectivo"),"Probabilidad",IF(R36="Correctivo","Impacto",""))</f>
        <v/>
      </c>
      <c r="R36" s="126"/>
      <c r="S36" s="126"/>
      <c r="T36" s="127" t="str">
        <f t="shared" si="32"/>
        <v/>
      </c>
      <c r="U36" s="126"/>
      <c r="V36" s="126"/>
      <c r="W36" s="126"/>
      <c r="X36" s="128" t="str">
        <f>IFERROR(IF(AND(Q35="Probabilidad",Q36="Probabilidad"),(Z35-(+Z35*T36)),IF(AND(Q35="Impacto",Q36="Probabilidad"),(Z34-(+Z34*T36)),IF(Q36="Impacto",Z35,""))),"")</f>
        <v/>
      </c>
      <c r="Y36" s="129" t="str">
        <f t="shared" si="1"/>
        <v/>
      </c>
      <c r="Z36" s="130" t="str">
        <f t="shared" si="33"/>
        <v/>
      </c>
      <c r="AA36" s="129" t="str">
        <f t="shared" si="3"/>
        <v/>
      </c>
      <c r="AB36" s="130" t="str">
        <f>IFERROR(IF(AND(Q35="Impacto",Q36="Impacto"),(AB35-(+AB35*T36)),IF(AND(Q35="Probabilidad",Q36="Impacto"),(AB34-(+AB34*T36)),IF(Q36="Probabilidad",AB35,""))),"")</f>
        <v/>
      </c>
      <c r="AC36" s="131" t="str">
        <f t="shared" si="34"/>
        <v/>
      </c>
      <c r="AD36" s="132"/>
      <c r="AE36" s="133"/>
      <c r="AF36" s="134"/>
      <c r="AG36" s="135"/>
      <c r="AH36" s="135"/>
      <c r="AI36" s="133"/>
      <c r="AJ36" s="134"/>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row>
    <row r="37" spans="1:68" ht="151.5" customHeight="1" x14ac:dyDescent="0.3">
      <c r="A37" s="647"/>
      <c r="B37" s="650"/>
      <c r="C37" s="650"/>
      <c r="D37" s="650"/>
      <c r="E37" s="653"/>
      <c r="F37" s="650"/>
      <c r="G37" s="656"/>
      <c r="H37" s="659"/>
      <c r="I37" s="641"/>
      <c r="J37" s="662"/>
      <c r="K37" s="641">
        <f t="shared" ca="1" si="31"/>
        <v>0</v>
      </c>
      <c r="L37" s="659"/>
      <c r="M37" s="641"/>
      <c r="N37" s="644"/>
      <c r="O37" s="123">
        <v>4</v>
      </c>
      <c r="P37" s="124"/>
      <c r="Q37" s="125" t="str">
        <f t="shared" ref="Q37:Q39" si="35">IF(OR(R37="Preventivo",R37="Detectivo"),"Probabilidad",IF(R37="Correctivo","Impacto",""))</f>
        <v/>
      </c>
      <c r="R37" s="126"/>
      <c r="S37" s="126"/>
      <c r="T37" s="127" t="str">
        <f t="shared" si="32"/>
        <v/>
      </c>
      <c r="U37" s="126"/>
      <c r="V37" s="126"/>
      <c r="W37" s="126"/>
      <c r="X37" s="128" t="str">
        <f t="shared" ref="X37:X39" si="36">IFERROR(IF(AND(Q36="Probabilidad",Q37="Probabilidad"),(Z36-(+Z36*T37)),IF(AND(Q36="Impacto",Q37="Probabilidad"),(Z35-(+Z35*T37)),IF(Q37="Impacto",Z36,""))),"")</f>
        <v/>
      </c>
      <c r="Y37" s="129" t="str">
        <f t="shared" si="1"/>
        <v/>
      </c>
      <c r="Z37" s="130" t="str">
        <f t="shared" si="33"/>
        <v/>
      </c>
      <c r="AA37" s="129" t="str">
        <f t="shared" si="3"/>
        <v/>
      </c>
      <c r="AB37" s="130" t="str">
        <f t="shared" ref="AB37:AB39" si="37">IFERROR(IF(AND(Q36="Impacto",Q37="Impacto"),(AB36-(+AB36*T37)),IF(AND(Q36="Probabilidad",Q37="Impacto"),(AB35-(+AB35*T37)),IF(Q37="Probabilidad",AB36,""))),"")</f>
        <v/>
      </c>
      <c r="AC37" s="131"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132"/>
      <c r="AE37" s="133"/>
      <c r="AF37" s="134"/>
      <c r="AG37" s="135"/>
      <c r="AH37" s="135"/>
      <c r="AI37" s="133"/>
      <c r="AJ37" s="134"/>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row>
    <row r="38" spans="1:68" ht="151.5" customHeight="1" x14ac:dyDescent="0.3">
      <c r="A38" s="647"/>
      <c r="B38" s="650"/>
      <c r="C38" s="650"/>
      <c r="D38" s="650"/>
      <c r="E38" s="653"/>
      <c r="F38" s="650"/>
      <c r="G38" s="656"/>
      <c r="H38" s="659"/>
      <c r="I38" s="641"/>
      <c r="J38" s="662"/>
      <c r="K38" s="641">
        <f t="shared" ca="1" si="31"/>
        <v>0</v>
      </c>
      <c r="L38" s="659"/>
      <c r="M38" s="641"/>
      <c r="N38" s="644"/>
      <c r="O38" s="123">
        <v>5</v>
      </c>
      <c r="P38" s="124"/>
      <c r="Q38" s="125" t="str">
        <f t="shared" si="35"/>
        <v/>
      </c>
      <c r="R38" s="126"/>
      <c r="S38" s="126"/>
      <c r="T38" s="127" t="str">
        <f t="shared" si="32"/>
        <v/>
      </c>
      <c r="U38" s="126"/>
      <c r="V38" s="126"/>
      <c r="W38" s="126"/>
      <c r="X38" s="128" t="str">
        <f t="shared" si="36"/>
        <v/>
      </c>
      <c r="Y38" s="129" t="str">
        <f t="shared" si="1"/>
        <v/>
      </c>
      <c r="Z38" s="130" t="str">
        <f t="shared" si="33"/>
        <v/>
      </c>
      <c r="AA38" s="129" t="str">
        <f t="shared" si="3"/>
        <v/>
      </c>
      <c r="AB38" s="130" t="str">
        <f t="shared" si="37"/>
        <v/>
      </c>
      <c r="AC38" s="131"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132"/>
      <c r="AE38" s="133"/>
      <c r="AF38" s="134"/>
      <c r="AG38" s="135"/>
      <c r="AH38" s="135"/>
      <c r="AI38" s="133"/>
      <c r="AJ38" s="134"/>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row>
    <row r="39" spans="1:68" ht="151.5" customHeight="1" x14ac:dyDescent="0.3">
      <c r="A39" s="648"/>
      <c r="B39" s="651"/>
      <c r="C39" s="651"/>
      <c r="D39" s="651"/>
      <c r="E39" s="654"/>
      <c r="F39" s="651"/>
      <c r="G39" s="657"/>
      <c r="H39" s="660"/>
      <c r="I39" s="642"/>
      <c r="J39" s="663"/>
      <c r="K39" s="642">
        <f t="shared" ca="1" si="31"/>
        <v>0</v>
      </c>
      <c r="L39" s="660"/>
      <c r="M39" s="642"/>
      <c r="N39" s="645"/>
      <c r="O39" s="123">
        <v>6</v>
      </c>
      <c r="P39" s="124"/>
      <c r="Q39" s="125" t="str">
        <f t="shared" si="35"/>
        <v/>
      </c>
      <c r="R39" s="126"/>
      <c r="S39" s="126"/>
      <c r="T39" s="127" t="str">
        <f t="shared" si="32"/>
        <v/>
      </c>
      <c r="U39" s="126"/>
      <c r="V39" s="126"/>
      <c r="W39" s="126"/>
      <c r="X39" s="128" t="str">
        <f t="shared" si="36"/>
        <v/>
      </c>
      <c r="Y39" s="129" t="str">
        <f t="shared" si="1"/>
        <v/>
      </c>
      <c r="Z39" s="130" t="str">
        <f t="shared" si="33"/>
        <v/>
      </c>
      <c r="AA39" s="129" t="str">
        <f t="shared" si="3"/>
        <v/>
      </c>
      <c r="AB39" s="130" t="str">
        <f t="shared" si="37"/>
        <v/>
      </c>
      <c r="AC39" s="131" t="str">
        <f t="shared" si="38"/>
        <v/>
      </c>
      <c r="AD39" s="132"/>
      <c r="AE39" s="133"/>
      <c r="AF39" s="134"/>
      <c r="AG39" s="135"/>
      <c r="AH39" s="135"/>
      <c r="AI39" s="133"/>
      <c r="AJ39" s="134"/>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row>
    <row r="40" spans="1:68" ht="151.5" customHeight="1" x14ac:dyDescent="0.3">
      <c r="A40" s="646">
        <v>6</v>
      </c>
      <c r="B40" s="649"/>
      <c r="C40" s="649"/>
      <c r="D40" s="649"/>
      <c r="E40" s="652"/>
      <c r="F40" s="649"/>
      <c r="G40" s="655"/>
      <c r="H40" s="658" t="str">
        <f>IF(G40&lt;=0,"",IF(G40&lt;=2,"Muy Baja",IF(G40&lt;=24,"Baja",IF(G40&lt;=500,"Media",IF(G40&lt;=5000,"Alta","Muy Alta")))))</f>
        <v/>
      </c>
      <c r="I40" s="640" t="str">
        <f>IF(H40="","",IF(H40="Muy Baja",0.2,IF(H40="Baja",0.4,IF(H40="Media",0.6,IF(H40="Alta",0.8,IF(H40="Muy Alta",1,))))))</f>
        <v/>
      </c>
      <c r="J40" s="661"/>
      <c r="K40" s="640">
        <f ca="1">IF(NOT(ISERROR(MATCH(J40,'Tabla Impacto'!$B$221:$B$223,0))),'Tabla Impacto'!$F$223&amp;"Por favor no seleccionar los criterios de impacto(Afectación Económica o presupuestal y Pérdida Reputacional)",J40)</f>
        <v>0</v>
      </c>
      <c r="L40" s="658" t="str">
        <f ca="1">IF(OR(K40='Tabla Impacto'!$C$11,K40='Tabla Impacto'!$D$11),"Leve",IF(OR(K40='Tabla Impacto'!$C$12,K40='Tabla Impacto'!$D$12),"Menor",IF(OR(K40='Tabla Impacto'!$C$13,K40='Tabla Impacto'!$D$13),"Moderado",IF(OR(K40='Tabla Impacto'!$C$14,K40='Tabla Impacto'!$D$14),"Mayor",IF(OR(K40='Tabla Impacto'!$C$15,K40='Tabla Impacto'!$D$15),"Catastrófico","")))))</f>
        <v/>
      </c>
      <c r="M40" s="640" t="str">
        <f ca="1">IF(L40="","",IF(L40="Leve",0.2,IF(L40="Menor",0.4,IF(L40="Moderado",0.6,IF(L40="Mayor",0.8,IF(L40="Catastrófico",1,))))))</f>
        <v/>
      </c>
      <c r="N40" s="643" t="str">
        <f ca="1">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123">
        <v>1</v>
      </c>
      <c r="P40" s="124"/>
      <c r="Q40" s="125" t="str">
        <f>IF(OR(R40="Preventivo",R40="Detectivo"),"Probabilidad",IF(R40="Correctivo","Impacto",""))</f>
        <v/>
      </c>
      <c r="R40" s="126"/>
      <c r="S40" s="126"/>
      <c r="T40" s="127" t="str">
        <f>IF(AND(R40="Preventivo",S40="Automático"),"50%",IF(AND(R40="Preventivo",S40="Manual"),"40%",IF(AND(R40="Detectivo",S40="Automático"),"40%",IF(AND(R40="Detectivo",S40="Manual"),"30%",IF(AND(R40="Correctivo",S40="Automático"),"35%",IF(AND(R40="Correctivo",S40="Manual"),"25%",""))))))</f>
        <v/>
      </c>
      <c r="U40" s="126"/>
      <c r="V40" s="126"/>
      <c r="W40" s="126"/>
      <c r="X40" s="128" t="str">
        <f>IFERROR(IF(Q40="Probabilidad",(I40-(+I40*T40)),IF(Q40="Impacto",I40,"")),"")</f>
        <v/>
      </c>
      <c r="Y40" s="129" t="str">
        <f>IFERROR(IF(X40="","",IF(X40&lt;=0.2,"Muy Baja",IF(X40&lt;=0.4,"Baja",IF(X40&lt;=0.6,"Media",IF(X40&lt;=0.8,"Alta","Muy Alta"))))),"")</f>
        <v/>
      </c>
      <c r="Z40" s="130" t="str">
        <f>+X40</f>
        <v/>
      </c>
      <c r="AA40" s="129" t="str">
        <f>IFERROR(IF(AB40="","",IF(AB40&lt;=0.2,"Leve",IF(AB40&lt;=0.4,"Menor",IF(AB40&lt;=0.6,"Moderado",IF(AB40&lt;=0.8,"Mayor","Catastrófico"))))),"")</f>
        <v/>
      </c>
      <c r="AB40" s="130" t="str">
        <f>IFERROR(IF(Q40="Impacto",(M40-(+M40*T40)),IF(Q40="Probabilidad",M40,"")),"")</f>
        <v/>
      </c>
      <c r="AC40" s="131"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132"/>
      <c r="AE40" s="133"/>
      <c r="AF40" s="134"/>
      <c r="AG40" s="135"/>
      <c r="AH40" s="135"/>
      <c r="AI40" s="133"/>
      <c r="AJ40" s="134"/>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row>
    <row r="41" spans="1:68" ht="151.5" customHeight="1" x14ac:dyDescent="0.3">
      <c r="A41" s="647"/>
      <c r="B41" s="650"/>
      <c r="C41" s="650"/>
      <c r="D41" s="650"/>
      <c r="E41" s="653"/>
      <c r="F41" s="650"/>
      <c r="G41" s="656"/>
      <c r="H41" s="659"/>
      <c r="I41" s="641"/>
      <c r="J41" s="662"/>
      <c r="K41" s="641">
        <f t="shared" ref="K41:K45" ca="1" si="39">IF(NOT(ISERROR(MATCH(J41,_xlfn.ANCHORARRAY(E52),0))),I54&amp;"Por favor no seleccionar los criterios de impacto",J41)</f>
        <v>0</v>
      </c>
      <c r="L41" s="659"/>
      <c r="M41" s="641"/>
      <c r="N41" s="644"/>
      <c r="O41" s="123">
        <v>2</v>
      </c>
      <c r="P41" s="124"/>
      <c r="Q41" s="125" t="str">
        <f>IF(OR(R41="Preventivo",R41="Detectivo"),"Probabilidad",IF(R41="Correctivo","Impacto",""))</f>
        <v/>
      </c>
      <c r="R41" s="126"/>
      <c r="S41" s="126"/>
      <c r="T41" s="127" t="str">
        <f t="shared" ref="T41:T45" si="40">IF(AND(R41="Preventivo",S41="Automático"),"50%",IF(AND(R41="Preventivo",S41="Manual"),"40%",IF(AND(R41="Detectivo",S41="Automático"),"40%",IF(AND(R41="Detectivo",S41="Manual"),"30%",IF(AND(R41="Correctivo",S41="Automático"),"35%",IF(AND(R41="Correctivo",S41="Manual"),"25%",""))))))</f>
        <v/>
      </c>
      <c r="U41" s="126"/>
      <c r="V41" s="126"/>
      <c r="W41" s="126"/>
      <c r="X41" s="128" t="str">
        <f>IFERROR(IF(AND(Q40="Probabilidad",Q41="Probabilidad"),(Z40-(+Z40*T41)),IF(Q41="Probabilidad",(I40-(+I40*T41)),IF(Q41="Impacto",Z40,""))),"")</f>
        <v/>
      </c>
      <c r="Y41" s="129" t="str">
        <f t="shared" si="1"/>
        <v/>
      </c>
      <c r="Z41" s="130" t="str">
        <f t="shared" ref="Z41:Z45" si="41">+X41</f>
        <v/>
      </c>
      <c r="AA41" s="129" t="str">
        <f t="shared" si="3"/>
        <v/>
      </c>
      <c r="AB41" s="130" t="str">
        <f>IFERROR(IF(AND(Q40="Impacto",Q41="Impacto"),(AB34-(+AB34*T41)),IF(Q41="Impacto",($M$40-(+$M$40*T41)),IF(Q41="Probabilidad",AB34,""))),"")</f>
        <v/>
      </c>
      <c r="AC41" s="131"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132"/>
      <c r="AE41" s="133"/>
      <c r="AF41" s="134"/>
      <c r="AG41" s="135"/>
      <c r="AH41" s="135"/>
      <c r="AI41" s="133"/>
      <c r="AJ41" s="134"/>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row>
    <row r="42" spans="1:68" ht="151.5" customHeight="1" x14ac:dyDescent="0.3">
      <c r="A42" s="647"/>
      <c r="B42" s="650"/>
      <c r="C42" s="650"/>
      <c r="D42" s="650"/>
      <c r="E42" s="653"/>
      <c r="F42" s="650"/>
      <c r="G42" s="656"/>
      <c r="H42" s="659"/>
      <c r="I42" s="641"/>
      <c r="J42" s="662"/>
      <c r="K42" s="641">
        <f t="shared" ca="1" si="39"/>
        <v>0</v>
      </c>
      <c r="L42" s="659"/>
      <c r="M42" s="641"/>
      <c r="N42" s="644"/>
      <c r="O42" s="123">
        <v>3</v>
      </c>
      <c r="P42" s="136"/>
      <c r="Q42" s="125" t="str">
        <f>IF(OR(R42="Preventivo",R42="Detectivo"),"Probabilidad",IF(R42="Correctivo","Impacto",""))</f>
        <v/>
      </c>
      <c r="R42" s="126"/>
      <c r="S42" s="126"/>
      <c r="T42" s="127" t="str">
        <f t="shared" si="40"/>
        <v/>
      </c>
      <c r="U42" s="126"/>
      <c r="V42" s="126"/>
      <c r="W42" s="126"/>
      <c r="X42" s="128" t="str">
        <f>IFERROR(IF(AND(Q41="Probabilidad",Q42="Probabilidad"),(Z41-(+Z41*T42)),IF(AND(Q41="Impacto",Q42="Probabilidad"),(Z40-(+Z40*T42)),IF(Q42="Impacto",Z41,""))),"")</f>
        <v/>
      </c>
      <c r="Y42" s="129" t="str">
        <f t="shared" si="1"/>
        <v/>
      </c>
      <c r="Z42" s="130" t="str">
        <f t="shared" si="41"/>
        <v/>
      </c>
      <c r="AA42" s="129" t="str">
        <f t="shared" si="3"/>
        <v/>
      </c>
      <c r="AB42" s="130" t="str">
        <f>IFERROR(IF(AND(Q41="Impacto",Q42="Impacto"),(AB41-(+AB41*T42)),IF(AND(Q41="Probabilidad",Q42="Impacto"),(AB40-(+AB40*T42)),IF(Q42="Probabilidad",AB41,""))),"")</f>
        <v/>
      </c>
      <c r="AC42" s="131" t="str">
        <f t="shared" si="42"/>
        <v/>
      </c>
      <c r="AD42" s="132"/>
      <c r="AE42" s="133"/>
      <c r="AF42" s="134"/>
      <c r="AG42" s="135"/>
      <c r="AH42" s="135"/>
      <c r="AI42" s="133"/>
      <c r="AJ42" s="134"/>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row>
    <row r="43" spans="1:68" ht="151.5" customHeight="1" x14ac:dyDescent="0.3">
      <c r="A43" s="647"/>
      <c r="B43" s="650"/>
      <c r="C43" s="650"/>
      <c r="D43" s="650"/>
      <c r="E43" s="653"/>
      <c r="F43" s="650"/>
      <c r="G43" s="656"/>
      <c r="H43" s="659"/>
      <c r="I43" s="641"/>
      <c r="J43" s="662"/>
      <c r="K43" s="641">
        <f t="shared" ca="1" si="39"/>
        <v>0</v>
      </c>
      <c r="L43" s="659"/>
      <c r="M43" s="641"/>
      <c r="N43" s="644"/>
      <c r="O43" s="123">
        <v>4</v>
      </c>
      <c r="P43" s="124"/>
      <c r="Q43" s="125" t="str">
        <f t="shared" ref="Q43:Q45" si="43">IF(OR(R43="Preventivo",R43="Detectivo"),"Probabilidad",IF(R43="Correctivo","Impacto",""))</f>
        <v/>
      </c>
      <c r="R43" s="126"/>
      <c r="S43" s="126"/>
      <c r="T43" s="127" t="str">
        <f t="shared" si="40"/>
        <v/>
      </c>
      <c r="U43" s="126"/>
      <c r="V43" s="126"/>
      <c r="W43" s="126"/>
      <c r="X43" s="128" t="str">
        <f t="shared" ref="X43:X45" si="44">IFERROR(IF(AND(Q42="Probabilidad",Q43="Probabilidad"),(Z42-(+Z42*T43)),IF(AND(Q42="Impacto",Q43="Probabilidad"),(Z41-(+Z41*T43)),IF(Q43="Impacto",Z42,""))),"")</f>
        <v/>
      </c>
      <c r="Y43" s="129" t="str">
        <f t="shared" si="1"/>
        <v/>
      </c>
      <c r="Z43" s="130" t="str">
        <f t="shared" si="41"/>
        <v/>
      </c>
      <c r="AA43" s="129" t="str">
        <f t="shared" si="3"/>
        <v/>
      </c>
      <c r="AB43" s="130" t="str">
        <f t="shared" ref="AB43:AB45" si="45">IFERROR(IF(AND(Q42="Impacto",Q43="Impacto"),(AB42-(+AB42*T43)),IF(AND(Q42="Probabilidad",Q43="Impacto"),(AB41-(+AB41*T43)),IF(Q43="Probabilidad",AB42,""))),"")</f>
        <v/>
      </c>
      <c r="AC43" s="131"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132"/>
      <c r="AE43" s="133"/>
      <c r="AF43" s="134"/>
      <c r="AG43" s="135"/>
      <c r="AH43" s="135"/>
      <c r="AI43" s="133"/>
      <c r="AJ43" s="134"/>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row>
    <row r="44" spans="1:68" ht="151.5" customHeight="1" x14ac:dyDescent="0.3">
      <c r="A44" s="647"/>
      <c r="B44" s="650"/>
      <c r="C44" s="650"/>
      <c r="D44" s="650"/>
      <c r="E44" s="653"/>
      <c r="F44" s="650"/>
      <c r="G44" s="656"/>
      <c r="H44" s="659"/>
      <c r="I44" s="641"/>
      <c r="J44" s="662"/>
      <c r="K44" s="641">
        <f t="shared" ca="1" si="39"/>
        <v>0</v>
      </c>
      <c r="L44" s="659"/>
      <c r="M44" s="641"/>
      <c r="N44" s="644"/>
      <c r="O44" s="123">
        <v>5</v>
      </c>
      <c r="P44" s="124"/>
      <c r="Q44" s="125" t="str">
        <f t="shared" si="43"/>
        <v/>
      </c>
      <c r="R44" s="126"/>
      <c r="S44" s="126"/>
      <c r="T44" s="127" t="str">
        <f t="shared" si="40"/>
        <v/>
      </c>
      <c r="U44" s="126"/>
      <c r="V44" s="126"/>
      <c r="W44" s="126"/>
      <c r="X44" s="128" t="str">
        <f t="shared" si="44"/>
        <v/>
      </c>
      <c r="Y44" s="129" t="str">
        <f t="shared" si="1"/>
        <v/>
      </c>
      <c r="Z44" s="130" t="str">
        <f t="shared" si="41"/>
        <v/>
      </c>
      <c r="AA44" s="129" t="str">
        <f t="shared" si="3"/>
        <v/>
      </c>
      <c r="AB44" s="130" t="str">
        <f t="shared" si="45"/>
        <v/>
      </c>
      <c r="AC44" s="131"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132"/>
      <c r="AE44" s="133"/>
      <c r="AF44" s="134"/>
      <c r="AG44" s="135"/>
      <c r="AH44" s="135"/>
      <c r="AI44" s="133"/>
      <c r="AJ44" s="134"/>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row>
    <row r="45" spans="1:68" ht="151.5" customHeight="1" x14ac:dyDescent="0.3">
      <c r="A45" s="648"/>
      <c r="B45" s="651"/>
      <c r="C45" s="651"/>
      <c r="D45" s="651"/>
      <c r="E45" s="654"/>
      <c r="F45" s="651"/>
      <c r="G45" s="657"/>
      <c r="H45" s="660"/>
      <c r="I45" s="642"/>
      <c r="J45" s="663"/>
      <c r="K45" s="642">
        <f t="shared" ca="1" si="39"/>
        <v>0</v>
      </c>
      <c r="L45" s="660"/>
      <c r="M45" s="642"/>
      <c r="N45" s="645"/>
      <c r="O45" s="123">
        <v>6</v>
      </c>
      <c r="P45" s="124"/>
      <c r="Q45" s="125" t="str">
        <f t="shared" si="43"/>
        <v/>
      </c>
      <c r="R45" s="126"/>
      <c r="S45" s="126"/>
      <c r="T45" s="127" t="str">
        <f t="shared" si="40"/>
        <v/>
      </c>
      <c r="U45" s="126"/>
      <c r="V45" s="126"/>
      <c r="W45" s="126"/>
      <c r="X45" s="128" t="str">
        <f t="shared" si="44"/>
        <v/>
      </c>
      <c r="Y45" s="129" t="str">
        <f t="shared" si="1"/>
        <v/>
      </c>
      <c r="Z45" s="130" t="str">
        <f t="shared" si="41"/>
        <v/>
      </c>
      <c r="AA45" s="129" t="str">
        <f>IFERROR(IF(AB45="","",IF(AB45&lt;=0.2,"Leve",IF(AB45&lt;=0.4,"Menor",IF(AB45&lt;=0.6,"Moderado",IF(AB45&lt;=0.8,"Mayor","Catastrófico"))))),"")</f>
        <v/>
      </c>
      <c r="AB45" s="130" t="str">
        <f t="shared" si="45"/>
        <v/>
      </c>
      <c r="AC45" s="131"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132"/>
      <c r="AE45" s="133"/>
      <c r="AF45" s="134"/>
      <c r="AG45" s="135"/>
      <c r="AH45" s="135"/>
      <c r="AI45" s="133"/>
      <c r="AJ45" s="134"/>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row>
    <row r="46" spans="1:68" ht="151.5" customHeight="1" x14ac:dyDescent="0.3">
      <c r="A46" s="646">
        <v>7</v>
      </c>
      <c r="B46" s="649"/>
      <c r="C46" s="649"/>
      <c r="D46" s="649"/>
      <c r="E46" s="652"/>
      <c r="F46" s="649"/>
      <c r="G46" s="655"/>
      <c r="H46" s="658" t="str">
        <f>IF(G46&lt;=0,"",IF(G46&lt;=2,"Muy Baja",IF(G46&lt;=24,"Baja",IF(G46&lt;=500,"Media",IF(G46&lt;=5000,"Alta","Muy Alta")))))</f>
        <v/>
      </c>
      <c r="I46" s="640" t="str">
        <f>IF(H46="","",IF(H46="Muy Baja",0.2,IF(H46="Baja",0.4,IF(H46="Media",0.6,IF(H46="Alta",0.8,IF(H46="Muy Alta",1,))))))</f>
        <v/>
      </c>
      <c r="J46" s="661"/>
      <c r="K46" s="640">
        <f ca="1">IF(NOT(ISERROR(MATCH(J46,'Tabla Impacto'!$B$221:$B$223,0))),'Tabla Impacto'!$F$223&amp;"Por favor no seleccionar los criterios de impacto(Afectación Económica o presupuestal y Pérdida Reputacional)",J46)</f>
        <v>0</v>
      </c>
      <c r="L46" s="658" t="str">
        <f ca="1">IF(OR(K46='Tabla Impacto'!$C$11,K46='Tabla Impacto'!$D$11),"Leve",IF(OR(K46='Tabla Impacto'!$C$12,K46='Tabla Impacto'!$D$12),"Menor",IF(OR(K46='Tabla Impacto'!$C$13,K46='Tabla Impacto'!$D$13),"Moderado",IF(OR(K46='Tabla Impacto'!$C$14,K46='Tabla Impacto'!$D$14),"Mayor",IF(OR(K46='Tabla Impacto'!$C$15,K46='Tabla Impacto'!$D$15),"Catastrófico","")))))</f>
        <v/>
      </c>
      <c r="M46" s="640" t="str">
        <f ca="1">IF(L46="","",IF(L46="Leve",0.2,IF(L46="Menor",0.4,IF(L46="Moderado",0.6,IF(L46="Mayor",0.8,IF(L46="Catastrófico",1,))))))</f>
        <v/>
      </c>
      <c r="N46" s="643" t="str">
        <f ca="1">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123">
        <v>1</v>
      </c>
      <c r="P46" s="124"/>
      <c r="Q46" s="125" t="str">
        <f>IF(OR(R46="Preventivo",R46="Detectivo"),"Probabilidad",IF(R46="Correctivo","Impacto",""))</f>
        <v/>
      </c>
      <c r="R46" s="126"/>
      <c r="S46" s="126"/>
      <c r="T46" s="127" t="str">
        <f>IF(AND(R46="Preventivo",S46="Automático"),"50%",IF(AND(R46="Preventivo",S46="Manual"),"40%",IF(AND(R46="Detectivo",S46="Automático"),"40%",IF(AND(R46="Detectivo",S46="Manual"),"30%",IF(AND(R46="Correctivo",S46="Automático"),"35%",IF(AND(R46="Correctivo",S46="Manual"),"25%",""))))))</f>
        <v/>
      </c>
      <c r="U46" s="126"/>
      <c r="V46" s="126"/>
      <c r="W46" s="126"/>
      <c r="X46" s="128" t="str">
        <f>IFERROR(IF(Q46="Probabilidad",(I46-(+I46*T46)),IF(Q46="Impacto",I46,"")),"")</f>
        <v/>
      </c>
      <c r="Y46" s="129" t="str">
        <f>IFERROR(IF(X46="","",IF(X46&lt;=0.2,"Muy Baja",IF(X46&lt;=0.4,"Baja",IF(X46&lt;=0.6,"Media",IF(X46&lt;=0.8,"Alta","Muy Alta"))))),"")</f>
        <v/>
      </c>
      <c r="Z46" s="130" t="str">
        <f>+X46</f>
        <v/>
      </c>
      <c r="AA46" s="129" t="str">
        <f>IFERROR(IF(AB46="","",IF(AB46&lt;=0.2,"Leve",IF(AB46&lt;=0.4,"Menor",IF(AB46&lt;=0.6,"Moderado",IF(AB46&lt;=0.8,"Mayor","Catastrófico"))))),"")</f>
        <v/>
      </c>
      <c r="AB46" s="130" t="str">
        <f>IFERROR(IF(Q46="Impacto",(M46-(+M46*T46)),IF(Q46="Probabilidad",M46,"")),"")</f>
        <v/>
      </c>
      <c r="AC46" s="131"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132"/>
      <c r="AE46" s="133"/>
      <c r="AF46" s="134"/>
      <c r="AG46" s="135"/>
      <c r="AH46" s="135"/>
      <c r="AI46" s="133"/>
      <c r="AJ46" s="134"/>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row>
    <row r="47" spans="1:68" ht="151.5" customHeight="1" x14ac:dyDescent="0.3">
      <c r="A47" s="647"/>
      <c r="B47" s="650"/>
      <c r="C47" s="650"/>
      <c r="D47" s="650"/>
      <c r="E47" s="653"/>
      <c r="F47" s="650"/>
      <c r="G47" s="656"/>
      <c r="H47" s="659"/>
      <c r="I47" s="641"/>
      <c r="J47" s="662"/>
      <c r="K47" s="641">
        <f t="shared" ref="K47:K51" ca="1" si="47">IF(NOT(ISERROR(MATCH(J47,_xlfn.ANCHORARRAY(E58),0))),I60&amp;"Por favor no seleccionar los criterios de impacto",J47)</f>
        <v>0</v>
      </c>
      <c r="L47" s="659"/>
      <c r="M47" s="641"/>
      <c r="N47" s="644"/>
      <c r="O47" s="123">
        <v>2</v>
      </c>
      <c r="P47" s="124"/>
      <c r="Q47" s="125" t="str">
        <f>IF(OR(R47="Preventivo",R47="Detectivo"),"Probabilidad",IF(R47="Correctivo","Impacto",""))</f>
        <v/>
      </c>
      <c r="R47" s="126"/>
      <c r="S47" s="126"/>
      <c r="T47" s="127" t="str">
        <f t="shared" ref="T47:T51" si="48">IF(AND(R47="Preventivo",S47="Automático"),"50%",IF(AND(R47="Preventivo",S47="Manual"),"40%",IF(AND(R47="Detectivo",S47="Automático"),"40%",IF(AND(R47="Detectivo",S47="Manual"),"30%",IF(AND(R47="Correctivo",S47="Automático"),"35%",IF(AND(R47="Correctivo",S47="Manual"),"25%",""))))))</f>
        <v/>
      </c>
      <c r="U47" s="126"/>
      <c r="V47" s="126"/>
      <c r="W47" s="126"/>
      <c r="X47" s="128" t="str">
        <f>IFERROR(IF(AND(Q46="Probabilidad",Q47="Probabilidad"),(Z46-(+Z46*T47)),IF(Q47="Probabilidad",(I46-(+I46*T47)),IF(Q47="Impacto",Z46,""))),"")</f>
        <v/>
      </c>
      <c r="Y47" s="129" t="str">
        <f t="shared" si="1"/>
        <v/>
      </c>
      <c r="Z47" s="130" t="str">
        <f t="shared" ref="Z47:Z51" si="49">+X47</f>
        <v/>
      </c>
      <c r="AA47" s="129" t="str">
        <f t="shared" si="3"/>
        <v/>
      </c>
      <c r="AB47" s="130" t="str">
        <f>IFERROR(IF(AND(Q46="Impacto",Q47="Impacto"),(AB40-(+AB40*T47)),IF(Q47="Impacto",($M$46-(+$M$46*T47)),IF(Q47="Probabilidad",AB40,""))),"")</f>
        <v/>
      </c>
      <c r="AC47" s="131"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132"/>
      <c r="AE47" s="133"/>
      <c r="AF47" s="134"/>
      <c r="AG47" s="135"/>
      <c r="AH47" s="135"/>
      <c r="AI47" s="133"/>
      <c r="AJ47" s="134"/>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row>
    <row r="48" spans="1:68" ht="151.5" customHeight="1" x14ac:dyDescent="0.3">
      <c r="A48" s="647"/>
      <c r="B48" s="650"/>
      <c r="C48" s="650"/>
      <c r="D48" s="650"/>
      <c r="E48" s="653"/>
      <c r="F48" s="650"/>
      <c r="G48" s="656"/>
      <c r="H48" s="659"/>
      <c r="I48" s="641"/>
      <c r="J48" s="662"/>
      <c r="K48" s="641">
        <f t="shared" ca="1" si="47"/>
        <v>0</v>
      </c>
      <c r="L48" s="659"/>
      <c r="M48" s="641"/>
      <c r="N48" s="644"/>
      <c r="O48" s="123">
        <v>3</v>
      </c>
      <c r="P48" s="136"/>
      <c r="Q48" s="125" t="str">
        <f>IF(OR(R48="Preventivo",R48="Detectivo"),"Probabilidad",IF(R48="Correctivo","Impacto",""))</f>
        <v/>
      </c>
      <c r="R48" s="126"/>
      <c r="S48" s="126"/>
      <c r="T48" s="127" t="str">
        <f t="shared" si="48"/>
        <v/>
      </c>
      <c r="U48" s="126"/>
      <c r="V48" s="126"/>
      <c r="W48" s="126"/>
      <c r="X48" s="128" t="str">
        <f>IFERROR(IF(AND(Q47="Probabilidad",Q48="Probabilidad"),(Z47-(+Z47*T48)),IF(AND(Q47="Impacto",Q48="Probabilidad"),(Z46-(+Z46*T48)),IF(Q48="Impacto",Z47,""))),"")</f>
        <v/>
      </c>
      <c r="Y48" s="129" t="str">
        <f t="shared" si="1"/>
        <v/>
      </c>
      <c r="Z48" s="130" t="str">
        <f t="shared" si="49"/>
        <v/>
      </c>
      <c r="AA48" s="129" t="str">
        <f t="shared" si="3"/>
        <v/>
      </c>
      <c r="AB48" s="130" t="str">
        <f>IFERROR(IF(AND(Q47="Impacto",Q48="Impacto"),(AB47-(+AB47*T48)),IF(AND(Q47="Probabilidad",Q48="Impacto"),(AB46-(+AB46*T48)),IF(Q48="Probabilidad",AB47,""))),"")</f>
        <v/>
      </c>
      <c r="AC48" s="131" t="str">
        <f t="shared" si="50"/>
        <v/>
      </c>
      <c r="AD48" s="132"/>
      <c r="AE48" s="133"/>
      <c r="AF48" s="134"/>
      <c r="AG48" s="135"/>
      <c r="AH48" s="135"/>
      <c r="AI48" s="133"/>
      <c r="AJ48" s="134"/>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row>
    <row r="49" spans="1:68" ht="151.5" customHeight="1" x14ac:dyDescent="0.3">
      <c r="A49" s="647"/>
      <c r="B49" s="650"/>
      <c r="C49" s="650"/>
      <c r="D49" s="650"/>
      <c r="E49" s="653"/>
      <c r="F49" s="650"/>
      <c r="G49" s="656"/>
      <c r="H49" s="659"/>
      <c r="I49" s="641"/>
      <c r="J49" s="662"/>
      <c r="K49" s="641">
        <f t="shared" ca="1" si="47"/>
        <v>0</v>
      </c>
      <c r="L49" s="659"/>
      <c r="M49" s="641"/>
      <c r="N49" s="644"/>
      <c r="O49" s="123">
        <v>4</v>
      </c>
      <c r="P49" s="124"/>
      <c r="Q49" s="125" t="str">
        <f t="shared" ref="Q49:Q51" si="51">IF(OR(R49="Preventivo",R49="Detectivo"),"Probabilidad",IF(R49="Correctivo","Impacto",""))</f>
        <v/>
      </c>
      <c r="R49" s="126"/>
      <c r="S49" s="126"/>
      <c r="T49" s="127" t="str">
        <f t="shared" si="48"/>
        <v/>
      </c>
      <c r="U49" s="126"/>
      <c r="V49" s="126"/>
      <c r="W49" s="126"/>
      <c r="X49" s="128" t="str">
        <f t="shared" ref="X49:X51" si="52">IFERROR(IF(AND(Q48="Probabilidad",Q49="Probabilidad"),(Z48-(+Z48*T49)),IF(AND(Q48="Impacto",Q49="Probabilidad"),(Z47-(+Z47*T49)),IF(Q49="Impacto",Z48,""))),"")</f>
        <v/>
      </c>
      <c r="Y49" s="129" t="str">
        <f t="shared" si="1"/>
        <v/>
      </c>
      <c r="Z49" s="130" t="str">
        <f t="shared" si="49"/>
        <v/>
      </c>
      <c r="AA49" s="129" t="str">
        <f t="shared" si="3"/>
        <v/>
      </c>
      <c r="AB49" s="130" t="str">
        <f t="shared" ref="AB49:AB51" si="53">IFERROR(IF(AND(Q48="Impacto",Q49="Impacto"),(AB48-(+AB48*T49)),IF(AND(Q48="Probabilidad",Q49="Impacto"),(AB47-(+AB47*T49)),IF(Q49="Probabilidad",AB48,""))),"")</f>
        <v/>
      </c>
      <c r="AC49" s="131"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132"/>
      <c r="AE49" s="133"/>
      <c r="AF49" s="134"/>
      <c r="AG49" s="135"/>
      <c r="AH49" s="135"/>
      <c r="AI49" s="133"/>
      <c r="AJ49" s="134"/>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row>
    <row r="50" spans="1:68" ht="151.5" customHeight="1" x14ac:dyDescent="0.3">
      <c r="A50" s="647"/>
      <c r="B50" s="650"/>
      <c r="C50" s="650"/>
      <c r="D50" s="650"/>
      <c r="E50" s="653"/>
      <c r="F50" s="650"/>
      <c r="G50" s="656"/>
      <c r="H50" s="659"/>
      <c r="I50" s="641"/>
      <c r="J50" s="662"/>
      <c r="K50" s="641">
        <f t="shared" ca="1" si="47"/>
        <v>0</v>
      </c>
      <c r="L50" s="659"/>
      <c r="M50" s="641"/>
      <c r="N50" s="644"/>
      <c r="O50" s="123">
        <v>5</v>
      </c>
      <c r="P50" s="124"/>
      <c r="Q50" s="125" t="str">
        <f t="shared" si="51"/>
        <v/>
      </c>
      <c r="R50" s="126"/>
      <c r="S50" s="126"/>
      <c r="T50" s="127" t="str">
        <f t="shared" si="48"/>
        <v/>
      </c>
      <c r="U50" s="126"/>
      <c r="V50" s="126"/>
      <c r="W50" s="126"/>
      <c r="X50" s="128" t="str">
        <f t="shared" si="52"/>
        <v/>
      </c>
      <c r="Y50" s="129" t="str">
        <f t="shared" si="1"/>
        <v/>
      </c>
      <c r="Z50" s="130" t="str">
        <f t="shared" si="49"/>
        <v/>
      </c>
      <c r="AA50" s="129" t="str">
        <f t="shared" si="3"/>
        <v/>
      </c>
      <c r="AB50" s="130" t="str">
        <f t="shared" si="53"/>
        <v/>
      </c>
      <c r="AC50" s="131"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132"/>
      <c r="AE50" s="133"/>
      <c r="AF50" s="134"/>
      <c r="AG50" s="135"/>
      <c r="AH50" s="135"/>
      <c r="AI50" s="133"/>
      <c r="AJ50" s="134"/>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row>
    <row r="51" spans="1:68" ht="151.5" customHeight="1" x14ac:dyDescent="0.3">
      <c r="A51" s="648"/>
      <c r="B51" s="651"/>
      <c r="C51" s="651"/>
      <c r="D51" s="651"/>
      <c r="E51" s="654"/>
      <c r="F51" s="651"/>
      <c r="G51" s="657"/>
      <c r="H51" s="660"/>
      <c r="I51" s="642"/>
      <c r="J51" s="663"/>
      <c r="K51" s="642">
        <f t="shared" ca="1" si="47"/>
        <v>0</v>
      </c>
      <c r="L51" s="660"/>
      <c r="M51" s="642"/>
      <c r="N51" s="645"/>
      <c r="O51" s="123">
        <v>6</v>
      </c>
      <c r="P51" s="124"/>
      <c r="Q51" s="125" t="str">
        <f t="shared" si="51"/>
        <v/>
      </c>
      <c r="R51" s="126"/>
      <c r="S51" s="126"/>
      <c r="T51" s="127" t="str">
        <f t="shared" si="48"/>
        <v/>
      </c>
      <c r="U51" s="126"/>
      <c r="V51" s="126"/>
      <c r="W51" s="126"/>
      <c r="X51" s="128" t="str">
        <f t="shared" si="52"/>
        <v/>
      </c>
      <c r="Y51" s="129" t="str">
        <f t="shared" si="1"/>
        <v/>
      </c>
      <c r="Z51" s="130" t="str">
        <f t="shared" si="49"/>
        <v/>
      </c>
      <c r="AA51" s="129" t="str">
        <f t="shared" si="3"/>
        <v/>
      </c>
      <c r="AB51" s="130" t="str">
        <f t="shared" si="53"/>
        <v/>
      </c>
      <c r="AC51" s="131" t="str">
        <f t="shared" si="54"/>
        <v/>
      </c>
      <c r="AD51" s="132"/>
      <c r="AE51" s="133"/>
      <c r="AF51" s="134"/>
      <c r="AG51" s="135"/>
      <c r="AH51" s="135"/>
      <c r="AI51" s="133"/>
      <c r="AJ51" s="134"/>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row>
    <row r="52" spans="1:68" ht="151.5" customHeight="1" x14ac:dyDescent="0.3">
      <c r="A52" s="646">
        <v>8</v>
      </c>
      <c r="B52" s="649"/>
      <c r="C52" s="649"/>
      <c r="D52" s="649"/>
      <c r="E52" s="652"/>
      <c r="F52" s="649"/>
      <c r="G52" s="655"/>
      <c r="H52" s="658" t="str">
        <f>IF(G52&lt;=0,"",IF(G52&lt;=2,"Muy Baja",IF(G52&lt;=24,"Baja",IF(G52&lt;=500,"Media",IF(G52&lt;=5000,"Alta","Muy Alta")))))</f>
        <v/>
      </c>
      <c r="I52" s="640" t="str">
        <f>IF(H52="","",IF(H52="Muy Baja",0.2,IF(H52="Baja",0.4,IF(H52="Media",0.6,IF(H52="Alta",0.8,IF(H52="Muy Alta",1,))))))</f>
        <v/>
      </c>
      <c r="J52" s="661"/>
      <c r="K52" s="640">
        <f ca="1">IF(NOT(ISERROR(MATCH(J52,'Tabla Impacto'!$B$221:$B$223,0))),'Tabla Impacto'!$F$223&amp;"Por favor no seleccionar los criterios de impacto(Afectación Económica o presupuestal y Pérdida Reputacional)",J52)</f>
        <v>0</v>
      </c>
      <c r="L52" s="658" t="str">
        <f ca="1">IF(OR(K52='Tabla Impacto'!$C$11,K52='Tabla Impacto'!$D$11),"Leve",IF(OR(K52='Tabla Impacto'!$C$12,K52='Tabla Impacto'!$D$12),"Menor",IF(OR(K52='Tabla Impacto'!$C$13,K52='Tabla Impacto'!$D$13),"Moderado",IF(OR(K52='Tabla Impacto'!$C$14,K52='Tabla Impacto'!$D$14),"Mayor",IF(OR(K52='Tabla Impacto'!$C$15,K52='Tabla Impacto'!$D$15),"Catastrófico","")))))</f>
        <v/>
      </c>
      <c r="M52" s="640" t="str">
        <f ca="1">IF(L52="","",IF(L52="Leve",0.2,IF(L52="Menor",0.4,IF(L52="Moderado",0.6,IF(L52="Mayor",0.8,IF(L52="Catastrófico",1,))))))</f>
        <v/>
      </c>
      <c r="N52" s="643" t="str">
        <f ca="1">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123">
        <v>1</v>
      </c>
      <c r="P52" s="124"/>
      <c r="Q52" s="125" t="str">
        <f>IF(OR(R52="Preventivo",R52="Detectivo"),"Probabilidad",IF(R52="Correctivo","Impacto",""))</f>
        <v/>
      </c>
      <c r="R52" s="126"/>
      <c r="S52" s="126"/>
      <c r="T52" s="127" t="str">
        <f>IF(AND(R52="Preventivo",S52="Automático"),"50%",IF(AND(R52="Preventivo",S52="Manual"),"40%",IF(AND(R52="Detectivo",S52="Automático"),"40%",IF(AND(R52="Detectivo",S52="Manual"),"30%",IF(AND(R52="Correctivo",S52="Automático"),"35%",IF(AND(R52="Correctivo",S52="Manual"),"25%",""))))))</f>
        <v/>
      </c>
      <c r="U52" s="126"/>
      <c r="V52" s="126"/>
      <c r="W52" s="126"/>
      <c r="X52" s="128" t="str">
        <f>IFERROR(IF(Q52="Probabilidad",(I52-(+I52*T52)),IF(Q52="Impacto",I52,"")),"")</f>
        <v/>
      </c>
      <c r="Y52" s="129" t="str">
        <f>IFERROR(IF(X52="","",IF(X52&lt;=0.2,"Muy Baja",IF(X52&lt;=0.4,"Baja",IF(X52&lt;=0.6,"Media",IF(X52&lt;=0.8,"Alta","Muy Alta"))))),"")</f>
        <v/>
      </c>
      <c r="Z52" s="130" t="str">
        <f>+X52</f>
        <v/>
      </c>
      <c r="AA52" s="129" t="str">
        <f>IFERROR(IF(AB52="","",IF(AB52&lt;=0.2,"Leve",IF(AB52&lt;=0.4,"Menor",IF(AB52&lt;=0.6,"Moderado",IF(AB52&lt;=0.8,"Mayor","Catastrófico"))))),"")</f>
        <v/>
      </c>
      <c r="AB52" s="130" t="str">
        <f>IFERROR(IF(Q52="Impacto",(M52-(+M52*T52)),IF(Q52="Probabilidad",M52,"")),"")</f>
        <v/>
      </c>
      <c r="AC52" s="131"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132"/>
      <c r="AE52" s="133"/>
      <c r="AF52" s="134"/>
      <c r="AG52" s="135"/>
      <c r="AH52" s="135"/>
      <c r="AI52" s="133"/>
      <c r="AJ52" s="134"/>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row>
    <row r="53" spans="1:68" ht="151.5" customHeight="1" x14ac:dyDescent="0.3">
      <c r="A53" s="647"/>
      <c r="B53" s="650"/>
      <c r="C53" s="650"/>
      <c r="D53" s="650"/>
      <c r="E53" s="653"/>
      <c r="F53" s="650"/>
      <c r="G53" s="656"/>
      <c r="H53" s="659"/>
      <c r="I53" s="641"/>
      <c r="J53" s="662"/>
      <c r="K53" s="641">
        <f ca="1">IF(NOT(ISERROR(MATCH(J53,_xlfn.ANCHORARRAY(E64),0))),I66&amp;"Por favor no seleccionar los criterios de impacto",J53)</f>
        <v>0</v>
      </c>
      <c r="L53" s="659"/>
      <c r="M53" s="641"/>
      <c r="N53" s="644"/>
      <c r="O53" s="123">
        <v>2</v>
      </c>
      <c r="P53" s="124"/>
      <c r="Q53" s="125" t="str">
        <f>IF(OR(R53="Preventivo",R53="Detectivo"),"Probabilidad",IF(R53="Correctivo","Impacto",""))</f>
        <v/>
      </c>
      <c r="R53" s="126"/>
      <c r="S53" s="126"/>
      <c r="T53" s="127" t="str">
        <f t="shared" ref="T53:T57" si="55">IF(AND(R53="Preventivo",S53="Automático"),"50%",IF(AND(R53="Preventivo",S53="Manual"),"40%",IF(AND(R53="Detectivo",S53="Automático"),"40%",IF(AND(R53="Detectivo",S53="Manual"),"30%",IF(AND(R53="Correctivo",S53="Automático"),"35%",IF(AND(R53="Correctivo",S53="Manual"),"25%",""))))))</f>
        <v/>
      </c>
      <c r="U53" s="126"/>
      <c r="V53" s="126"/>
      <c r="W53" s="126"/>
      <c r="X53" s="128" t="str">
        <f>IFERROR(IF(AND(Q52="Probabilidad",Q53="Probabilidad"),(Z52-(+Z52*T53)),IF(Q53="Probabilidad",(I52-(+I52*T53)),IF(Q53="Impacto",Z52,""))),"")</f>
        <v/>
      </c>
      <c r="Y53" s="129" t="str">
        <f t="shared" si="1"/>
        <v/>
      </c>
      <c r="Z53" s="130" t="str">
        <f t="shared" ref="Z53:Z57" si="56">+X53</f>
        <v/>
      </c>
      <c r="AA53" s="129" t="str">
        <f t="shared" si="3"/>
        <v/>
      </c>
      <c r="AB53" s="130" t="str">
        <f>IFERROR(IF(AND(Q52="Impacto",Q53="Impacto"),(AB46-(+AB46*T53)),IF(Q53="Impacto",($M$52-(+$M$52*T53)),IF(Q53="Probabilidad",AB46,""))),"")</f>
        <v/>
      </c>
      <c r="AC53" s="131"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132"/>
      <c r="AE53" s="133"/>
      <c r="AF53" s="134"/>
      <c r="AG53" s="135"/>
      <c r="AH53" s="135"/>
      <c r="AI53" s="133"/>
      <c r="AJ53" s="134"/>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row>
    <row r="54" spans="1:68" ht="151.5" customHeight="1" x14ac:dyDescent="0.3">
      <c r="A54" s="647"/>
      <c r="B54" s="650"/>
      <c r="C54" s="650"/>
      <c r="D54" s="650"/>
      <c r="E54" s="653"/>
      <c r="F54" s="650"/>
      <c r="G54" s="656"/>
      <c r="H54" s="659"/>
      <c r="I54" s="641"/>
      <c r="J54" s="662"/>
      <c r="K54" s="641">
        <f ca="1">IF(NOT(ISERROR(MATCH(J54,_xlfn.ANCHORARRAY(E65),0))),I67&amp;"Por favor no seleccionar los criterios de impacto",J54)</f>
        <v>0</v>
      </c>
      <c r="L54" s="659"/>
      <c r="M54" s="641"/>
      <c r="N54" s="644"/>
      <c r="O54" s="123">
        <v>3</v>
      </c>
      <c r="P54" s="136"/>
      <c r="Q54" s="125" t="str">
        <f>IF(OR(R54="Preventivo",R54="Detectivo"),"Probabilidad",IF(R54="Correctivo","Impacto",""))</f>
        <v/>
      </c>
      <c r="R54" s="126"/>
      <c r="S54" s="126"/>
      <c r="T54" s="127" t="str">
        <f t="shared" si="55"/>
        <v/>
      </c>
      <c r="U54" s="126"/>
      <c r="V54" s="126"/>
      <c r="W54" s="126"/>
      <c r="X54" s="128" t="str">
        <f>IFERROR(IF(AND(Q53="Probabilidad",Q54="Probabilidad"),(Z53-(+Z53*T54)),IF(AND(Q53="Impacto",Q54="Probabilidad"),(Z52-(+Z52*T54)),IF(Q54="Impacto",Z53,""))),"")</f>
        <v/>
      </c>
      <c r="Y54" s="129" t="str">
        <f t="shared" si="1"/>
        <v/>
      </c>
      <c r="Z54" s="130" t="str">
        <f t="shared" si="56"/>
        <v/>
      </c>
      <c r="AA54" s="129" t="str">
        <f t="shared" si="3"/>
        <v/>
      </c>
      <c r="AB54" s="130" t="str">
        <f>IFERROR(IF(AND(Q53="Impacto",Q54="Impacto"),(AB53-(+AB53*T54)),IF(AND(Q53="Probabilidad",Q54="Impacto"),(AB52-(+AB52*T54)),IF(Q54="Probabilidad",AB53,""))),"")</f>
        <v/>
      </c>
      <c r="AC54" s="131" t="str">
        <f t="shared" si="57"/>
        <v/>
      </c>
      <c r="AD54" s="132"/>
      <c r="AE54" s="133"/>
      <c r="AF54" s="134"/>
      <c r="AG54" s="135"/>
      <c r="AH54" s="135"/>
      <c r="AI54" s="133"/>
      <c r="AJ54" s="134"/>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row>
    <row r="55" spans="1:68" ht="151.5" customHeight="1" x14ac:dyDescent="0.3">
      <c r="A55" s="647"/>
      <c r="B55" s="650"/>
      <c r="C55" s="650"/>
      <c r="D55" s="650"/>
      <c r="E55" s="653"/>
      <c r="F55" s="650"/>
      <c r="G55" s="656"/>
      <c r="H55" s="659"/>
      <c r="I55" s="641"/>
      <c r="J55" s="662"/>
      <c r="K55" s="641">
        <f ca="1">IF(NOT(ISERROR(MATCH(J55,_xlfn.ANCHORARRAY(E66),0))),I68&amp;"Por favor no seleccionar los criterios de impacto",J55)</f>
        <v>0</v>
      </c>
      <c r="L55" s="659"/>
      <c r="M55" s="641"/>
      <c r="N55" s="644"/>
      <c r="O55" s="123">
        <v>4</v>
      </c>
      <c r="P55" s="124"/>
      <c r="Q55" s="125" t="str">
        <f t="shared" ref="Q55:Q57" si="58">IF(OR(R55="Preventivo",R55="Detectivo"),"Probabilidad",IF(R55="Correctivo","Impacto",""))</f>
        <v/>
      </c>
      <c r="R55" s="126"/>
      <c r="S55" s="126"/>
      <c r="T55" s="127" t="str">
        <f t="shared" si="55"/>
        <v/>
      </c>
      <c r="U55" s="126"/>
      <c r="V55" s="126"/>
      <c r="W55" s="126"/>
      <c r="X55" s="128" t="str">
        <f t="shared" ref="X55:X57" si="59">IFERROR(IF(AND(Q54="Probabilidad",Q55="Probabilidad"),(Z54-(+Z54*T55)),IF(AND(Q54="Impacto",Q55="Probabilidad"),(Z53-(+Z53*T55)),IF(Q55="Impacto",Z54,""))),"")</f>
        <v/>
      </c>
      <c r="Y55" s="129" t="str">
        <f t="shared" si="1"/>
        <v/>
      </c>
      <c r="Z55" s="130" t="str">
        <f t="shared" si="56"/>
        <v/>
      </c>
      <c r="AA55" s="129" t="str">
        <f t="shared" si="3"/>
        <v/>
      </c>
      <c r="AB55" s="130" t="str">
        <f t="shared" ref="AB55:AB57" si="60">IFERROR(IF(AND(Q54="Impacto",Q55="Impacto"),(AB54-(+AB54*T55)),IF(AND(Q54="Probabilidad",Q55="Impacto"),(AB53-(+AB53*T55)),IF(Q55="Probabilidad",AB54,""))),"")</f>
        <v/>
      </c>
      <c r="AC55" s="131"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132"/>
      <c r="AE55" s="133"/>
      <c r="AF55" s="134"/>
      <c r="AG55" s="135"/>
      <c r="AH55" s="135"/>
      <c r="AI55" s="133"/>
      <c r="AJ55" s="134"/>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row>
    <row r="56" spans="1:68" ht="151.5" customHeight="1" x14ac:dyDescent="0.3">
      <c r="A56" s="647"/>
      <c r="B56" s="650"/>
      <c r="C56" s="650"/>
      <c r="D56" s="650"/>
      <c r="E56" s="653"/>
      <c r="F56" s="650"/>
      <c r="G56" s="656"/>
      <c r="H56" s="659"/>
      <c r="I56" s="641"/>
      <c r="J56" s="662"/>
      <c r="K56" s="641">
        <f ca="1">IF(NOT(ISERROR(MATCH(J56,_xlfn.ANCHORARRAY(E67),0))),I69&amp;"Por favor no seleccionar los criterios de impacto",J56)</f>
        <v>0</v>
      </c>
      <c r="L56" s="659"/>
      <c r="M56" s="641"/>
      <c r="N56" s="644"/>
      <c r="O56" s="123">
        <v>5</v>
      </c>
      <c r="P56" s="124"/>
      <c r="Q56" s="125" t="str">
        <f t="shared" si="58"/>
        <v/>
      </c>
      <c r="R56" s="126"/>
      <c r="S56" s="126"/>
      <c r="T56" s="127" t="str">
        <f t="shared" si="55"/>
        <v/>
      </c>
      <c r="U56" s="126"/>
      <c r="V56" s="126"/>
      <c r="W56" s="126"/>
      <c r="X56" s="128" t="str">
        <f t="shared" si="59"/>
        <v/>
      </c>
      <c r="Y56" s="129" t="str">
        <f t="shared" si="1"/>
        <v/>
      </c>
      <c r="Z56" s="130" t="str">
        <f t="shared" si="56"/>
        <v/>
      </c>
      <c r="AA56" s="129" t="str">
        <f t="shared" si="3"/>
        <v/>
      </c>
      <c r="AB56" s="130" t="str">
        <f t="shared" si="60"/>
        <v/>
      </c>
      <c r="AC56" s="131"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132"/>
      <c r="AE56" s="133"/>
      <c r="AF56" s="134"/>
      <c r="AG56" s="135"/>
      <c r="AH56" s="135"/>
      <c r="AI56" s="133"/>
      <c r="AJ56" s="134"/>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row>
    <row r="57" spans="1:68" ht="151.5" customHeight="1" x14ac:dyDescent="0.3">
      <c r="A57" s="648"/>
      <c r="B57" s="651"/>
      <c r="C57" s="651"/>
      <c r="D57" s="651"/>
      <c r="E57" s="654"/>
      <c r="F57" s="651"/>
      <c r="G57" s="657"/>
      <c r="H57" s="660"/>
      <c r="I57" s="642"/>
      <c r="J57" s="663"/>
      <c r="K57" s="642">
        <f ca="1">IF(NOT(ISERROR(MATCH(J57,_xlfn.ANCHORARRAY(E68),0))),I70&amp;"Por favor no seleccionar los criterios de impacto",J57)</f>
        <v>0</v>
      </c>
      <c r="L57" s="660"/>
      <c r="M57" s="642"/>
      <c r="N57" s="645"/>
      <c r="O57" s="123">
        <v>6</v>
      </c>
      <c r="P57" s="124"/>
      <c r="Q57" s="125" t="str">
        <f t="shared" si="58"/>
        <v/>
      </c>
      <c r="R57" s="126"/>
      <c r="S57" s="126"/>
      <c r="T57" s="127" t="str">
        <f t="shared" si="55"/>
        <v/>
      </c>
      <c r="U57" s="126"/>
      <c r="V57" s="126"/>
      <c r="W57" s="126"/>
      <c r="X57" s="128" t="str">
        <f t="shared" si="59"/>
        <v/>
      </c>
      <c r="Y57" s="129" t="str">
        <f t="shared" si="1"/>
        <v/>
      </c>
      <c r="Z57" s="130" t="str">
        <f t="shared" si="56"/>
        <v/>
      </c>
      <c r="AA57" s="129" t="str">
        <f t="shared" si="3"/>
        <v/>
      </c>
      <c r="AB57" s="130" t="str">
        <f t="shared" si="60"/>
        <v/>
      </c>
      <c r="AC57" s="131" t="str">
        <f t="shared" si="61"/>
        <v/>
      </c>
      <c r="AD57" s="132"/>
      <c r="AE57" s="133"/>
      <c r="AF57" s="134"/>
      <c r="AG57" s="135"/>
      <c r="AH57" s="135"/>
      <c r="AI57" s="133"/>
      <c r="AJ57" s="134"/>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row>
    <row r="58" spans="1:68" ht="151.5" customHeight="1" x14ac:dyDescent="0.3">
      <c r="A58" s="646">
        <v>9</v>
      </c>
      <c r="B58" s="649"/>
      <c r="C58" s="649"/>
      <c r="D58" s="649"/>
      <c r="E58" s="652"/>
      <c r="F58" s="649"/>
      <c r="G58" s="655"/>
      <c r="H58" s="658" t="str">
        <f>IF(G58&lt;=0,"",IF(G58&lt;=2,"Muy Baja",IF(G58&lt;=24,"Baja",IF(G58&lt;=500,"Media",IF(G58&lt;=5000,"Alta","Muy Alta")))))</f>
        <v/>
      </c>
      <c r="I58" s="640" t="str">
        <f>IF(H58="","",IF(H58="Muy Baja",0.2,IF(H58="Baja",0.4,IF(H58="Media",0.6,IF(H58="Alta",0.8,IF(H58="Muy Alta",1,))))))</f>
        <v/>
      </c>
      <c r="J58" s="661"/>
      <c r="K58" s="640">
        <f ca="1">IF(NOT(ISERROR(MATCH(J58,'Tabla Impacto'!$B$221:$B$223,0))),'Tabla Impacto'!$F$223&amp;"Por favor no seleccionar los criterios de impacto(Afectación Económica o presupuestal y Pérdida Reputacional)",J58)</f>
        <v>0</v>
      </c>
      <c r="L58" s="658" t="str">
        <f ca="1">IF(OR(K58='Tabla Impacto'!$C$11,K58='Tabla Impacto'!$D$11),"Leve",IF(OR(K58='Tabla Impacto'!$C$12,K58='Tabla Impacto'!$D$12),"Menor",IF(OR(K58='Tabla Impacto'!$C$13,K58='Tabla Impacto'!$D$13),"Moderado",IF(OR(K58='Tabla Impacto'!$C$14,K58='Tabla Impacto'!$D$14),"Mayor",IF(OR(K58='Tabla Impacto'!$C$15,K58='Tabla Impacto'!$D$15),"Catastrófico","")))))</f>
        <v/>
      </c>
      <c r="M58" s="640" t="str">
        <f ca="1">IF(L58="","",IF(L58="Leve",0.2,IF(L58="Menor",0.4,IF(L58="Moderado",0.6,IF(L58="Mayor",0.8,IF(L58="Catastrófico",1,))))))</f>
        <v/>
      </c>
      <c r="N58" s="643" t="str">
        <f ca="1">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123">
        <v>1</v>
      </c>
      <c r="P58" s="124"/>
      <c r="Q58" s="125" t="str">
        <f>IF(OR(R58="Preventivo",R58="Detectivo"),"Probabilidad",IF(R58="Correctivo","Impacto",""))</f>
        <v/>
      </c>
      <c r="R58" s="126"/>
      <c r="S58" s="126"/>
      <c r="T58" s="127" t="str">
        <f>IF(AND(R58="Preventivo",S58="Automático"),"50%",IF(AND(R58="Preventivo",S58="Manual"),"40%",IF(AND(R58="Detectivo",S58="Automático"),"40%",IF(AND(R58="Detectivo",S58="Manual"),"30%",IF(AND(R58="Correctivo",S58="Automático"),"35%",IF(AND(R58="Correctivo",S58="Manual"),"25%",""))))))</f>
        <v/>
      </c>
      <c r="U58" s="126"/>
      <c r="V58" s="126"/>
      <c r="W58" s="126"/>
      <c r="X58" s="128" t="str">
        <f>IFERROR(IF(Q58="Probabilidad",(I58-(+I58*T58)),IF(Q58="Impacto",I58,"")),"")</f>
        <v/>
      </c>
      <c r="Y58" s="129" t="str">
        <f>IFERROR(IF(X58="","",IF(X58&lt;=0.2,"Muy Baja",IF(X58&lt;=0.4,"Baja",IF(X58&lt;=0.6,"Media",IF(X58&lt;=0.8,"Alta","Muy Alta"))))),"")</f>
        <v/>
      </c>
      <c r="Z58" s="130" t="str">
        <f>+X58</f>
        <v/>
      </c>
      <c r="AA58" s="129" t="str">
        <f>IFERROR(IF(AB58="","",IF(AB58&lt;=0.2,"Leve",IF(AB58&lt;=0.4,"Menor",IF(AB58&lt;=0.6,"Moderado",IF(AB58&lt;=0.8,"Mayor","Catastrófico"))))),"")</f>
        <v/>
      </c>
      <c r="AB58" s="130" t="str">
        <f>IFERROR(IF(Q58="Impacto",(M58-(+M58*T58)),IF(Q58="Probabilidad",M58,"")),"")</f>
        <v/>
      </c>
      <c r="AC58" s="131"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132"/>
      <c r="AE58" s="133"/>
      <c r="AF58" s="134"/>
      <c r="AG58" s="135"/>
      <c r="AH58" s="135"/>
      <c r="AI58" s="133"/>
      <c r="AJ58" s="134"/>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row>
    <row r="59" spans="1:68" ht="151.5" customHeight="1" x14ac:dyDescent="0.3">
      <c r="A59" s="647"/>
      <c r="B59" s="650"/>
      <c r="C59" s="650"/>
      <c r="D59" s="650"/>
      <c r="E59" s="653"/>
      <c r="F59" s="650"/>
      <c r="G59" s="656"/>
      <c r="H59" s="659"/>
      <c r="I59" s="641"/>
      <c r="J59" s="662"/>
      <c r="K59" s="641">
        <f ca="1">IF(NOT(ISERROR(MATCH(J59,_xlfn.ANCHORARRAY(E70),0))),I72&amp;"Por favor no seleccionar los criterios de impacto",J59)</f>
        <v>0</v>
      </c>
      <c r="L59" s="659"/>
      <c r="M59" s="641"/>
      <c r="N59" s="644"/>
      <c r="O59" s="123">
        <v>2</v>
      </c>
      <c r="P59" s="124"/>
      <c r="Q59" s="125" t="str">
        <f>IF(OR(R59="Preventivo",R59="Detectivo"),"Probabilidad",IF(R59="Correctivo","Impacto",""))</f>
        <v/>
      </c>
      <c r="R59" s="126"/>
      <c r="S59" s="126"/>
      <c r="T59" s="127" t="str">
        <f t="shared" ref="T59:T63" si="62">IF(AND(R59="Preventivo",S59="Automático"),"50%",IF(AND(R59="Preventivo",S59="Manual"),"40%",IF(AND(R59="Detectivo",S59="Automático"),"40%",IF(AND(R59="Detectivo",S59="Manual"),"30%",IF(AND(R59="Correctivo",S59="Automático"),"35%",IF(AND(R59="Correctivo",S59="Manual"),"25%",""))))))</f>
        <v/>
      </c>
      <c r="U59" s="126"/>
      <c r="V59" s="126"/>
      <c r="W59" s="126"/>
      <c r="X59" s="128" t="str">
        <f>IFERROR(IF(AND(Q58="Probabilidad",Q59="Probabilidad"),(Z58-(+Z58*T59)),IF(Q59="Probabilidad",(I58-(+I58*T59)),IF(Q59="Impacto",Z58,""))),"")</f>
        <v/>
      </c>
      <c r="Y59" s="129" t="str">
        <f t="shared" si="1"/>
        <v/>
      </c>
      <c r="Z59" s="130" t="str">
        <f t="shared" ref="Z59:Z63" si="63">+X59</f>
        <v/>
      </c>
      <c r="AA59" s="129" t="str">
        <f t="shared" si="3"/>
        <v/>
      </c>
      <c r="AB59" s="130" t="str">
        <f>IFERROR(IF(AND(Q58="Impacto",Q59="Impacto"),(AB52-(+AB52*T59)),IF(Q59="Impacto",($M$58-(+$M$58*T59)),IF(Q59="Probabilidad",AB52,""))),"")</f>
        <v/>
      </c>
      <c r="AC59" s="131"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132"/>
      <c r="AE59" s="133"/>
      <c r="AF59" s="134"/>
      <c r="AG59" s="135"/>
      <c r="AH59" s="135"/>
      <c r="AI59" s="133"/>
      <c r="AJ59" s="134"/>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row>
    <row r="60" spans="1:68" ht="151.5" customHeight="1" x14ac:dyDescent="0.3">
      <c r="A60" s="647"/>
      <c r="B60" s="650"/>
      <c r="C60" s="650"/>
      <c r="D60" s="650"/>
      <c r="E60" s="653"/>
      <c r="F60" s="650"/>
      <c r="G60" s="656"/>
      <c r="H60" s="659"/>
      <c r="I60" s="641"/>
      <c r="J60" s="662"/>
      <c r="K60" s="641">
        <f ca="1">IF(NOT(ISERROR(MATCH(J60,_xlfn.ANCHORARRAY(E71),0))),I73&amp;"Por favor no seleccionar los criterios de impacto",J60)</f>
        <v>0</v>
      </c>
      <c r="L60" s="659"/>
      <c r="M60" s="641"/>
      <c r="N60" s="644"/>
      <c r="O60" s="123">
        <v>3</v>
      </c>
      <c r="P60" s="136"/>
      <c r="Q60" s="125" t="str">
        <f>IF(OR(R60="Preventivo",R60="Detectivo"),"Probabilidad",IF(R60="Correctivo","Impacto",""))</f>
        <v/>
      </c>
      <c r="R60" s="126"/>
      <c r="S60" s="126"/>
      <c r="T60" s="127" t="str">
        <f t="shared" si="62"/>
        <v/>
      </c>
      <c r="U60" s="126"/>
      <c r="V60" s="126"/>
      <c r="W60" s="126"/>
      <c r="X60" s="128" t="str">
        <f>IFERROR(IF(AND(Q59="Probabilidad",Q60="Probabilidad"),(Z59-(+Z59*T60)),IF(AND(Q59="Impacto",Q60="Probabilidad"),(Z58-(+Z58*T60)),IF(Q60="Impacto",Z59,""))),"")</f>
        <v/>
      </c>
      <c r="Y60" s="129" t="str">
        <f t="shared" si="1"/>
        <v/>
      </c>
      <c r="Z60" s="130" t="str">
        <f t="shared" si="63"/>
        <v/>
      </c>
      <c r="AA60" s="129" t="str">
        <f t="shared" si="3"/>
        <v/>
      </c>
      <c r="AB60" s="130" t="str">
        <f>IFERROR(IF(AND(Q59="Impacto",Q60="Impacto"),(AB59-(+AB59*T60)),IF(AND(Q59="Probabilidad",Q60="Impacto"),(AB58-(+AB58*T60)),IF(Q60="Probabilidad",AB59,""))),"")</f>
        <v/>
      </c>
      <c r="AC60" s="131" t="str">
        <f t="shared" si="64"/>
        <v/>
      </c>
      <c r="AD60" s="132"/>
      <c r="AE60" s="133"/>
      <c r="AF60" s="134"/>
      <c r="AG60" s="135"/>
      <c r="AH60" s="135"/>
      <c r="AI60" s="133"/>
      <c r="AJ60" s="134"/>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row>
    <row r="61" spans="1:68" ht="151.5" customHeight="1" x14ac:dyDescent="0.3">
      <c r="A61" s="647"/>
      <c r="B61" s="650"/>
      <c r="C61" s="650"/>
      <c r="D61" s="650"/>
      <c r="E61" s="653"/>
      <c r="F61" s="650"/>
      <c r="G61" s="656"/>
      <c r="H61" s="659"/>
      <c r="I61" s="641"/>
      <c r="J61" s="662"/>
      <c r="K61" s="641">
        <f ca="1">IF(NOT(ISERROR(MATCH(J61,_xlfn.ANCHORARRAY(E72),0))),I74&amp;"Por favor no seleccionar los criterios de impacto",J61)</f>
        <v>0</v>
      </c>
      <c r="L61" s="659"/>
      <c r="M61" s="641"/>
      <c r="N61" s="644"/>
      <c r="O61" s="123">
        <v>4</v>
      </c>
      <c r="P61" s="124"/>
      <c r="Q61" s="125" t="str">
        <f t="shared" ref="Q61:Q63" si="65">IF(OR(R61="Preventivo",R61="Detectivo"),"Probabilidad",IF(R61="Correctivo","Impacto",""))</f>
        <v/>
      </c>
      <c r="R61" s="126"/>
      <c r="S61" s="126"/>
      <c r="T61" s="127" t="str">
        <f t="shared" si="62"/>
        <v/>
      </c>
      <c r="U61" s="126"/>
      <c r="V61" s="126"/>
      <c r="W61" s="126"/>
      <c r="X61" s="128" t="str">
        <f t="shared" ref="X61:X63" si="66">IFERROR(IF(AND(Q60="Probabilidad",Q61="Probabilidad"),(Z60-(+Z60*T61)),IF(AND(Q60="Impacto",Q61="Probabilidad"),(Z59-(+Z59*T61)),IF(Q61="Impacto",Z60,""))),"")</f>
        <v/>
      </c>
      <c r="Y61" s="129" t="str">
        <f t="shared" si="1"/>
        <v/>
      </c>
      <c r="Z61" s="130" t="str">
        <f t="shared" si="63"/>
        <v/>
      </c>
      <c r="AA61" s="129" t="str">
        <f t="shared" si="3"/>
        <v/>
      </c>
      <c r="AB61" s="130" t="str">
        <f t="shared" ref="AB61:AB63" si="67">IFERROR(IF(AND(Q60="Impacto",Q61="Impacto"),(AB60-(+AB60*T61)),IF(AND(Q60="Probabilidad",Q61="Impacto"),(AB59-(+AB59*T61)),IF(Q61="Probabilidad",AB60,""))),"")</f>
        <v/>
      </c>
      <c r="AC61" s="131"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132"/>
      <c r="AE61" s="133"/>
      <c r="AF61" s="134"/>
      <c r="AG61" s="135"/>
      <c r="AH61" s="135"/>
      <c r="AI61" s="133"/>
      <c r="AJ61" s="134"/>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row>
    <row r="62" spans="1:68" ht="151.5" customHeight="1" x14ac:dyDescent="0.3">
      <c r="A62" s="647"/>
      <c r="B62" s="650"/>
      <c r="C62" s="650"/>
      <c r="D62" s="650"/>
      <c r="E62" s="653"/>
      <c r="F62" s="650"/>
      <c r="G62" s="656"/>
      <c r="H62" s="659"/>
      <c r="I62" s="641"/>
      <c r="J62" s="662"/>
      <c r="K62" s="641">
        <f ca="1">IF(NOT(ISERROR(MATCH(J62,_xlfn.ANCHORARRAY(E73),0))),I75&amp;"Por favor no seleccionar los criterios de impacto",J62)</f>
        <v>0</v>
      </c>
      <c r="L62" s="659"/>
      <c r="M62" s="641"/>
      <c r="N62" s="644"/>
      <c r="O62" s="123">
        <v>5</v>
      </c>
      <c r="P62" s="124"/>
      <c r="Q62" s="125" t="str">
        <f t="shared" si="65"/>
        <v/>
      </c>
      <c r="R62" s="126"/>
      <c r="S62" s="126"/>
      <c r="T62" s="127" t="str">
        <f t="shared" si="62"/>
        <v/>
      </c>
      <c r="U62" s="126"/>
      <c r="V62" s="126"/>
      <c r="W62" s="126"/>
      <c r="X62" s="128" t="str">
        <f t="shared" si="66"/>
        <v/>
      </c>
      <c r="Y62" s="129" t="str">
        <f t="shared" si="1"/>
        <v/>
      </c>
      <c r="Z62" s="130" t="str">
        <f t="shared" si="63"/>
        <v/>
      </c>
      <c r="AA62" s="129" t="str">
        <f t="shared" si="3"/>
        <v/>
      </c>
      <c r="AB62" s="130" t="str">
        <f t="shared" si="67"/>
        <v/>
      </c>
      <c r="AC62" s="131"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132"/>
      <c r="AE62" s="133"/>
      <c r="AF62" s="134"/>
      <c r="AG62" s="135"/>
      <c r="AH62" s="135"/>
      <c r="AI62" s="133"/>
      <c r="AJ62" s="134"/>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row>
    <row r="63" spans="1:68" ht="151.5" customHeight="1" x14ac:dyDescent="0.3">
      <c r="A63" s="648"/>
      <c r="B63" s="651"/>
      <c r="C63" s="651"/>
      <c r="D63" s="651"/>
      <c r="E63" s="654"/>
      <c r="F63" s="651"/>
      <c r="G63" s="657"/>
      <c r="H63" s="660"/>
      <c r="I63" s="642"/>
      <c r="J63" s="663"/>
      <c r="K63" s="642">
        <f ca="1">IF(NOT(ISERROR(MATCH(J63,_xlfn.ANCHORARRAY(E74),0))),I76&amp;"Por favor no seleccionar los criterios de impacto",J63)</f>
        <v>0</v>
      </c>
      <c r="L63" s="660"/>
      <c r="M63" s="642"/>
      <c r="N63" s="645"/>
      <c r="O63" s="123">
        <v>6</v>
      </c>
      <c r="P63" s="124"/>
      <c r="Q63" s="125" t="str">
        <f t="shared" si="65"/>
        <v/>
      </c>
      <c r="R63" s="126"/>
      <c r="S63" s="126"/>
      <c r="T63" s="127" t="str">
        <f t="shared" si="62"/>
        <v/>
      </c>
      <c r="U63" s="126"/>
      <c r="V63" s="126"/>
      <c r="W63" s="126"/>
      <c r="X63" s="128" t="str">
        <f t="shared" si="66"/>
        <v/>
      </c>
      <c r="Y63" s="129" t="str">
        <f t="shared" si="1"/>
        <v/>
      </c>
      <c r="Z63" s="130" t="str">
        <f t="shared" si="63"/>
        <v/>
      </c>
      <c r="AA63" s="129" t="str">
        <f t="shared" si="3"/>
        <v/>
      </c>
      <c r="AB63" s="130" t="str">
        <f t="shared" si="67"/>
        <v/>
      </c>
      <c r="AC63" s="131" t="str">
        <f t="shared" si="68"/>
        <v/>
      </c>
      <c r="AD63" s="132"/>
      <c r="AE63" s="133"/>
      <c r="AF63" s="134"/>
      <c r="AG63" s="135"/>
      <c r="AH63" s="135"/>
      <c r="AI63" s="133"/>
      <c r="AJ63" s="134"/>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row>
    <row r="64" spans="1:68" ht="151.5" customHeight="1" x14ac:dyDescent="0.3">
      <c r="A64" s="646">
        <v>10</v>
      </c>
      <c r="B64" s="649"/>
      <c r="C64" s="649"/>
      <c r="D64" s="649"/>
      <c r="E64" s="652"/>
      <c r="F64" s="649"/>
      <c r="G64" s="655"/>
      <c r="H64" s="658" t="str">
        <f>IF(G64&lt;=0,"",IF(G64&lt;=2,"Muy Baja",IF(G64&lt;=24,"Baja",IF(G64&lt;=500,"Media",IF(G64&lt;=5000,"Alta","Muy Alta")))))</f>
        <v/>
      </c>
      <c r="I64" s="640" t="str">
        <f>IF(H64="","",IF(H64="Muy Baja",0.2,IF(H64="Baja",0.4,IF(H64="Media",0.6,IF(H64="Alta",0.8,IF(H64="Muy Alta",1,))))))</f>
        <v/>
      </c>
      <c r="J64" s="661"/>
      <c r="K64" s="640">
        <f ca="1">IF(NOT(ISERROR(MATCH(J64,'Tabla Impacto'!$B$221:$B$223,0))),'Tabla Impacto'!$F$223&amp;"Por favor no seleccionar los criterios de impacto(Afectación Económica o presupuestal y Pérdida Reputacional)",J64)</f>
        <v>0</v>
      </c>
      <c r="L64" s="658" t="str">
        <f ca="1">IF(OR(K64='Tabla Impacto'!$C$11,K64='Tabla Impacto'!$D$11),"Leve",IF(OR(K64='Tabla Impacto'!$C$12,K64='Tabla Impacto'!$D$12),"Menor",IF(OR(K64='Tabla Impacto'!$C$13,K64='Tabla Impacto'!$D$13),"Moderado",IF(OR(K64='Tabla Impacto'!$C$14,K64='Tabla Impacto'!$D$14),"Mayor",IF(OR(K64='Tabla Impacto'!$C$15,K64='Tabla Impacto'!$D$15),"Catastrófico","")))))</f>
        <v/>
      </c>
      <c r="M64" s="640" t="str">
        <f ca="1">IF(L64="","",IF(L64="Leve",0.2,IF(L64="Menor",0.4,IF(L64="Moderado",0.6,IF(L64="Mayor",0.8,IF(L64="Catastrófico",1,))))))</f>
        <v/>
      </c>
      <c r="N64" s="643" t="str">
        <f ca="1">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123">
        <v>1</v>
      </c>
      <c r="P64" s="124"/>
      <c r="Q64" s="125" t="str">
        <f>IF(OR(R64="Preventivo",R64="Detectivo"),"Probabilidad",IF(R64="Correctivo","Impacto",""))</f>
        <v/>
      </c>
      <c r="R64" s="126"/>
      <c r="S64" s="126"/>
      <c r="T64" s="127" t="str">
        <f>IF(AND(R64="Preventivo",S64="Automático"),"50%",IF(AND(R64="Preventivo",S64="Manual"),"40%",IF(AND(R64="Detectivo",S64="Automático"),"40%",IF(AND(R64="Detectivo",S64="Manual"),"30%",IF(AND(R64="Correctivo",S64="Automático"),"35%",IF(AND(R64="Correctivo",S64="Manual"),"25%",""))))))</f>
        <v/>
      </c>
      <c r="U64" s="126"/>
      <c r="V64" s="126"/>
      <c r="W64" s="126"/>
      <c r="X64" s="128" t="str">
        <f>IFERROR(IF(Q64="Probabilidad",(I64-(+I64*T64)),IF(Q64="Impacto",I64,"")),"")</f>
        <v/>
      </c>
      <c r="Y64" s="129" t="str">
        <f>IFERROR(IF(X64="","",IF(X64&lt;=0.2,"Muy Baja",IF(X64&lt;=0.4,"Baja",IF(X64&lt;=0.6,"Media",IF(X64&lt;=0.8,"Alta","Muy Alta"))))),"")</f>
        <v/>
      </c>
      <c r="Z64" s="130" t="str">
        <f>+X64</f>
        <v/>
      </c>
      <c r="AA64" s="129" t="str">
        <f>IFERROR(IF(AB64="","",IF(AB64&lt;=0.2,"Leve",IF(AB64&lt;=0.4,"Menor",IF(AB64&lt;=0.6,"Moderado",IF(AB64&lt;=0.8,"Mayor","Catastrófico"))))),"")</f>
        <v/>
      </c>
      <c r="AB64" s="130" t="str">
        <f>IFERROR(IF(Q64="Impacto",(M64-(+M64*T64)),IF(Q64="Probabilidad",M64,"")),"")</f>
        <v/>
      </c>
      <c r="AC64" s="131"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132"/>
      <c r="AE64" s="133"/>
      <c r="AF64" s="134"/>
      <c r="AG64" s="135"/>
      <c r="AH64" s="135"/>
      <c r="AI64" s="133"/>
      <c r="AJ64" s="134"/>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row>
    <row r="65" spans="1:36" ht="151.5" customHeight="1" x14ac:dyDescent="0.3">
      <c r="A65" s="647"/>
      <c r="B65" s="650"/>
      <c r="C65" s="650"/>
      <c r="D65" s="650"/>
      <c r="E65" s="653"/>
      <c r="F65" s="650"/>
      <c r="G65" s="656"/>
      <c r="H65" s="659"/>
      <c r="I65" s="641"/>
      <c r="J65" s="662"/>
      <c r="K65" s="641">
        <f ca="1">IF(NOT(ISERROR(MATCH(J65,_xlfn.ANCHORARRAY(E76),0))),I78&amp;"Por favor no seleccionar los criterios de impacto",J65)</f>
        <v>0</v>
      </c>
      <c r="L65" s="659"/>
      <c r="M65" s="641"/>
      <c r="N65" s="644"/>
      <c r="O65" s="123">
        <v>2</v>
      </c>
      <c r="P65" s="124"/>
      <c r="Q65" s="125" t="str">
        <f>IF(OR(R65="Preventivo",R65="Detectivo"),"Probabilidad",IF(R65="Correctivo","Impacto",""))</f>
        <v/>
      </c>
      <c r="R65" s="126"/>
      <c r="S65" s="126"/>
      <c r="T65" s="127" t="str">
        <f t="shared" ref="T65:T69" si="69">IF(AND(R65="Preventivo",S65="Automático"),"50%",IF(AND(R65="Preventivo",S65="Manual"),"40%",IF(AND(R65="Detectivo",S65="Automático"),"40%",IF(AND(R65="Detectivo",S65="Manual"),"30%",IF(AND(R65="Correctivo",S65="Automático"),"35%",IF(AND(R65="Correctivo",S65="Manual"),"25%",""))))))</f>
        <v/>
      </c>
      <c r="U65" s="126"/>
      <c r="V65" s="126"/>
      <c r="W65" s="126"/>
      <c r="X65" s="128" t="str">
        <f>IFERROR(IF(AND(Q64="Probabilidad",Q65="Probabilidad"),(Z64-(+Z64*T65)),IF(Q65="Probabilidad",(I64-(+I64*T65)),IF(Q65="Impacto",Z64,""))),"")</f>
        <v/>
      </c>
      <c r="Y65" s="129" t="str">
        <f t="shared" si="1"/>
        <v/>
      </c>
      <c r="Z65" s="130" t="str">
        <f t="shared" ref="Z65:Z69" si="70">+X65</f>
        <v/>
      </c>
      <c r="AA65" s="129" t="str">
        <f t="shared" si="3"/>
        <v/>
      </c>
      <c r="AB65" s="130" t="str">
        <f>IFERROR(IF(AND(Q64="Impacto",Q65="Impacto"),(AB58-(+AB58*T65)),IF(Q65="Impacto",($M$64-(+$M$64*T65)),IF(Q65="Probabilidad",AB58,""))),"")</f>
        <v/>
      </c>
      <c r="AC65" s="131"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132"/>
      <c r="AE65" s="133"/>
      <c r="AF65" s="134"/>
      <c r="AG65" s="135"/>
      <c r="AH65" s="135"/>
      <c r="AI65" s="133"/>
      <c r="AJ65" s="134"/>
    </row>
    <row r="66" spans="1:36" ht="151.5" customHeight="1" x14ac:dyDescent="0.3">
      <c r="A66" s="647"/>
      <c r="B66" s="650"/>
      <c r="C66" s="650"/>
      <c r="D66" s="650"/>
      <c r="E66" s="653"/>
      <c r="F66" s="650"/>
      <c r="G66" s="656"/>
      <c r="H66" s="659"/>
      <c r="I66" s="641"/>
      <c r="J66" s="662"/>
      <c r="K66" s="641">
        <f ca="1">IF(NOT(ISERROR(MATCH(J66,_xlfn.ANCHORARRAY(E77),0))),I79&amp;"Por favor no seleccionar los criterios de impacto",J66)</f>
        <v>0</v>
      </c>
      <c r="L66" s="659"/>
      <c r="M66" s="641"/>
      <c r="N66" s="644"/>
      <c r="O66" s="123">
        <v>3</v>
      </c>
      <c r="P66" s="136"/>
      <c r="Q66" s="125" t="str">
        <f>IF(OR(R66="Preventivo",R66="Detectivo"),"Probabilidad",IF(R66="Correctivo","Impacto",""))</f>
        <v/>
      </c>
      <c r="R66" s="126"/>
      <c r="S66" s="126"/>
      <c r="T66" s="127" t="str">
        <f t="shared" si="69"/>
        <v/>
      </c>
      <c r="U66" s="126"/>
      <c r="V66" s="126"/>
      <c r="W66" s="126"/>
      <c r="X66" s="128" t="str">
        <f>IFERROR(IF(AND(Q65="Probabilidad",Q66="Probabilidad"),(Z65-(+Z65*T66)),IF(AND(Q65="Impacto",Q66="Probabilidad"),(Z64-(+Z64*T66)),IF(Q66="Impacto",Z65,""))),"")</f>
        <v/>
      </c>
      <c r="Y66" s="129" t="str">
        <f t="shared" si="1"/>
        <v/>
      </c>
      <c r="Z66" s="130" t="str">
        <f t="shared" si="70"/>
        <v/>
      </c>
      <c r="AA66" s="129" t="str">
        <f t="shared" si="3"/>
        <v/>
      </c>
      <c r="AB66" s="130" t="str">
        <f>IFERROR(IF(AND(Q65="Impacto",Q66="Impacto"),(AB65-(+AB65*T66)),IF(AND(Q65="Probabilidad",Q66="Impacto"),(AB64-(+AB64*T66)),IF(Q66="Probabilidad",AB65,""))),"")</f>
        <v/>
      </c>
      <c r="AC66" s="131" t="str">
        <f t="shared" si="71"/>
        <v/>
      </c>
      <c r="AD66" s="132"/>
      <c r="AE66" s="133"/>
      <c r="AF66" s="134"/>
      <c r="AG66" s="135"/>
      <c r="AH66" s="135"/>
      <c r="AI66" s="133"/>
      <c r="AJ66" s="134"/>
    </row>
    <row r="67" spans="1:36" ht="151.5" customHeight="1" x14ac:dyDescent="0.3">
      <c r="A67" s="647"/>
      <c r="B67" s="650"/>
      <c r="C67" s="650"/>
      <c r="D67" s="650"/>
      <c r="E67" s="653"/>
      <c r="F67" s="650"/>
      <c r="G67" s="656"/>
      <c r="H67" s="659"/>
      <c r="I67" s="641"/>
      <c r="J67" s="662"/>
      <c r="K67" s="641">
        <f ca="1">IF(NOT(ISERROR(MATCH(J67,_xlfn.ANCHORARRAY(E78),0))),I80&amp;"Por favor no seleccionar los criterios de impacto",J67)</f>
        <v>0</v>
      </c>
      <c r="L67" s="659"/>
      <c r="M67" s="641"/>
      <c r="N67" s="644"/>
      <c r="O67" s="123">
        <v>4</v>
      </c>
      <c r="P67" s="124"/>
      <c r="Q67" s="125" t="str">
        <f t="shared" ref="Q67:Q69" si="72">IF(OR(R67="Preventivo",R67="Detectivo"),"Probabilidad",IF(R67="Correctivo","Impacto",""))</f>
        <v/>
      </c>
      <c r="R67" s="126"/>
      <c r="S67" s="126"/>
      <c r="T67" s="127" t="str">
        <f t="shared" si="69"/>
        <v/>
      </c>
      <c r="U67" s="126"/>
      <c r="V67" s="126"/>
      <c r="W67" s="126"/>
      <c r="X67" s="128" t="str">
        <f t="shared" ref="X67:X69" si="73">IFERROR(IF(AND(Q66="Probabilidad",Q67="Probabilidad"),(Z66-(+Z66*T67)),IF(AND(Q66="Impacto",Q67="Probabilidad"),(Z65-(+Z65*T67)),IF(Q67="Impacto",Z66,""))),"")</f>
        <v/>
      </c>
      <c r="Y67" s="129" t="str">
        <f t="shared" si="1"/>
        <v/>
      </c>
      <c r="Z67" s="130" t="str">
        <f t="shared" si="70"/>
        <v/>
      </c>
      <c r="AA67" s="129" t="str">
        <f t="shared" si="3"/>
        <v/>
      </c>
      <c r="AB67" s="130" t="str">
        <f t="shared" ref="AB67:AB69" si="74">IFERROR(IF(AND(Q66="Impacto",Q67="Impacto"),(AB66-(+AB66*T67)),IF(AND(Q66="Probabilidad",Q67="Impacto"),(AB65-(+AB65*T67)),IF(Q67="Probabilidad",AB66,""))),"")</f>
        <v/>
      </c>
      <c r="AC67" s="131"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132"/>
      <c r="AE67" s="133"/>
      <c r="AF67" s="134"/>
      <c r="AG67" s="135"/>
      <c r="AH67" s="135"/>
      <c r="AI67" s="133"/>
      <c r="AJ67" s="134"/>
    </row>
    <row r="68" spans="1:36" ht="151.5" customHeight="1" x14ac:dyDescent="0.3">
      <c r="A68" s="647"/>
      <c r="B68" s="650"/>
      <c r="C68" s="650"/>
      <c r="D68" s="650"/>
      <c r="E68" s="653"/>
      <c r="F68" s="650"/>
      <c r="G68" s="656"/>
      <c r="H68" s="659"/>
      <c r="I68" s="641"/>
      <c r="J68" s="662"/>
      <c r="K68" s="641">
        <f ca="1">IF(NOT(ISERROR(MATCH(J68,_xlfn.ANCHORARRAY(E79),0))),I81&amp;"Por favor no seleccionar los criterios de impacto",J68)</f>
        <v>0</v>
      </c>
      <c r="L68" s="659"/>
      <c r="M68" s="641"/>
      <c r="N68" s="644"/>
      <c r="O68" s="123">
        <v>5</v>
      </c>
      <c r="P68" s="124"/>
      <c r="Q68" s="125" t="str">
        <f t="shared" si="72"/>
        <v/>
      </c>
      <c r="R68" s="126"/>
      <c r="S68" s="126"/>
      <c r="T68" s="127" t="str">
        <f t="shared" si="69"/>
        <v/>
      </c>
      <c r="U68" s="126"/>
      <c r="V68" s="126"/>
      <c r="W68" s="126"/>
      <c r="X68" s="128" t="str">
        <f t="shared" si="73"/>
        <v/>
      </c>
      <c r="Y68" s="129" t="str">
        <f t="shared" si="1"/>
        <v/>
      </c>
      <c r="Z68" s="130" t="str">
        <f t="shared" si="70"/>
        <v/>
      </c>
      <c r="AA68" s="129" t="str">
        <f t="shared" si="3"/>
        <v/>
      </c>
      <c r="AB68" s="130" t="str">
        <f t="shared" si="74"/>
        <v/>
      </c>
      <c r="AC68" s="131"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132"/>
      <c r="AE68" s="133"/>
      <c r="AF68" s="134"/>
      <c r="AG68" s="135"/>
      <c r="AH68" s="135"/>
      <c r="AI68" s="133"/>
      <c r="AJ68" s="134"/>
    </row>
    <row r="69" spans="1:36" ht="151.5" customHeight="1" x14ac:dyDescent="0.3">
      <c r="A69" s="648"/>
      <c r="B69" s="651"/>
      <c r="C69" s="651"/>
      <c r="D69" s="651"/>
      <c r="E69" s="654"/>
      <c r="F69" s="651"/>
      <c r="G69" s="657"/>
      <c r="H69" s="660"/>
      <c r="I69" s="642"/>
      <c r="J69" s="663"/>
      <c r="K69" s="642">
        <f ca="1">IF(NOT(ISERROR(MATCH(J69,_xlfn.ANCHORARRAY(E80),0))),I82&amp;"Por favor no seleccionar los criterios de impacto",J69)</f>
        <v>0</v>
      </c>
      <c r="L69" s="660"/>
      <c r="M69" s="642"/>
      <c r="N69" s="645"/>
      <c r="O69" s="123">
        <v>6</v>
      </c>
      <c r="P69" s="124"/>
      <c r="Q69" s="125" t="str">
        <f t="shared" si="72"/>
        <v/>
      </c>
      <c r="R69" s="126"/>
      <c r="S69" s="126"/>
      <c r="T69" s="127" t="str">
        <f t="shared" si="69"/>
        <v/>
      </c>
      <c r="U69" s="126"/>
      <c r="V69" s="126"/>
      <c r="W69" s="126"/>
      <c r="X69" s="128" t="str">
        <f t="shared" si="73"/>
        <v/>
      </c>
      <c r="Y69" s="129" t="str">
        <f t="shared" si="1"/>
        <v/>
      </c>
      <c r="Z69" s="130" t="str">
        <f t="shared" si="70"/>
        <v/>
      </c>
      <c r="AA69" s="129" t="str">
        <f t="shared" si="3"/>
        <v/>
      </c>
      <c r="AB69" s="130" t="str">
        <f t="shared" si="74"/>
        <v/>
      </c>
      <c r="AC69" s="131" t="str">
        <f t="shared" si="75"/>
        <v/>
      </c>
      <c r="AD69" s="132"/>
      <c r="AE69" s="133"/>
      <c r="AF69" s="134"/>
      <c r="AG69" s="135"/>
      <c r="AH69" s="135"/>
      <c r="AI69" s="133"/>
      <c r="AJ69" s="134"/>
    </row>
    <row r="70" spans="1:36" ht="49.5" customHeight="1" x14ac:dyDescent="0.3">
      <c r="A70" s="6"/>
      <c r="B70" s="637" t="s">
        <v>131</v>
      </c>
      <c r="C70" s="638"/>
      <c r="D70" s="638"/>
      <c r="E70" s="638"/>
      <c r="F70" s="638"/>
      <c r="G70" s="638"/>
      <c r="H70" s="638"/>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c r="AJ70" s="639"/>
    </row>
    <row r="72" spans="1:36" x14ac:dyDescent="0.3">
      <c r="A72" s="1"/>
      <c r="B72" s="24" t="s">
        <v>143</v>
      </c>
      <c r="C72" s="1"/>
      <c r="D72" s="1"/>
      <c r="F72" s="1"/>
    </row>
  </sheetData>
  <sheetProtection algorithmName="SHA-512" hashValue="EvJ1+PiI29PplkW7FammMLnuc1LYWeFXJM7HpIdaRHlaYQf9cdUH3BF8ftff5fDT4dbbQ3OnIBT9eOomvzmtCw==" saltValue="pPzcpNDct/p6BSwOcYSWYQ==" spinCount="100000" sheet="1" objects="1" scenarios="1"/>
  <dataConsolidate/>
  <mergeCells count="185">
    <mergeCell ref="F10:F15"/>
    <mergeCell ref="G10:G15"/>
    <mergeCell ref="H10:H15"/>
    <mergeCell ref="A10:A15"/>
    <mergeCell ref="B10:B15"/>
    <mergeCell ref="C10:C15"/>
    <mergeCell ref="D10:D15"/>
    <mergeCell ref="E10:E15"/>
    <mergeCell ref="N10:N15"/>
    <mergeCell ref="I10:I15"/>
    <mergeCell ref="J10:J15"/>
    <mergeCell ref="K10:K15"/>
    <mergeCell ref="L10:L15"/>
    <mergeCell ref="M10:M15"/>
    <mergeCell ref="AA8:AA9"/>
    <mergeCell ref="Y8:Y9"/>
    <mergeCell ref="Z8:Z9"/>
    <mergeCell ref="G8:G9"/>
    <mergeCell ref="H8:H9"/>
    <mergeCell ref="I8:I9"/>
    <mergeCell ref="L8:L9"/>
    <mergeCell ref="M8:M9"/>
    <mergeCell ref="B8:B9"/>
    <mergeCell ref="N8:N9"/>
    <mergeCell ref="J8:J9"/>
    <mergeCell ref="K8:K9"/>
    <mergeCell ref="Q8:Q9"/>
    <mergeCell ref="R8:W8"/>
    <mergeCell ref="D16:D21"/>
    <mergeCell ref="E16:E21"/>
    <mergeCell ref="AE8:AE9"/>
    <mergeCell ref="AJ8:AJ9"/>
    <mergeCell ref="AI8:AI9"/>
    <mergeCell ref="AH8:AH9"/>
    <mergeCell ref="AG8:AG9"/>
    <mergeCell ref="AF8:AF9"/>
    <mergeCell ref="A4:B4"/>
    <mergeCell ref="A5:B5"/>
    <mergeCell ref="A6:B6"/>
    <mergeCell ref="A8:A9"/>
    <mergeCell ref="F8:F9"/>
    <mergeCell ref="E8:E9"/>
    <mergeCell ref="D8:D9"/>
    <mergeCell ref="C8:C9"/>
    <mergeCell ref="AD8:AD9"/>
    <mergeCell ref="C5:N5"/>
    <mergeCell ref="C6:N6"/>
    <mergeCell ref="O8:O9"/>
    <mergeCell ref="AC8:AC9"/>
    <mergeCell ref="AB8:AB9"/>
    <mergeCell ref="X8:X9"/>
    <mergeCell ref="P8:P9"/>
    <mergeCell ref="K16:K21"/>
    <mergeCell ref="L16:L21"/>
    <mergeCell ref="M16:M21"/>
    <mergeCell ref="N16:N21"/>
    <mergeCell ref="A22:A27"/>
    <mergeCell ref="B22:B27"/>
    <mergeCell ref="C22:C27"/>
    <mergeCell ref="D22:D27"/>
    <mergeCell ref="E22:E27"/>
    <mergeCell ref="F22:F27"/>
    <mergeCell ref="G22:G27"/>
    <mergeCell ref="H22:H27"/>
    <mergeCell ref="I22:I27"/>
    <mergeCell ref="J22:J27"/>
    <mergeCell ref="K22:K27"/>
    <mergeCell ref="L22:L27"/>
    <mergeCell ref="F16:F21"/>
    <mergeCell ref="G16:G21"/>
    <mergeCell ref="H16:H21"/>
    <mergeCell ref="I16:I21"/>
    <mergeCell ref="J16:J21"/>
    <mergeCell ref="A16:A21"/>
    <mergeCell ref="B16:B21"/>
    <mergeCell ref="C16:C21"/>
    <mergeCell ref="M22:M27"/>
    <mergeCell ref="N22:N27"/>
    <mergeCell ref="A28:A33"/>
    <mergeCell ref="B28:B33"/>
    <mergeCell ref="C28:C33"/>
    <mergeCell ref="D28:D33"/>
    <mergeCell ref="E28:E33"/>
    <mergeCell ref="F28:F33"/>
    <mergeCell ref="G28:G33"/>
    <mergeCell ref="H28:H33"/>
    <mergeCell ref="I28:I33"/>
    <mergeCell ref="J28:J33"/>
    <mergeCell ref="K28:K33"/>
    <mergeCell ref="L28:L33"/>
    <mergeCell ref="M28:M33"/>
    <mergeCell ref="N28:N33"/>
    <mergeCell ref="M34:M39"/>
    <mergeCell ref="N34:N39"/>
    <mergeCell ref="M40:M45"/>
    <mergeCell ref="N40:N45"/>
    <mergeCell ref="J46:J51"/>
    <mergeCell ref="K46:K51"/>
    <mergeCell ref="L46:L51"/>
    <mergeCell ref="A34:A39"/>
    <mergeCell ref="B34:B39"/>
    <mergeCell ref="C34:C39"/>
    <mergeCell ref="A40:A45"/>
    <mergeCell ref="B40:B45"/>
    <mergeCell ref="C40:C45"/>
    <mergeCell ref="D40:D45"/>
    <mergeCell ref="E40:E45"/>
    <mergeCell ref="F40:F45"/>
    <mergeCell ref="D34:D39"/>
    <mergeCell ref="E34:E39"/>
    <mergeCell ref="J40:J45"/>
    <mergeCell ref="K40:K45"/>
    <mergeCell ref="L40:L45"/>
    <mergeCell ref="F34:F39"/>
    <mergeCell ref="G34:G39"/>
    <mergeCell ref="H34:H39"/>
    <mergeCell ref="I34:I39"/>
    <mergeCell ref="J34:J39"/>
    <mergeCell ref="G40:G45"/>
    <mergeCell ref="H40:H45"/>
    <mergeCell ref="I40:I45"/>
    <mergeCell ref="K34:K39"/>
    <mergeCell ref="L34:L39"/>
    <mergeCell ref="A52:A57"/>
    <mergeCell ref="B52:B57"/>
    <mergeCell ref="C52:C57"/>
    <mergeCell ref="D52:D57"/>
    <mergeCell ref="E52:E57"/>
    <mergeCell ref="A46:A51"/>
    <mergeCell ref="B46:B51"/>
    <mergeCell ref="C46:C51"/>
    <mergeCell ref="D46:D51"/>
    <mergeCell ref="E46:E51"/>
    <mergeCell ref="M46:M51"/>
    <mergeCell ref="N46:N51"/>
    <mergeCell ref="F52:F57"/>
    <mergeCell ref="G52:G57"/>
    <mergeCell ref="H52:H57"/>
    <mergeCell ref="I52:I57"/>
    <mergeCell ref="J52:J57"/>
    <mergeCell ref="F46:F51"/>
    <mergeCell ref="G46:G51"/>
    <mergeCell ref="H46:H51"/>
    <mergeCell ref="I46:I51"/>
    <mergeCell ref="K52:K57"/>
    <mergeCell ref="L52:L57"/>
    <mergeCell ref="M52:M57"/>
    <mergeCell ref="N52:N57"/>
    <mergeCell ref="N64:N69"/>
    <mergeCell ref="J58:J63"/>
    <mergeCell ref="K58:K63"/>
    <mergeCell ref="L58:L63"/>
    <mergeCell ref="A58:A63"/>
    <mergeCell ref="B58:B63"/>
    <mergeCell ref="C58:C63"/>
    <mergeCell ref="D58:D63"/>
    <mergeCell ref="E58:E63"/>
    <mergeCell ref="F58:F63"/>
    <mergeCell ref="G58:G63"/>
    <mergeCell ref="H58:H63"/>
    <mergeCell ref="I58:I63"/>
    <mergeCell ref="C4:N4"/>
    <mergeCell ref="O4:Q4"/>
    <mergeCell ref="A1:AJ2"/>
    <mergeCell ref="A7:G7"/>
    <mergeCell ref="H7:N7"/>
    <mergeCell ref="O7:W7"/>
    <mergeCell ref="X7:AD7"/>
    <mergeCell ref="AE7:AJ7"/>
    <mergeCell ref="B70:AJ70"/>
    <mergeCell ref="M58:M63"/>
    <mergeCell ref="N58:N63"/>
    <mergeCell ref="A64:A69"/>
    <mergeCell ref="B64:B69"/>
    <mergeCell ref="C64:C69"/>
    <mergeCell ref="D64:D69"/>
    <mergeCell ref="E64:E69"/>
    <mergeCell ref="F64:F69"/>
    <mergeCell ref="G64:G69"/>
    <mergeCell ref="H64:H69"/>
    <mergeCell ref="I64:I69"/>
    <mergeCell ref="J64:J69"/>
    <mergeCell ref="K64:K69"/>
    <mergeCell ref="L64:L69"/>
    <mergeCell ref="M64:M69"/>
  </mergeCells>
  <conditionalFormatting sqref="H10 H16">
    <cfRule type="cellIs" dxfId="796" priority="319" operator="equal">
      <formula>"Muy Alta"</formula>
    </cfRule>
    <cfRule type="cellIs" dxfId="795" priority="320" operator="equal">
      <formula>"Alta"</formula>
    </cfRule>
    <cfRule type="cellIs" dxfId="794" priority="321" operator="equal">
      <formula>"Media"</formula>
    </cfRule>
    <cfRule type="cellIs" dxfId="793" priority="322" operator="equal">
      <formula>"Baja"</formula>
    </cfRule>
    <cfRule type="cellIs" dxfId="792" priority="323" operator="equal">
      <formula>"Muy Baja"</formula>
    </cfRule>
  </conditionalFormatting>
  <conditionalFormatting sqref="L10 L16 L22 L28 L34 L40 L46 L52 L58 L64">
    <cfRule type="cellIs" dxfId="791" priority="314" operator="equal">
      <formula>"Catastrófico"</formula>
    </cfRule>
    <cfRule type="cellIs" dxfId="790" priority="315" operator="equal">
      <formula>"Mayor"</formula>
    </cfRule>
    <cfRule type="cellIs" dxfId="789" priority="316" operator="equal">
      <formula>"Moderado"</formula>
    </cfRule>
    <cfRule type="cellIs" dxfId="788" priority="317" operator="equal">
      <formula>"Menor"</formula>
    </cfRule>
    <cfRule type="cellIs" dxfId="787" priority="318" operator="equal">
      <formula>"Leve"</formula>
    </cfRule>
  </conditionalFormatting>
  <conditionalFormatting sqref="N10">
    <cfRule type="cellIs" dxfId="786" priority="310" operator="equal">
      <formula>"Extremo"</formula>
    </cfRule>
    <cfRule type="cellIs" dxfId="785" priority="311" operator="equal">
      <formula>"Alto"</formula>
    </cfRule>
    <cfRule type="cellIs" dxfId="784" priority="312" operator="equal">
      <formula>"Moderado"</formula>
    </cfRule>
    <cfRule type="cellIs" dxfId="783" priority="313" operator="equal">
      <formula>"Bajo"</formula>
    </cfRule>
  </conditionalFormatting>
  <conditionalFormatting sqref="Y10:Y15">
    <cfRule type="cellIs" dxfId="782" priority="305" operator="equal">
      <formula>"Muy Alta"</formula>
    </cfRule>
    <cfRule type="cellIs" dxfId="781" priority="306" operator="equal">
      <formula>"Alta"</formula>
    </cfRule>
    <cfRule type="cellIs" dxfId="780" priority="307" operator="equal">
      <formula>"Media"</formula>
    </cfRule>
    <cfRule type="cellIs" dxfId="779" priority="308" operator="equal">
      <formula>"Baja"</formula>
    </cfRule>
    <cfRule type="cellIs" dxfId="778" priority="309" operator="equal">
      <formula>"Muy Baja"</formula>
    </cfRule>
  </conditionalFormatting>
  <conditionalFormatting sqref="AA10:AA15">
    <cfRule type="cellIs" dxfId="777" priority="300" operator="equal">
      <formula>"Catastrófico"</formula>
    </cfRule>
    <cfRule type="cellIs" dxfId="776" priority="301" operator="equal">
      <formula>"Mayor"</formula>
    </cfRule>
    <cfRule type="cellIs" dxfId="775" priority="302" operator="equal">
      <formula>"Moderado"</formula>
    </cfRule>
    <cfRule type="cellIs" dxfId="774" priority="303" operator="equal">
      <formula>"Menor"</formula>
    </cfRule>
    <cfRule type="cellIs" dxfId="773" priority="304" operator="equal">
      <formula>"Leve"</formula>
    </cfRule>
  </conditionalFormatting>
  <conditionalFormatting sqref="AC10:AC15">
    <cfRule type="cellIs" dxfId="772" priority="296" operator="equal">
      <formula>"Extremo"</formula>
    </cfRule>
    <cfRule type="cellIs" dxfId="771" priority="297" operator="equal">
      <formula>"Alto"</formula>
    </cfRule>
    <cfRule type="cellIs" dxfId="770" priority="298" operator="equal">
      <formula>"Moderado"</formula>
    </cfRule>
    <cfRule type="cellIs" dxfId="769" priority="299" operator="equal">
      <formula>"Bajo"</formula>
    </cfRule>
  </conditionalFormatting>
  <conditionalFormatting sqref="H58">
    <cfRule type="cellIs" dxfId="768" priority="53" operator="equal">
      <formula>"Muy Alta"</formula>
    </cfRule>
    <cfRule type="cellIs" dxfId="767" priority="54" operator="equal">
      <formula>"Alta"</formula>
    </cfRule>
    <cfRule type="cellIs" dxfId="766" priority="55" operator="equal">
      <formula>"Media"</formula>
    </cfRule>
    <cfRule type="cellIs" dxfId="765" priority="56" operator="equal">
      <formula>"Baja"</formula>
    </cfRule>
    <cfRule type="cellIs" dxfId="764" priority="57" operator="equal">
      <formula>"Muy Baja"</formula>
    </cfRule>
  </conditionalFormatting>
  <conditionalFormatting sqref="N16">
    <cfRule type="cellIs" dxfId="763" priority="240" operator="equal">
      <formula>"Extremo"</formula>
    </cfRule>
    <cfRule type="cellIs" dxfId="762" priority="241" operator="equal">
      <formula>"Alto"</formula>
    </cfRule>
    <cfRule type="cellIs" dxfId="761" priority="242" operator="equal">
      <formula>"Moderado"</formula>
    </cfRule>
    <cfRule type="cellIs" dxfId="760" priority="243" operator="equal">
      <formula>"Bajo"</formula>
    </cfRule>
  </conditionalFormatting>
  <conditionalFormatting sqref="Y16:Y21">
    <cfRule type="cellIs" dxfId="759" priority="235" operator="equal">
      <formula>"Muy Alta"</formula>
    </cfRule>
    <cfRule type="cellIs" dxfId="758" priority="236" operator="equal">
      <formula>"Alta"</formula>
    </cfRule>
    <cfRule type="cellIs" dxfId="757" priority="237" operator="equal">
      <formula>"Media"</formula>
    </cfRule>
    <cfRule type="cellIs" dxfId="756" priority="238" operator="equal">
      <formula>"Baja"</formula>
    </cfRule>
    <cfRule type="cellIs" dxfId="755" priority="239" operator="equal">
      <formula>"Muy Baja"</formula>
    </cfRule>
  </conditionalFormatting>
  <conditionalFormatting sqref="AA16:AA21">
    <cfRule type="cellIs" dxfId="754" priority="230" operator="equal">
      <formula>"Catastrófico"</formula>
    </cfRule>
    <cfRule type="cellIs" dxfId="753" priority="231" operator="equal">
      <formula>"Mayor"</formula>
    </cfRule>
    <cfRule type="cellIs" dxfId="752" priority="232" operator="equal">
      <formula>"Moderado"</formula>
    </cfRule>
    <cfRule type="cellIs" dxfId="751" priority="233" operator="equal">
      <formula>"Menor"</formula>
    </cfRule>
    <cfRule type="cellIs" dxfId="750" priority="234" operator="equal">
      <formula>"Leve"</formula>
    </cfRule>
  </conditionalFormatting>
  <conditionalFormatting sqref="AC16:AC21">
    <cfRule type="cellIs" dxfId="749" priority="226" operator="equal">
      <formula>"Extremo"</formula>
    </cfRule>
    <cfRule type="cellIs" dxfId="748" priority="227" operator="equal">
      <formula>"Alto"</formula>
    </cfRule>
    <cfRule type="cellIs" dxfId="747" priority="228" operator="equal">
      <formula>"Moderado"</formula>
    </cfRule>
    <cfRule type="cellIs" dxfId="746" priority="229" operator="equal">
      <formula>"Bajo"</formula>
    </cfRule>
  </conditionalFormatting>
  <conditionalFormatting sqref="H22">
    <cfRule type="cellIs" dxfId="745" priority="221" operator="equal">
      <formula>"Muy Alta"</formula>
    </cfRule>
    <cfRule type="cellIs" dxfId="744" priority="222" operator="equal">
      <formula>"Alta"</formula>
    </cfRule>
    <cfRule type="cellIs" dxfId="743" priority="223" operator="equal">
      <formula>"Media"</formula>
    </cfRule>
    <cfRule type="cellIs" dxfId="742" priority="224" operator="equal">
      <formula>"Baja"</formula>
    </cfRule>
    <cfRule type="cellIs" dxfId="741" priority="225" operator="equal">
      <formula>"Muy Baja"</formula>
    </cfRule>
  </conditionalFormatting>
  <conditionalFormatting sqref="N22">
    <cfRule type="cellIs" dxfId="740" priority="212" operator="equal">
      <formula>"Extremo"</formula>
    </cfRule>
    <cfRule type="cellIs" dxfId="739" priority="213" operator="equal">
      <formula>"Alto"</formula>
    </cfRule>
    <cfRule type="cellIs" dxfId="738" priority="214" operator="equal">
      <formula>"Moderado"</formula>
    </cfRule>
    <cfRule type="cellIs" dxfId="737" priority="215" operator="equal">
      <formula>"Bajo"</formula>
    </cfRule>
  </conditionalFormatting>
  <conditionalFormatting sqref="Y22:Y27">
    <cfRule type="cellIs" dxfId="736" priority="207" operator="equal">
      <formula>"Muy Alta"</formula>
    </cfRule>
    <cfRule type="cellIs" dxfId="735" priority="208" operator="equal">
      <formula>"Alta"</formula>
    </cfRule>
    <cfRule type="cellIs" dxfId="734" priority="209" operator="equal">
      <formula>"Media"</formula>
    </cfRule>
    <cfRule type="cellIs" dxfId="733" priority="210" operator="equal">
      <formula>"Baja"</formula>
    </cfRule>
    <cfRule type="cellIs" dxfId="732" priority="211" operator="equal">
      <formula>"Muy Baja"</formula>
    </cfRule>
  </conditionalFormatting>
  <conditionalFormatting sqref="AA22:AA27">
    <cfRule type="cellIs" dxfId="731" priority="202" operator="equal">
      <formula>"Catastrófico"</formula>
    </cfRule>
    <cfRule type="cellIs" dxfId="730" priority="203" operator="equal">
      <formula>"Mayor"</formula>
    </cfRule>
    <cfRule type="cellIs" dxfId="729" priority="204" operator="equal">
      <formula>"Moderado"</formula>
    </cfRule>
    <cfRule type="cellIs" dxfId="728" priority="205" operator="equal">
      <formula>"Menor"</formula>
    </cfRule>
    <cfRule type="cellIs" dxfId="727" priority="206" operator="equal">
      <formula>"Leve"</formula>
    </cfRule>
  </conditionalFormatting>
  <conditionalFormatting sqref="AC22:AC27">
    <cfRule type="cellIs" dxfId="726" priority="198" operator="equal">
      <formula>"Extremo"</formula>
    </cfRule>
    <cfRule type="cellIs" dxfId="725" priority="199" operator="equal">
      <formula>"Alto"</formula>
    </cfRule>
    <cfRule type="cellIs" dxfId="724" priority="200" operator="equal">
      <formula>"Moderado"</formula>
    </cfRule>
    <cfRule type="cellIs" dxfId="723" priority="201" operator="equal">
      <formula>"Bajo"</formula>
    </cfRule>
  </conditionalFormatting>
  <conditionalFormatting sqref="H28">
    <cfRule type="cellIs" dxfId="722" priority="193" operator="equal">
      <formula>"Muy Alta"</formula>
    </cfRule>
    <cfRule type="cellIs" dxfId="721" priority="194" operator="equal">
      <formula>"Alta"</formula>
    </cfRule>
    <cfRule type="cellIs" dxfId="720" priority="195" operator="equal">
      <formula>"Media"</formula>
    </cfRule>
    <cfRule type="cellIs" dxfId="719" priority="196" operator="equal">
      <formula>"Baja"</formula>
    </cfRule>
    <cfRule type="cellIs" dxfId="718" priority="197" operator="equal">
      <formula>"Muy Baja"</formula>
    </cfRule>
  </conditionalFormatting>
  <conditionalFormatting sqref="N28">
    <cfRule type="cellIs" dxfId="717" priority="184" operator="equal">
      <formula>"Extremo"</formula>
    </cfRule>
    <cfRule type="cellIs" dxfId="716" priority="185" operator="equal">
      <formula>"Alto"</formula>
    </cfRule>
    <cfRule type="cellIs" dxfId="715" priority="186" operator="equal">
      <formula>"Moderado"</formula>
    </cfRule>
    <cfRule type="cellIs" dxfId="714" priority="187" operator="equal">
      <formula>"Bajo"</formula>
    </cfRule>
  </conditionalFormatting>
  <conditionalFormatting sqref="Y28:Y33">
    <cfRule type="cellIs" dxfId="713" priority="179" operator="equal">
      <formula>"Muy Alta"</formula>
    </cfRule>
    <cfRule type="cellIs" dxfId="712" priority="180" operator="equal">
      <formula>"Alta"</formula>
    </cfRule>
    <cfRule type="cellIs" dxfId="711" priority="181" operator="equal">
      <formula>"Media"</formula>
    </cfRule>
    <cfRule type="cellIs" dxfId="710" priority="182" operator="equal">
      <formula>"Baja"</formula>
    </cfRule>
    <cfRule type="cellIs" dxfId="709" priority="183" operator="equal">
      <formula>"Muy Baja"</formula>
    </cfRule>
  </conditionalFormatting>
  <conditionalFormatting sqref="AA28:AA33">
    <cfRule type="cellIs" dxfId="708" priority="174" operator="equal">
      <formula>"Catastrófico"</formula>
    </cfRule>
    <cfRule type="cellIs" dxfId="707" priority="175" operator="equal">
      <formula>"Mayor"</formula>
    </cfRule>
    <cfRule type="cellIs" dxfId="706" priority="176" operator="equal">
      <formula>"Moderado"</formula>
    </cfRule>
    <cfRule type="cellIs" dxfId="705" priority="177" operator="equal">
      <formula>"Menor"</formula>
    </cfRule>
    <cfRule type="cellIs" dxfId="704" priority="178" operator="equal">
      <formula>"Leve"</formula>
    </cfRule>
  </conditionalFormatting>
  <conditionalFormatting sqref="AC28:AC33">
    <cfRule type="cellIs" dxfId="703" priority="170" operator="equal">
      <formula>"Extremo"</formula>
    </cfRule>
    <cfRule type="cellIs" dxfId="702" priority="171" operator="equal">
      <formula>"Alto"</formula>
    </cfRule>
    <cfRule type="cellIs" dxfId="701" priority="172" operator="equal">
      <formula>"Moderado"</formula>
    </cfRule>
    <cfRule type="cellIs" dxfId="700" priority="173" operator="equal">
      <formula>"Bajo"</formula>
    </cfRule>
  </conditionalFormatting>
  <conditionalFormatting sqref="H34">
    <cfRule type="cellIs" dxfId="699" priority="165" operator="equal">
      <formula>"Muy Alta"</formula>
    </cfRule>
    <cfRule type="cellIs" dxfId="698" priority="166" operator="equal">
      <formula>"Alta"</formula>
    </cfRule>
    <cfRule type="cellIs" dxfId="697" priority="167" operator="equal">
      <formula>"Media"</formula>
    </cfRule>
    <cfRule type="cellIs" dxfId="696" priority="168" operator="equal">
      <formula>"Baja"</formula>
    </cfRule>
    <cfRule type="cellIs" dxfId="695" priority="169" operator="equal">
      <formula>"Muy Baja"</formula>
    </cfRule>
  </conditionalFormatting>
  <conditionalFormatting sqref="N34">
    <cfRule type="cellIs" dxfId="694" priority="156" operator="equal">
      <formula>"Extremo"</formula>
    </cfRule>
    <cfRule type="cellIs" dxfId="693" priority="157" operator="equal">
      <formula>"Alto"</formula>
    </cfRule>
    <cfRule type="cellIs" dxfId="692" priority="158" operator="equal">
      <formula>"Moderado"</formula>
    </cfRule>
    <cfRule type="cellIs" dxfId="691" priority="159" operator="equal">
      <formula>"Bajo"</formula>
    </cfRule>
  </conditionalFormatting>
  <conditionalFormatting sqref="Y34:Y39">
    <cfRule type="cellIs" dxfId="690" priority="151" operator="equal">
      <formula>"Muy Alta"</formula>
    </cfRule>
    <cfRule type="cellIs" dxfId="689" priority="152" operator="equal">
      <formula>"Alta"</formula>
    </cfRule>
    <cfRule type="cellIs" dxfId="688" priority="153" operator="equal">
      <formula>"Media"</formula>
    </cfRule>
    <cfRule type="cellIs" dxfId="687" priority="154" operator="equal">
      <formula>"Baja"</formula>
    </cfRule>
    <cfRule type="cellIs" dxfId="686" priority="155" operator="equal">
      <formula>"Muy Baja"</formula>
    </cfRule>
  </conditionalFormatting>
  <conditionalFormatting sqref="AA34:AA39">
    <cfRule type="cellIs" dxfId="685" priority="146" operator="equal">
      <formula>"Catastrófico"</formula>
    </cfRule>
    <cfRule type="cellIs" dxfId="684" priority="147" operator="equal">
      <formula>"Mayor"</formula>
    </cfRule>
    <cfRule type="cellIs" dxfId="683" priority="148" operator="equal">
      <formula>"Moderado"</formula>
    </cfRule>
    <cfRule type="cellIs" dxfId="682" priority="149" operator="equal">
      <formula>"Menor"</formula>
    </cfRule>
    <cfRule type="cellIs" dxfId="681" priority="150" operator="equal">
      <formula>"Leve"</formula>
    </cfRule>
  </conditionalFormatting>
  <conditionalFormatting sqref="AC34:AC39">
    <cfRule type="cellIs" dxfId="680" priority="142" operator="equal">
      <formula>"Extremo"</formula>
    </cfRule>
    <cfRule type="cellIs" dxfId="679" priority="143" operator="equal">
      <formula>"Alto"</formula>
    </cfRule>
    <cfRule type="cellIs" dxfId="678" priority="144" operator="equal">
      <formula>"Moderado"</formula>
    </cfRule>
    <cfRule type="cellIs" dxfId="677" priority="145" operator="equal">
      <formula>"Bajo"</formula>
    </cfRule>
  </conditionalFormatting>
  <conditionalFormatting sqref="H40">
    <cfRule type="cellIs" dxfId="676" priority="137" operator="equal">
      <formula>"Muy Alta"</formula>
    </cfRule>
    <cfRule type="cellIs" dxfId="675" priority="138" operator="equal">
      <formula>"Alta"</formula>
    </cfRule>
    <cfRule type="cellIs" dxfId="674" priority="139" operator="equal">
      <formula>"Media"</formula>
    </cfRule>
    <cfRule type="cellIs" dxfId="673" priority="140" operator="equal">
      <formula>"Baja"</formula>
    </cfRule>
    <cfRule type="cellIs" dxfId="672" priority="141" operator="equal">
      <formula>"Muy Baja"</formula>
    </cfRule>
  </conditionalFormatting>
  <conditionalFormatting sqref="N40">
    <cfRule type="cellIs" dxfId="671" priority="128" operator="equal">
      <formula>"Extremo"</formula>
    </cfRule>
    <cfRule type="cellIs" dxfId="670" priority="129" operator="equal">
      <formula>"Alto"</formula>
    </cfRule>
    <cfRule type="cellIs" dxfId="669" priority="130" operator="equal">
      <formula>"Moderado"</formula>
    </cfRule>
    <cfRule type="cellIs" dxfId="668" priority="131" operator="equal">
      <formula>"Bajo"</formula>
    </cfRule>
  </conditionalFormatting>
  <conditionalFormatting sqref="Y40:Y45">
    <cfRule type="cellIs" dxfId="667" priority="123" operator="equal">
      <formula>"Muy Alta"</formula>
    </cfRule>
    <cfRule type="cellIs" dxfId="666" priority="124" operator="equal">
      <formula>"Alta"</formula>
    </cfRule>
    <cfRule type="cellIs" dxfId="665" priority="125" operator="equal">
      <formula>"Media"</formula>
    </cfRule>
    <cfRule type="cellIs" dxfId="664" priority="126" operator="equal">
      <formula>"Baja"</formula>
    </cfRule>
    <cfRule type="cellIs" dxfId="663" priority="127" operator="equal">
      <formula>"Muy Baja"</formula>
    </cfRule>
  </conditionalFormatting>
  <conditionalFormatting sqref="AA40:AA45">
    <cfRule type="cellIs" dxfId="662" priority="118" operator="equal">
      <formula>"Catastrófico"</formula>
    </cfRule>
    <cfRule type="cellIs" dxfId="661" priority="119" operator="equal">
      <formula>"Mayor"</formula>
    </cfRule>
    <cfRule type="cellIs" dxfId="660" priority="120" operator="equal">
      <formula>"Moderado"</formula>
    </cfRule>
    <cfRule type="cellIs" dxfId="659" priority="121" operator="equal">
      <formula>"Menor"</formula>
    </cfRule>
    <cfRule type="cellIs" dxfId="658" priority="122" operator="equal">
      <formula>"Leve"</formula>
    </cfRule>
  </conditionalFormatting>
  <conditionalFormatting sqref="AC40:AC45">
    <cfRule type="cellIs" dxfId="657" priority="114" operator="equal">
      <formula>"Extremo"</formula>
    </cfRule>
    <cfRule type="cellIs" dxfId="656" priority="115" operator="equal">
      <formula>"Alto"</formula>
    </cfRule>
    <cfRule type="cellIs" dxfId="655" priority="116" operator="equal">
      <formula>"Moderado"</formula>
    </cfRule>
    <cfRule type="cellIs" dxfId="654" priority="117" operator="equal">
      <formula>"Bajo"</formula>
    </cfRule>
  </conditionalFormatting>
  <conditionalFormatting sqref="H46">
    <cfRule type="cellIs" dxfId="653" priority="109" operator="equal">
      <formula>"Muy Alta"</formula>
    </cfRule>
    <cfRule type="cellIs" dxfId="652" priority="110" operator="equal">
      <formula>"Alta"</formula>
    </cfRule>
    <cfRule type="cellIs" dxfId="651" priority="111" operator="equal">
      <formula>"Media"</formula>
    </cfRule>
    <cfRule type="cellIs" dxfId="650" priority="112" operator="equal">
      <formula>"Baja"</formula>
    </cfRule>
    <cfRule type="cellIs" dxfId="649" priority="113" operator="equal">
      <formula>"Muy Baja"</formula>
    </cfRule>
  </conditionalFormatting>
  <conditionalFormatting sqref="N46">
    <cfRule type="cellIs" dxfId="648" priority="100" operator="equal">
      <formula>"Extremo"</formula>
    </cfRule>
    <cfRule type="cellIs" dxfId="647" priority="101" operator="equal">
      <formula>"Alto"</formula>
    </cfRule>
    <cfRule type="cellIs" dxfId="646" priority="102" operator="equal">
      <formula>"Moderado"</formula>
    </cfRule>
    <cfRule type="cellIs" dxfId="645" priority="103" operator="equal">
      <formula>"Bajo"</formula>
    </cfRule>
  </conditionalFormatting>
  <conditionalFormatting sqref="Y46:Y51">
    <cfRule type="cellIs" dxfId="644" priority="95" operator="equal">
      <formula>"Muy Alta"</formula>
    </cfRule>
    <cfRule type="cellIs" dxfId="643" priority="96" operator="equal">
      <formula>"Alta"</formula>
    </cfRule>
    <cfRule type="cellIs" dxfId="642" priority="97" operator="equal">
      <formula>"Media"</formula>
    </cfRule>
    <cfRule type="cellIs" dxfId="641" priority="98" operator="equal">
      <formula>"Baja"</formula>
    </cfRule>
    <cfRule type="cellIs" dxfId="640" priority="99" operator="equal">
      <formula>"Muy Baja"</formula>
    </cfRule>
  </conditionalFormatting>
  <conditionalFormatting sqref="AA46:AA51">
    <cfRule type="cellIs" dxfId="639" priority="90" operator="equal">
      <formula>"Catastrófico"</formula>
    </cfRule>
    <cfRule type="cellIs" dxfId="638" priority="91" operator="equal">
      <formula>"Mayor"</formula>
    </cfRule>
    <cfRule type="cellIs" dxfId="637" priority="92" operator="equal">
      <formula>"Moderado"</formula>
    </cfRule>
    <cfRule type="cellIs" dxfId="636" priority="93" operator="equal">
      <formula>"Menor"</formula>
    </cfRule>
    <cfRule type="cellIs" dxfId="635" priority="94" operator="equal">
      <formula>"Leve"</formula>
    </cfRule>
  </conditionalFormatting>
  <conditionalFormatting sqref="AC46:AC51">
    <cfRule type="cellIs" dxfId="634" priority="86" operator="equal">
      <formula>"Extremo"</formula>
    </cfRule>
    <cfRule type="cellIs" dxfId="633" priority="87" operator="equal">
      <formula>"Alto"</formula>
    </cfRule>
    <cfRule type="cellIs" dxfId="632" priority="88" operator="equal">
      <formula>"Moderado"</formula>
    </cfRule>
    <cfRule type="cellIs" dxfId="631" priority="89" operator="equal">
      <formula>"Bajo"</formula>
    </cfRule>
  </conditionalFormatting>
  <conditionalFormatting sqref="H52">
    <cfRule type="cellIs" dxfId="630" priority="81" operator="equal">
      <formula>"Muy Alta"</formula>
    </cfRule>
    <cfRule type="cellIs" dxfId="629" priority="82" operator="equal">
      <formula>"Alta"</formula>
    </cfRule>
    <cfRule type="cellIs" dxfId="628" priority="83" operator="equal">
      <formula>"Media"</formula>
    </cfRule>
    <cfRule type="cellIs" dxfId="627" priority="84" operator="equal">
      <formula>"Baja"</formula>
    </cfRule>
    <cfRule type="cellIs" dxfId="626" priority="85" operator="equal">
      <formula>"Muy Baja"</formula>
    </cfRule>
  </conditionalFormatting>
  <conditionalFormatting sqref="N52">
    <cfRule type="cellIs" dxfId="625" priority="72" operator="equal">
      <formula>"Extremo"</formula>
    </cfRule>
    <cfRule type="cellIs" dxfId="624" priority="73" operator="equal">
      <formula>"Alto"</formula>
    </cfRule>
    <cfRule type="cellIs" dxfId="623" priority="74" operator="equal">
      <formula>"Moderado"</formula>
    </cfRule>
    <cfRule type="cellIs" dxfId="622" priority="75" operator="equal">
      <formula>"Bajo"</formula>
    </cfRule>
  </conditionalFormatting>
  <conditionalFormatting sqref="Y52:Y57">
    <cfRule type="cellIs" dxfId="621" priority="67" operator="equal">
      <formula>"Muy Alta"</formula>
    </cfRule>
    <cfRule type="cellIs" dxfId="620" priority="68" operator="equal">
      <formula>"Alta"</formula>
    </cfRule>
    <cfRule type="cellIs" dxfId="619" priority="69" operator="equal">
      <formula>"Media"</formula>
    </cfRule>
    <cfRule type="cellIs" dxfId="618" priority="70" operator="equal">
      <formula>"Baja"</formula>
    </cfRule>
    <cfRule type="cellIs" dxfId="617" priority="71" operator="equal">
      <formula>"Muy Baja"</formula>
    </cfRule>
  </conditionalFormatting>
  <conditionalFormatting sqref="AA52:AA57">
    <cfRule type="cellIs" dxfId="616" priority="62" operator="equal">
      <formula>"Catastrófico"</formula>
    </cfRule>
    <cfRule type="cellIs" dxfId="615" priority="63" operator="equal">
      <formula>"Mayor"</formula>
    </cfRule>
    <cfRule type="cellIs" dxfId="614" priority="64" operator="equal">
      <formula>"Moderado"</formula>
    </cfRule>
    <cfRule type="cellIs" dxfId="613" priority="65" operator="equal">
      <formula>"Menor"</formula>
    </cfRule>
    <cfRule type="cellIs" dxfId="612" priority="66" operator="equal">
      <formula>"Leve"</formula>
    </cfRule>
  </conditionalFormatting>
  <conditionalFormatting sqref="AC52:AC57">
    <cfRule type="cellIs" dxfId="611" priority="58" operator="equal">
      <formula>"Extremo"</formula>
    </cfRule>
    <cfRule type="cellIs" dxfId="610" priority="59" operator="equal">
      <formula>"Alto"</formula>
    </cfRule>
    <cfRule type="cellIs" dxfId="609" priority="60" operator="equal">
      <formula>"Moderado"</formula>
    </cfRule>
    <cfRule type="cellIs" dxfId="608" priority="61" operator="equal">
      <formula>"Bajo"</formula>
    </cfRule>
  </conditionalFormatting>
  <conditionalFormatting sqref="N58">
    <cfRule type="cellIs" dxfId="607" priority="44" operator="equal">
      <formula>"Extremo"</formula>
    </cfRule>
    <cfRule type="cellIs" dxfId="606" priority="45" operator="equal">
      <formula>"Alto"</formula>
    </cfRule>
    <cfRule type="cellIs" dxfId="605" priority="46" operator="equal">
      <formula>"Moderado"</formula>
    </cfRule>
    <cfRule type="cellIs" dxfId="604" priority="47" operator="equal">
      <formula>"Bajo"</formula>
    </cfRule>
  </conditionalFormatting>
  <conditionalFormatting sqref="Y58:Y63">
    <cfRule type="cellIs" dxfId="603" priority="39" operator="equal">
      <formula>"Muy Alta"</formula>
    </cfRule>
    <cfRule type="cellIs" dxfId="602" priority="40" operator="equal">
      <formula>"Alta"</formula>
    </cfRule>
    <cfRule type="cellIs" dxfId="601" priority="41" operator="equal">
      <formula>"Media"</formula>
    </cfRule>
    <cfRule type="cellIs" dxfId="600" priority="42" operator="equal">
      <formula>"Baja"</formula>
    </cfRule>
    <cfRule type="cellIs" dxfId="599" priority="43" operator="equal">
      <formula>"Muy Baja"</formula>
    </cfRule>
  </conditionalFormatting>
  <conditionalFormatting sqref="AA58:AA63">
    <cfRule type="cellIs" dxfId="598" priority="34" operator="equal">
      <formula>"Catastrófico"</formula>
    </cfRule>
    <cfRule type="cellIs" dxfId="597" priority="35" operator="equal">
      <formula>"Mayor"</formula>
    </cfRule>
    <cfRule type="cellIs" dxfId="596" priority="36" operator="equal">
      <formula>"Moderado"</formula>
    </cfRule>
    <cfRule type="cellIs" dxfId="595" priority="37" operator="equal">
      <formula>"Menor"</formula>
    </cfRule>
    <cfRule type="cellIs" dxfId="594" priority="38" operator="equal">
      <formula>"Leve"</formula>
    </cfRule>
  </conditionalFormatting>
  <conditionalFormatting sqref="AC58:AC63">
    <cfRule type="cellIs" dxfId="593" priority="30" operator="equal">
      <formula>"Extremo"</formula>
    </cfRule>
    <cfRule type="cellIs" dxfId="592" priority="31" operator="equal">
      <formula>"Alto"</formula>
    </cfRule>
    <cfRule type="cellIs" dxfId="591" priority="32" operator="equal">
      <formula>"Moderado"</formula>
    </cfRule>
    <cfRule type="cellIs" dxfId="590" priority="33" operator="equal">
      <formula>"Bajo"</formula>
    </cfRule>
  </conditionalFormatting>
  <conditionalFormatting sqref="H64">
    <cfRule type="cellIs" dxfId="589" priority="25" operator="equal">
      <formula>"Muy Alta"</formula>
    </cfRule>
    <cfRule type="cellIs" dxfId="588" priority="26" operator="equal">
      <formula>"Alta"</formula>
    </cfRule>
    <cfRule type="cellIs" dxfId="587" priority="27" operator="equal">
      <formula>"Media"</formula>
    </cfRule>
    <cfRule type="cellIs" dxfId="586" priority="28" operator="equal">
      <formula>"Baja"</formula>
    </cfRule>
    <cfRule type="cellIs" dxfId="585" priority="29" operator="equal">
      <formula>"Muy Baja"</formula>
    </cfRule>
  </conditionalFormatting>
  <conditionalFormatting sqref="N64">
    <cfRule type="cellIs" dxfId="584" priority="16" operator="equal">
      <formula>"Extremo"</formula>
    </cfRule>
    <cfRule type="cellIs" dxfId="583" priority="17" operator="equal">
      <formula>"Alto"</formula>
    </cfRule>
    <cfRule type="cellIs" dxfId="582" priority="18" operator="equal">
      <formula>"Moderado"</formula>
    </cfRule>
    <cfRule type="cellIs" dxfId="581" priority="19" operator="equal">
      <formula>"Bajo"</formula>
    </cfRule>
  </conditionalFormatting>
  <conditionalFormatting sqref="Y64:Y69">
    <cfRule type="cellIs" dxfId="580" priority="11" operator="equal">
      <formula>"Muy Alta"</formula>
    </cfRule>
    <cfRule type="cellIs" dxfId="579" priority="12" operator="equal">
      <formula>"Alta"</formula>
    </cfRule>
    <cfRule type="cellIs" dxfId="578" priority="13" operator="equal">
      <formula>"Media"</formula>
    </cfRule>
    <cfRule type="cellIs" dxfId="577" priority="14" operator="equal">
      <formula>"Baja"</formula>
    </cfRule>
    <cfRule type="cellIs" dxfId="576" priority="15" operator="equal">
      <formula>"Muy Baja"</formula>
    </cfRule>
  </conditionalFormatting>
  <conditionalFormatting sqref="AA64:AA69">
    <cfRule type="cellIs" dxfId="575" priority="6" operator="equal">
      <formula>"Catastrófico"</formula>
    </cfRule>
    <cfRule type="cellIs" dxfId="574" priority="7" operator="equal">
      <formula>"Mayor"</formula>
    </cfRule>
    <cfRule type="cellIs" dxfId="573" priority="8" operator="equal">
      <formula>"Moderado"</formula>
    </cfRule>
    <cfRule type="cellIs" dxfId="572" priority="9" operator="equal">
      <formula>"Menor"</formula>
    </cfRule>
    <cfRule type="cellIs" dxfId="571" priority="10" operator="equal">
      <formula>"Leve"</formula>
    </cfRule>
  </conditionalFormatting>
  <conditionalFormatting sqref="AC64:AC69">
    <cfRule type="cellIs" dxfId="570" priority="2" operator="equal">
      <formula>"Extremo"</formula>
    </cfRule>
    <cfRule type="cellIs" dxfId="569" priority="3" operator="equal">
      <formula>"Alto"</formula>
    </cfRule>
    <cfRule type="cellIs" dxfId="568" priority="4" operator="equal">
      <formula>"Moderado"</formula>
    </cfRule>
    <cfRule type="cellIs" dxfId="567" priority="5" operator="equal">
      <formula>"Bajo"</formula>
    </cfRule>
  </conditionalFormatting>
  <conditionalFormatting sqref="K10:K69">
    <cfRule type="containsText" dxfId="566" priority="1" operator="containsText" text="❌">
      <formula>NOT(ISERROR(SEARCH("❌",K10)))</formula>
    </cfRule>
  </conditionalFormatting>
  <pageMargins left="0.7" right="0.7" top="0.75" bottom="0.75" header="0.3" footer="0.3"/>
  <pageSetup orientation="portrait" r:id="rId1"/>
  <ignoredErrors>
    <ignoredError sqref="AB12" formula="1"/>
  </ignoredErrors>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100-000000000000}">
          <x14:formula1>
            <xm:f>'Tabla Valoración controles'!$D$4:$D$6</xm:f>
          </x14:formula1>
          <xm:sqref>R10:R69</xm:sqref>
        </x14:dataValidation>
        <x14:dataValidation type="list" allowBlank="1" showInputMessage="1" showErrorMessage="1" xr:uid="{00000000-0002-0000-0100-000001000000}">
          <x14:formula1>
            <xm:f>'Tabla Valoración controles'!$D$7:$D$8</xm:f>
          </x14:formula1>
          <xm:sqref>S10:S69</xm:sqref>
        </x14:dataValidation>
        <x14:dataValidation type="list" allowBlank="1" showInputMessage="1" showErrorMessage="1" xr:uid="{00000000-0002-0000-0100-000002000000}">
          <x14:formula1>
            <xm:f>'Tabla Valoración controles'!$D$9:$D$10</xm:f>
          </x14:formula1>
          <xm:sqref>U10:U69</xm:sqref>
        </x14:dataValidation>
        <x14:dataValidation type="list" allowBlank="1" showInputMessage="1" showErrorMessage="1" xr:uid="{00000000-0002-0000-0100-000003000000}">
          <x14:formula1>
            <xm:f>'Tabla Valoración controles'!$D$11:$D$12</xm:f>
          </x14:formula1>
          <xm:sqref>V10:V69</xm:sqref>
        </x14:dataValidation>
        <x14:dataValidation type="list" allowBlank="1" showInputMessage="1" showErrorMessage="1" xr:uid="{00000000-0002-0000-0100-000004000000}">
          <x14:formula1>
            <xm:f>'Opciones Tratamiento'!$B$9:$B$10</xm:f>
          </x14:formula1>
          <xm:sqref>AJ10:AJ11 AJ13:AJ14 AJ16:AJ17 AJ19:AJ20 AJ22:AJ23 AJ25:AJ26 AJ28:AJ29 AJ31:AJ32 AJ34:AJ35 AJ37:AJ38 AJ40:AJ41 AJ43:AJ44 AJ46:AJ47 AJ49:AJ50 AJ52:AJ53 AJ55:AJ56 AJ58:AJ59 AJ61:AJ62 AJ64:AJ65 AJ67:AJ68</xm:sqref>
        </x14:dataValidation>
        <x14:dataValidation type="list" allowBlank="1" showInputMessage="1" showErrorMessage="1" xr:uid="{00000000-0002-0000-0100-000005000000}">
          <x14:formula1>
            <xm:f>'Tabla Valoración controles'!$D$13:$D$14</xm:f>
          </x14:formula1>
          <xm:sqref>W10:W69</xm:sqref>
        </x14:dataValidation>
        <x14:dataValidation type="list" allowBlank="1" showInputMessage="1" showErrorMessage="1" xr:uid="{00000000-0002-0000-0100-000006000000}">
          <x14:formula1>
            <xm:f>'Opciones Tratamiento'!$B$13:$B$19</xm:f>
          </x14:formula1>
          <xm:sqref>F10:F69</xm:sqref>
        </x14:dataValidation>
        <x14:dataValidation type="list" allowBlank="1" showInputMessage="1" showErrorMessage="1" xr:uid="{00000000-0002-0000-0100-000007000000}">
          <x14:formula1>
            <xm:f>'Opciones Tratamiento'!$E$2:$E$4</xm:f>
          </x14:formula1>
          <xm:sqref>B10:B69</xm:sqref>
        </x14:dataValidation>
        <x14:dataValidation type="list" allowBlank="1" showInputMessage="1" showErrorMessage="1" xr:uid="{00000000-0002-0000-0100-000008000000}">
          <x14:formula1>
            <xm:f>'Opciones Tratamiento'!$B$2:$B$5</xm:f>
          </x14:formula1>
          <xm:sqref>AD10:AD69</xm:sqref>
        </x14:dataValidation>
        <x14:dataValidation type="list" allowBlank="1" showInputMessage="1" showErrorMessage="1" xr:uid="{00000000-0002-0000-0100-000009000000}">
          <x14:formula1>
            <xm:f>'Tabla Impacto'!$F$210:$F$221</xm:f>
          </x14:formula1>
          <xm:sqref>J10:J69</xm:sqref>
        </x14:dataValidation>
        <x14:dataValidation type="custom" allowBlank="1" showInputMessage="1" showErrorMessage="1" error="Recuerde que las acciones se generan bajo la medida de mitigar el riesgo" xr:uid="{00000000-0002-0000-0100-00000A000000}">
          <x14:formula1>
            <xm:f>IF(OR(AD10='Opciones Tratamiento'!$B$2,AD10='Opciones Tratamiento'!$B$3,AD10='Opciones Tratamiento'!$B$4),ISBLANK(AD10),ISTEXT(AD10))</xm:f>
          </x14:formula1>
          <xm:sqref>AE10:AE69</xm:sqref>
        </x14:dataValidation>
        <x14:dataValidation type="custom" allowBlank="1" showInputMessage="1" showErrorMessage="1" error="Recuerde que las acciones se generan bajo la medida de mitigar el riesgo" xr:uid="{00000000-0002-0000-0100-00000B000000}">
          <x14:formula1>
            <xm:f>IF(OR(AD10='Opciones Tratamiento'!$B$2,AD10='Opciones Tratamiento'!$B$3,AD10='Opciones Tratamiento'!$B$4),ISBLANK(AD10),ISTEXT(AD10))</xm:f>
          </x14:formula1>
          <xm:sqref>AF10:AF69</xm:sqref>
        </x14:dataValidation>
        <x14:dataValidation type="custom" allowBlank="1" showInputMessage="1" showErrorMessage="1" error="Recuerde que las acciones se generan bajo la medida de mitigar el riesgo" xr:uid="{00000000-0002-0000-0100-00000C000000}">
          <x14:formula1>
            <xm:f>IF(OR(AD10='Opciones Tratamiento'!$B$2,AD10='Opciones Tratamiento'!$B$3,AD10='Opciones Tratamiento'!$B$4),ISBLANK(AD10),ISTEXT(AD10))</xm:f>
          </x14:formula1>
          <xm:sqref>AG10:AG69</xm:sqref>
        </x14:dataValidation>
        <x14:dataValidation type="custom" allowBlank="1" showInputMessage="1" showErrorMessage="1" error="Recuerde que las acciones se generan bajo la medida de mitigar el riesgo" xr:uid="{00000000-0002-0000-0100-00000D000000}">
          <x14:formula1>
            <xm:f>IF(OR(AD10='Opciones Tratamiento'!$B$2,AD10='Opciones Tratamiento'!$B$3,AD10='Opciones Tratamiento'!$B$4),ISBLANK(AD10),ISTEXT(AD10))</xm:f>
          </x14:formula1>
          <xm:sqref>AH10:AH69</xm:sqref>
        </x14:dataValidation>
        <x14:dataValidation type="custom" allowBlank="1" showInputMessage="1" showErrorMessage="1" error="Recuerde que las acciones se generan bajo la medida de mitigar el riesgo" xr:uid="{00000000-0002-0000-0100-00000E000000}">
          <x14:formula1>
            <xm:f>IF(OR(AD10='Opciones Tratamiento'!$B$2,AD10='Opciones Tratamiento'!$B$3,AD10='Opciones Tratamiento'!$B$4),ISBLANK(AD10),ISTEXT(AD10))</xm:f>
          </x14:formula1>
          <xm:sqref>AI10:AI69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F370C-3FD1-4D3D-81F7-5A7ED9C76FB4}">
  <sheetPr>
    <tabColor rgb="FF002060"/>
  </sheetPr>
  <dimension ref="A1:QZ120"/>
  <sheetViews>
    <sheetView topLeftCell="A13" zoomScale="85" zoomScaleNormal="85" workbookViewId="0">
      <selection activeCell="AJ15" sqref="AJ15"/>
    </sheetView>
  </sheetViews>
  <sheetFormatPr baseColWidth="10" defaultRowHeight="16.5" x14ac:dyDescent="0.3"/>
  <cols>
    <col min="1" max="1" width="4" style="2" bestFit="1" customWidth="1"/>
    <col min="2" max="2" width="20" style="2" customWidth="1"/>
    <col min="3" max="3" width="15.5703125" style="2" customWidth="1"/>
    <col min="4" max="4" width="18.42578125" style="2" customWidth="1"/>
    <col min="5" max="5" width="36.85546875" style="1" customWidth="1"/>
    <col min="6" max="6" width="20.5703125" style="5" customWidth="1"/>
    <col min="7" max="7" width="17.85546875" style="1" customWidth="1"/>
    <col min="8" max="8" width="16.5703125" style="1" customWidth="1"/>
    <col min="9" max="9" width="9" style="1" customWidth="1"/>
    <col min="10" max="10" width="27.28515625" style="1" bestFit="1" customWidth="1"/>
    <col min="11" max="11" width="10.140625" style="1" hidden="1" customWidth="1"/>
    <col min="12" max="12" width="17.5703125" style="1" customWidth="1"/>
    <col min="13" max="13" width="9.28515625" style="1" customWidth="1"/>
    <col min="14" max="14" width="16" style="1" customWidth="1"/>
    <col min="15" max="15" width="5.85546875" style="1" customWidth="1"/>
    <col min="16" max="16" width="78.28515625" style="338" customWidth="1"/>
    <col min="17" max="17" width="15.140625" style="1" bestFit="1" customWidth="1"/>
    <col min="18" max="18" width="8.85546875" style="1" customWidth="1"/>
    <col min="19" max="20" width="8.140625" style="1" customWidth="1"/>
    <col min="21" max="23" width="9.5703125" style="1" customWidth="1"/>
    <col min="24" max="24" width="8.140625" style="1" customWidth="1"/>
    <col min="25" max="25" width="8.7109375" style="1" customWidth="1"/>
    <col min="26" max="26" width="10.42578125" style="1" customWidth="1"/>
    <col min="27" max="27" width="9.28515625" style="1" customWidth="1"/>
    <col min="28" max="28" width="9.140625" style="1" customWidth="1"/>
    <col min="29" max="29" width="8.42578125" style="1" customWidth="1"/>
    <col min="30" max="30" width="7.28515625" style="1" customWidth="1"/>
    <col min="31" max="31" width="57.140625" style="1" customWidth="1"/>
    <col min="32" max="32" width="23" style="1" customWidth="1"/>
    <col min="33" max="33" width="18.85546875" style="1" customWidth="1"/>
    <col min="34" max="34" width="21.7109375" style="1" customWidth="1"/>
    <col min="35" max="35" width="23.28515625" style="1" customWidth="1"/>
    <col min="36" max="16384" width="11.42578125" style="1"/>
  </cols>
  <sheetData>
    <row r="1" spans="1:468" ht="76.5" customHeight="1" x14ac:dyDescent="0.3">
      <c r="A1" s="329"/>
    </row>
    <row r="2" spans="1:468" ht="19.5" customHeight="1" thickBot="1" x14ac:dyDescent="0.35"/>
    <row r="3" spans="1:468" ht="16.5" customHeight="1" x14ac:dyDescent="0.3">
      <c r="A3" s="580" t="s">
        <v>460</v>
      </c>
      <c r="B3" s="581"/>
      <c r="C3" s="581"/>
      <c r="D3" s="581"/>
      <c r="E3" s="581"/>
      <c r="F3" s="581"/>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c r="AI3" s="582"/>
    </row>
    <row r="4" spans="1:468" ht="24" customHeight="1" thickBot="1" x14ac:dyDescent="0.35">
      <c r="A4" s="717"/>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585"/>
      <c r="AF4" s="585"/>
      <c r="AG4" s="585"/>
      <c r="AH4" s="585"/>
      <c r="AI4" s="586"/>
    </row>
    <row r="5" spans="1:468" ht="26.25" customHeight="1" x14ac:dyDescent="0.3">
      <c r="A5" s="587" t="s">
        <v>43</v>
      </c>
      <c r="B5" s="587"/>
      <c r="C5" s="588" t="str">
        <f>'Datos del proceso'!A10</f>
        <v>TRANSFORMACIÓN CULTURAL PARA LA REVITALIZACIÓN DEL CENTRO</v>
      </c>
      <c r="D5" s="588"/>
      <c r="E5" s="588"/>
      <c r="F5" s="588"/>
      <c r="G5" s="588"/>
      <c r="H5" s="588"/>
      <c r="I5" s="588"/>
      <c r="J5" s="588"/>
      <c r="K5" s="588"/>
      <c r="L5" s="588"/>
      <c r="M5" s="588"/>
      <c r="N5" s="588"/>
      <c r="O5" s="589"/>
      <c r="P5" s="589"/>
      <c r="Q5" s="589"/>
      <c r="R5" s="272"/>
      <c r="S5" s="272"/>
      <c r="T5" s="272"/>
      <c r="U5" s="272"/>
      <c r="V5" s="272"/>
      <c r="W5" s="272"/>
      <c r="X5" s="272"/>
      <c r="Y5" s="272"/>
      <c r="Z5" s="272"/>
      <c r="AA5" s="272"/>
      <c r="AB5" s="272"/>
      <c r="AC5" s="272"/>
      <c r="AD5" s="272"/>
      <c r="AE5" s="272"/>
      <c r="AF5" s="272"/>
      <c r="AG5" s="272"/>
      <c r="AH5" s="272"/>
      <c r="AI5" s="272"/>
    </row>
    <row r="6" spans="1:468" ht="70.5" customHeight="1" x14ac:dyDescent="0.3">
      <c r="A6" s="718" t="s">
        <v>130</v>
      </c>
      <c r="B6" s="718"/>
      <c r="C6" s="719"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D6" s="719"/>
      <c r="E6" s="719"/>
      <c r="F6" s="719"/>
      <c r="G6" s="719"/>
      <c r="H6" s="719"/>
      <c r="I6" s="719"/>
      <c r="J6" s="719"/>
      <c r="K6" s="719"/>
      <c r="L6" s="719"/>
      <c r="M6" s="719"/>
      <c r="N6" s="719"/>
      <c r="O6" s="272"/>
      <c r="P6" s="339"/>
      <c r="Q6" s="272"/>
      <c r="R6" s="272"/>
      <c r="S6" s="272"/>
      <c r="T6" s="272"/>
      <c r="U6" s="272"/>
      <c r="V6" s="272"/>
      <c r="W6" s="272"/>
      <c r="X6" s="272"/>
      <c r="Y6" s="272"/>
      <c r="Z6" s="272"/>
      <c r="AA6" s="272"/>
      <c r="AB6" s="272"/>
      <c r="AC6" s="272"/>
      <c r="AD6" s="272"/>
      <c r="AE6" s="272"/>
      <c r="AF6" s="272"/>
      <c r="AG6" s="272"/>
      <c r="AH6" s="272"/>
      <c r="AI6" s="272"/>
    </row>
    <row r="7" spans="1:468" s="274" customFormat="1" ht="15" x14ac:dyDescent="0.2">
      <c r="A7" s="699" t="s">
        <v>139</v>
      </c>
      <c r="B7" s="699"/>
      <c r="C7" s="699"/>
      <c r="D7" s="699"/>
      <c r="E7" s="699"/>
      <c r="F7" s="699"/>
      <c r="G7" s="699"/>
      <c r="H7" s="699" t="s">
        <v>140</v>
      </c>
      <c r="I7" s="699"/>
      <c r="J7" s="699"/>
      <c r="K7" s="699"/>
      <c r="L7" s="699"/>
      <c r="M7" s="699"/>
      <c r="N7" s="699"/>
      <c r="O7" s="699" t="s">
        <v>141</v>
      </c>
      <c r="P7" s="699"/>
      <c r="Q7" s="699"/>
      <c r="R7" s="699"/>
      <c r="S7" s="699"/>
      <c r="T7" s="699"/>
      <c r="U7" s="699"/>
      <c r="V7" s="699"/>
      <c r="W7" s="699"/>
      <c r="X7" s="699" t="s">
        <v>142</v>
      </c>
      <c r="Y7" s="699"/>
      <c r="Z7" s="699"/>
      <c r="AA7" s="699"/>
      <c r="AB7" s="699"/>
      <c r="AC7" s="699"/>
      <c r="AD7" s="699"/>
      <c r="AE7" s="721" t="s">
        <v>34</v>
      </c>
      <c r="AF7" s="722"/>
      <c r="AG7" s="723"/>
      <c r="AH7" s="699" t="s">
        <v>554</v>
      </c>
      <c r="AI7" s="699"/>
    </row>
    <row r="8" spans="1:468" s="274" customFormat="1" ht="16.5" customHeight="1" x14ac:dyDescent="0.2">
      <c r="A8" s="720" t="s">
        <v>0</v>
      </c>
      <c r="B8" s="578" t="s">
        <v>546</v>
      </c>
      <c r="C8" s="578" t="s">
        <v>544</v>
      </c>
      <c r="D8" s="578" t="s">
        <v>545</v>
      </c>
      <c r="E8" s="577" t="s">
        <v>1</v>
      </c>
      <c r="F8" s="578" t="s">
        <v>477</v>
      </c>
      <c r="G8" s="592" t="s">
        <v>551</v>
      </c>
      <c r="H8" s="579" t="s">
        <v>480</v>
      </c>
      <c r="I8" s="578" t="s">
        <v>481</v>
      </c>
      <c r="J8" s="592" t="s">
        <v>555</v>
      </c>
      <c r="K8" s="716" t="s">
        <v>92</v>
      </c>
      <c r="L8" s="716" t="s">
        <v>482</v>
      </c>
      <c r="M8" s="716" t="s">
        <v>483</v>
      </c>
      <c r="N8" s="578" t="s">
        <v>484</v>
      </c>
      <c r="O8" s="595" t="s">
        <v>11</v>
      </c>
      <c r="P8" s="592" t="s">
        <v>163</v>
      </c>
      <c r="Q8" s="578" t="s">
        <v>503</v>
      </c>
      <c r="R8" s="578" t="s">
        <v>8</v>
      </c>
      <c r="S8" s="578"/>
      <c r="T8" s="578"/>
      <c r="U8" s="578"/>
      <c r="V8" s="578"/>
      <c r="W8" s="578"/>
      <c r="X8" s="595" t="s">
        <v>502</v>
      </c>
      <c r="Y8" s="595" t="s">
        <v>485</v>
      </c>
      <c r="Z8" s="595" t="s">
        <v>488</v>
      </c>
      <c r="AA8" s="595" t="s">
        <v>486</v>
      </c>
      <c r="AB8" s="595" t="s">
        <v>481</v>
      </c>
      <c r="AC8" s="595" t="s">
        <v>489</v>
      </c>
      <c r="AD8" s="595" t="s">
        <v>29</v>
      </c>
      <c r="AE8" s="578" t="s">
        <v>552</v>
      </c>
      <c r="AF8" s="578" t="s">
        <v>35</v>
      </c>
      <c r="AG8" s="578" t="s">
        <v>506</v>
      </c>
      <c r="AH8" s="578" t="s">
        <v>234</v>
      </c>
      <c r="AI8" s="578" t="s">
        <v>553</v>
      </c>
    </row>
    <row r="9" spans="1:468" s="277" customFormat="1" ht="83.25" customHeight="1" x14ac:dyDescent="0.25">
      <c r="A9" s="720"/>
      <c r="B9" s="577"/>
      <c r="C9" s="578"/>
      <c r="D9" s="578"/>
      <c r="E9" s="577"/>
      <c r="F9" s="578"/>
      <c r="G9" s="592"/>
      <c r="H9" s="579"/>
      <c r="I9" s="578"/>
      <c r="J9" s="592"/>
      <c r="K9" s="716"/>
      <c r="L9" s="617"/>
      <c r="M9" s="716"/>
      <c r="N9" s="578"/>
      <c r="O9" s="595"/>
      <c r="P9" s="592"/>
      <c r="Q9" s="578"/>
      <c r="R9" s="294" t="s">
        <v>490</v>
      </c>
      <c r="S9" s="294" t="s">
        <v>492</v>
      </c>
      <c r="T9" s="294" t="s">
        <v>487</v>
      </c>
      <c r="U9" s="294" t="s">
        <v>499</v>
      </c>
      <c r="V9" s="294" t="s">
        <v>500</v>
      </c>
      <c r="W9" s="294" t="s">
        <v>501</v>
      </c>
      <c r="X9" s="595"/>
      <c r="Y9" s="595"/>
      <c r="Z9" s="595"/>
      <c r="AA9" s="595"/>
      <c r="AB9" s="595"/>
      <c r="AC9" s="595"/>
      <c r="AD9" s="595"/>
      <c r="AE9" s="578"/>
      <c r="AF9" s="578"/>
      <c r="AG9" s="578"/>
      <c r="AH9" s="578"/>
      <c r="AI9" s="578"/>
      <c r="AJ9" s="325"/>
      <c r="AK9" s="325"/>
      <c r="AL9" s="325"/>
      <c r="AM9" s="325"/>
      <c r="AN9" s="325"/>
      <c r="AO9" s="325"/>
      <c r="AP9" s="325"/>
      <c r="AQ9" s="325"/>
      <c r="AR9" s="325"/>
      <c r="AS9" s="325"/>
      <c r="AT9" s="325"/>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c r="DH9" s="325"/>
      <c r="DI9" s="325"/>
      <c r="DJ9" s="325"/>
      <c r="DK9" s="325"/>
      <c r="DL9" s="325"/>
      <c r="DM9" s="325"/>
      <c r="DN9" s="325"/>
      <c r="DO9" s="325"/>
      <c r="DP9" s="325"/>
      <c r="DQ9" s="325"/>
      <c r="DR9" s="325"/>
      <c r="DS9" s="325"/>
      <c r="DT9" s="325"/>
      <c r="DU9" s="325"/>
      <c r="DV9" s="325"/>
      <c r="DW9" s="325"/>
      <c r="DX9" s="325"/>
      <c r="DY9" s="325"/>
      <c r="DZ9" s="325"/>
      <c r="EA9" s="325"/>
      <c r="EB9" s="325"/>
      <c r="EC9" s="325"/>
      <c r="ED9" s="325"/>
      <c r="EE9" s="325"/>
      <c r="EF9" s="325"/>
      <c r="EG9" s="325"/>
      <c r="EH9" s="325"/>
      <c r="EI9" s="325"/>
      <c r="EJ9" s="325"/>
      <c r="EK9" s="325"/>
      <c r="EL9" s="325"/>
      <c r="EM9" s="325"/>
      <c r="EN9" s="325"/>
      <c r="EO9" s="325"/>
      <c r="EP9" s="325"/>
      <c r="EQ9" s="325"/>
      <c r="ER9" s="325"/>
      <c r="ES9" s="325"/>
      <c r="ET9" s="325"/>
      <c r="EU9" s="325"/>
      <c r="EV9" s="325"/>
      <c r="EW9" s="325"/>
      <c r="EX9" s="325"/>
      <c r="EY9" s="325"/>
      <c r="EZ9" s="325"/>
      <c r="FA9" s="325"/>
      <c r="FB9" s="325"/>
      <c r="FC9" s="325"/>
      <c r="FD9" s="325"/>
      <c r="FE9" s="325"/>
      <c r="FF9" s="325"/>
      <c r="FG9" s="325"/>
      <c r="FH9" s="325"/>
      <c r="FI9" s="325"/>
      <c r="FJ9" s="325"/>
      <c r="FK9" s="325"/>
      <c r="FL9" s="325"/>
      <c r="FM9" s="325"/>
      <c r="FN9" s="325"/>
      <c r="FO9" s="325"/>
      <c r="FP9" s="325"/>
      <c r="FQ9" s="325"/>
      <c r="FR9" s="325"/>
      <c r="FS9" s="325"/>
      <c r="FT9" s="325"/>
      <c r="FU9" s="325"/>
      <c r="FV9" s="325"/>
      <c r="FW9" s="325"/>
      <c r="FX9" s="325"/>
      <c r="FY9" s="325"/>
      <c r="FZ9" s="325"/>
      <c r="GA9" s="325"/>
      <c r="GB9" s="325"/>
      <c r="GC9" s="325"/>
      <c r="GD9" s="325"/>
      <c r="GE9" s="325"/>
      <c r="GF9" s="325"/>
      <c r="GG9" s="325"/>
      <c r="GH9" s="325"/>
      <c r="GI9" s="325"/>
      <c r="GJ9" s="325"/>
      <c r="GK9" s="325"/>
      <c r="GL9" s="325"/>
      <c r="GM9" s="325"/>
      <c r="GN9" s="325"/>
      <c r="GO9" s="325"/>
      <c r="GP9" s="325"/>
      <c r="GQ9" s="325"/>
      <c r="GR9" s="325"/>
      <c r="GS9" s="325"/>
      <c r="GT9" s="325"/>
      <c r="GU9" s="325"/>
      <c r="GV9" s="325"/>
      <c r="GW9" s="325"/>
      <c r="GX9" s="325"/>
      <c r="GY9" s="325"/>
      <c r="GZ9" s="325"/>
      <c r="HA9" s="325"/>
      <c r="HB9" s="325"/>
      <c r="HC9" s="325"/>
      <c r="HD9" s="325"/>
      <c r="HE9" s="325"/>
      <c r="HF9" s="325"/>
      <c r="HG9" s="325"/>
      <c r="HH9" s="325"/>
      <c r="HI9" s="325"/>
      <c r="HJ9" s="325"/>
      <c r="HK9" s="325"/>
      <c r="HL9" s="325"/>
      <c r="HM9" s="325"/>
      <c r="HN9" s="325"/>
      <c r="HO9" s="325"/>
      <c r="HP9" s="325"/>
      <c r="HQ9" s="325"/>
      <c r="HR9" s="325"/>
      <c r="HS9" s="325"/>
      <c r="HT9" s="325"/>
      <c r="HU9" s="325"/>
      <c r="HV9" s="325"/>
      <c r="HW9" s="325"/>
      <c r="HX9" s="325"/>
      <c r="HY9" s="325"/>
      <c r="HZ9" s="325"/>
      <c r="IA9" s="325"/>
      <c r="IB9" s="325"/>
      <c r="IC9" s="325"/>
      <c r="ID9" s="325"/>
      <c r="IE9" s="325"/>
      <c r="IF9" s="325"/>
      <c r="IG9" s="325"/>
      <c r="IH9" s="325"/>
      <c r="II9" s="325"/>
      <c r="IJ9" s="325"/>
      <c r="IK9" s="325"/>
      <c r="IL9" s="325"/>
      <c r="IM9" s="325"/>
      <c r="IN9" s="325"/>
      <c r="IO9" s="325"/>
      <c r="IP9" s="325"/>
      <c r="IQ9" s="325"/>
      <c r="IR9" s="325"/>
      <c r="IS9" s="325"/>
      <c r="IT9" s="325"/>
      <c r="IU9" s="325"/>
      <c r="IV9" s="325"/>
      <c r="IW9" s="325"/>
      <c r="IX9" s="325"/>
      <c r="IY9" s="325"/>
      <c r="IZ9" s="325"/>
      <c r="JA9" s="325"/>
      <c r="JB9" s="325"/>
      <c r="JC9" s="325"/>
      <c r="JD9" s="325"/>
      <c r="JE9" s="325"/>
      <c r="JF9" s="325"/>
      <c r="JG9" s="325"/>
      <c r="JH9" s="325"/>
      <c r="JI9" s="325"/>
      <c r="JJ9" s="325"/>
      <c r="JK9" s="325"/>
      <c r="JL9" s="325"/>
      <c r="JM9" s="325"/>
      <c r="JN9" s="325"/>
      <c r="JO9" s="325"/>
      <c r="JP9" s="325"/>
      <c r="JQ9" s="325"/>
      <c r="JR9" s="325"/>
      <c r="JS9" s="325"/>
      <c r="JT9" s="325"/>
      <c r="JU9" s="325"/>
      <c r="JV9" s="325"/>
      <c r="JW9" s="325"/>
      <c r="JX9" s="325"/>
      <c r="JY9" s="325"/>
      <c r="JZ9" s="325"/>
      <c r="KA9" s="325"/>
      <c r="KB9" s="325"/>
      <c r="KC9" s="325"/>
      <c r="KD9" s="325"/>
      <c r="KE9" s="325"/>
      <c r="KF9" s="325"/>
      <c r="KG9" s="325"/>
      <c r="KH9" s="325"/>
      <c r="KI9" s="325"/>
      <c r="KJ9" s="325"/>
      <c r="KK9" s="325"/>
      <c r="KL9" s="325"/>
      <c r="KM9" s="325"/>
      <c r="KN9" s="325"/>
      <c r="KO9" s="325"/>
      <c r="KP9" s="325"/>
      <c r="KQ9" s="325"/>
      <c r="KR9" s="325"/>
      <c r="KS9" s="325"/>
      <c r="KT9" s="325"/>
      <c r="KU9" s="325"/>
      <c r="KV9" s="325"/>
      <c r="KW9" s="325"/>
      <c r="KX9" s="325"/>
      <c r="KY9" s="325"/>
      <c r="KZ9" s="325"/>
      <c r="LA9" s="325"/>
      <c r="LB9" s="325"/>
      <c r="LC9" s="325"/>
      <c r="LD9" s="325"/>
      <c r="LE9" s="325"/>
      <c r="LF9" s="325"/>
      <c r="LG9" s="325"/>
      <c r="LH9" s="325"/>
      <c r="LI9" s="325"/>
      <c r="LJ9" s="325"/>
      <c r="LK9" s="325"/>
      <c r="LL9" s="325"/>
      <c r="LM9" s="325"/>
      <c r="LN9" s="325"/>
      <c r="LO9" s="325"/>
      <c r="LP9" s="325"/>
      <c r="LQ9" s="325"/>
      <c r="LR9" s="325"/>
      <c r="LS9" s="325"/>
      <c r="LT9" s="325"/>
      <c r="LU9" s="325"/>
      <c r="LV9" s="325"/>
      <c r="LW9" s="325"/>
      <c r="LX9" s="325"/>
      <c r="LY9" s="325"/>
      <c r="LZ9" s="325"/>
      <c r="MA9" s="325"/>
      <c r="MB9" s="325"/>
      <c r="MC9" s="325"/>
      <c r="MD9" s="325"/>
      <c r="ME9" s="325"/>
      <c r="MF9" s="325"/>
      <c r="MG9" s="325"/>
      <c r="MH9" s="325"/>
      <c r="MI9" s="325"/>
      <c r="MJ9" s="325"/>
      <c r="MK9" s="325"/>
      <c r="ML9" s="325"/>
      <c r="MM9" s="325"/>
      <c r="MN9" s="325"/>
      <c r="MO9" s="325"/>
      <c r="MP9" s="325"/>
      <c r="MQ9" s="325"/>
      <c r="MR9" s="325"/>
      <c r="MS9" s="325"/>
      <c r="MT9" s="325"/>
      <c r="MU9" s="325"/>
      <c r="MV9" s="325"/>
      <c r="MW9" s="325"/>
      <c r="MX9" s="325"/>
      <c r="MY9" s="325"/>
      <c r="MZ9" s="325"/>
      <c r="NA9" s="325"/>
      <c r="NB9" s="325"/>
      <c r="NC9" s="325"/>
      <c r="ND9" s="325"/>
      <c r="NE9" s="325"/>
      <c r="NF9" s="325"/>
      <c r="NG9" s="325"/>
      <c r="NH9" s="325"/>
      <c r="NI9" s="325"/>
      <c r="NJ9" s="325"/>
      <c r="NK9" s="325"/>
      <c r="NL9" s="325"/>
      <c r="NM9" s="325"/>
      <c r="NN9" s="325"/>
      <c r="NO9" s="325"/>
      <c r="NP9" s="325"/>
      <c r="NQ9" s="325"/>
      <c r="NR9" s="325"/>
      <c r="NS9" s="325"/>
      <c r="NT9" s="325"/>
      <c r="NU9" s="325"/>
      <c r="NV9" s="325"/>
      <c r="NW9" s="325"/>
      <c r="NX9" s="325"/>
      <c r="NY9" s="325"/>
      <c r="NZ9" s="325"/>
      <c r="OA9" s="325"/>
      <c r="OB9" s="325"/>
      <c r="OC9" s="325"/>
      <c r="OD9" s="325"/>
      <c r="OE9" s="325"/>
      <c r="OF9" s="325"/>
      <c r="OG9" s="325"/>
      <c r="OH9" s="325"/>
      <c r="OI9" s="325"/>
      <c r="OJ9" s="325"/>
      <c r="OK9" s="325"/>
      <c r="OL9" s="325"/>
      <c r="OM9" s="325"/>
      <c r="ON9" s="325"/>
      <c r="OO9" s="325"/>
      <c r="OP9" s="325"/>
      <c r="OQ9" s="325"/>
      <c r="OR9" s="325"/>
      <c r="OS9" s="325"/>
      <c r="OT9" s="325"/>
      <c r="OU9" s="325"/>
      <c r="OV9" s="325"/>
      <c r="OW9" s="325"/>
      <c r="OX9" s="325"/>
      <c r="OY9" s="325"/>
      <c r="OZ9" s="325"/>
      <c r="PA9" s="325"/>
      <c r="PB9" s="325"/>
      <c r="PC9" s="325"/>
      <c r="PD9" s="325"/>
      <c r="PE9" s="325"/>
      <c r="PF9" s="325"/>
      <c r="PG9" s="325"/>
      <c r="PH9" s="325"/>
      <c r="PI9" s="325"/>
      <c r="PJ9" s="325"/>
      <c r="PK9" s="325"/>
      <c r="PL9" s="325"/>
      <c r="PM9" s="325"/>
      <c r="PN9" s="325"/>
      <c r="PO9" s="325"/>
      <c r="PP9" s="325"/>
      <c r="PQ9" s="325"/>
      <c r="PR9" s="325"/>
      <c r="PS9" s="325"/>
      <c r="PT9" s="325"/>
      <c r="PU9" s="325"/>
      <c r="PV9" s="325"/>
      <c r="PW9" s="325"/>
      <c r="PX9" s="325"/>
      <c r="PY9" s="325"/>
      <c r="PZ9" s="325"/>
      <c r="QA9" s="325"/>
      <c r="QB9" s="325"/>
      <c r="QC9" s="325"/>
      <c r="QD9" s="325"/>
      <c r="QE9" s="325"/>
      <c r="QF9" s="325"/>
      <c r="QG9" s="325"/>
      <c r="QH9" s="325"/>
      <c r="QI9" s="325"/>
      <c r="QJ9" s="325"/>
      <c r="QK9" s="325"/>
      <c r="QL9" s="325"/>
      <c r="QM9" s="325"/>
      <c r="QN9" s="325"/>
      <c r="QO9" s="325"/>
      <c r="QP9" s="325"/>
      <c r="QQ9" s="325"/>
      <c r="QR9" s="325"/>
      <c r="QS9" s="325"/>
      <c r="QT9" s="325"/>
      <c r="QU9" s="325"/>
      <c r="QV9" s="325"/>
      <c r="QW9" s="325"/>
      <c r="QX9" s="325"/>
      <c r="QY9" s="325"/>
    </row>
    <row r="10" spans="1:468" s="291" customFormat="1" ht="135" customHeight="1" x14ac:dyDescent="0.25">
      <c r="A10" s="278">
        <v>1</v>
      </c>
      <c r="B10" s="286" t="s">
        <v>602</v>
      </c>
      <c r="C10" s="344" t="s">
        <v>603</v>
      </c>
      <c r="D10" s="344" t="s">
        <v>604</v>
      </c>
      <c r="E10" s="446" t="s">
        <v>605</v>
      </c>
      <c r="F10" s="286" t="s">
        <v>470</v>
      </c>
      <c r="G10" s="414">
        <v>45</v>
      </c>
      <c r="H10" s="343" t="str">
        <f>IF(G10&lt;=0,"",IF(G10&lt;=2,"Muy Baja",IF(G10&lt;=24,"Baja",IF(G10&lt;=500,"Media",IF(G10&lt;=5000,"Alta","Muy Alta")))))</f>
        <v>Media</v>
      </c>
      <c r="I10" s="341">
        <f>IF(H10="","",IF(H10="Muy Baja",0.2,IF(H10="Baja",0.4,IF(H10="Media",0.6,IF(H10="Alta",0.8,IF(H10="Muy Alta",1,))))))</f>
        <v>0.6</v>
      </c>
      <c r="J10" s="415">
        <v>0.8</v>
      </c>
      <c r="K10" s="341">
        <f>IF(NOT(ISERROR(MATCH(J10,'[2]Tabla Impacto'!$B$221:$B$223,0))),'[2]Tabla Impacto'!$F$223&amp;"Por favor no seleccionar los criterios de impacto(Afectación Económica o presupuestal y Pérdida Reputacional)",J10)</f>
        <v>0.8</v>
      </c>
      <c r="L10" s="343" t="str">
        <f>IF(J10&lt;=0,"",IF(J10&lt;=20%,"Leve",IF(J10&lt;=40%,"Menor",IF(J10&lt;=60%,"Moderado",IF(J10&lt;=80%,"Mayor","Catastrófico")))))</f>
        <v>Mayor</v>
      </c>
      <c r="M10" s="341">
        <f>IF(L10="","",IF(L10="Leve",0.2,IF(L10="Menor",0.4,IF(L10="Moderado",0.6,IF(L10="Mayor",0.8,IF(L10="Catastrófico",1,))))))</f>
        <v>0.8</v>
      </c>
      <c r="N10" s="34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45">
        <v>1</v>
      </c>
      <c r="P10" s="416" t="s">
        <v>606</v>
      </c>
      <c r="Q10" s="280" t="str">
        <f>IF(OR(R10="Preventivo",R10="Detectivo"),"Probabilidad",IF(R10="Correctivo","Impacto",""))</f>
        <v>Probabilidad</v>
      </c>
      <c r="R10" s="281" t="s">
        <v>14</v>
      </c>
      <c r="S10" s="281" t="s">
        <v>9</v>
      </c>
      <c r="T10" s="280" t="str">
        <f>IF(AND(R10="Preventivo",S10="Automático"),"50%",IF(AND(R10="Preventivo",S10="Manual"),"40%",IF(AND(R10="Detectivo",S10="Automático"),"40%",IF(AND(R10="Detectivo",S10="Manual"),"30%",IF(AND(R10="Correctivo",S10="Automático"),"35%",IF(AND(R10="Correctivo",S10="Manual"),"25%",""))))))</f>
        <v>40%</v>
      </c>
      <c r="U10" s="281" t="s">
        <v>494</v>
      </c>
      <c r="V10" s="281" t="s">
        <v>22</v>
      </c>
      <c r="W10" s="281" t="s">
        <v>497</v>
      </c>
      <c r="X10" s="283">
        <f>IFERROR(IF(Q10="Probabilidad",(I10-(+I10*T10)),IF(Q10="Impacto",I10,"")),"")</f>
        <v>0.36</v>
      </c>
      <c r="Y10" s="284" t="str">
        <f>IFERROR(IF(X10="","",IF(X10&lt;=0.2,"Muy Baja",IF(X10&lt;=0.4,"Baja",IF(X10&lt;=0.6,"Media",IF(X10&lt;=0.8,"Alta","Muy Alta"))))),"")</f>
        <v>Baja</v>
      </c>
      <c r="Z10" s="282">
        <f>+X10</f>
        <v>0.36</v>
      </c>
      <c r="AA10" s="284" t="str">
        <f>IFERROR(IF(AB10="","",IF(AB10&lt;=0.2,"Leve",IF(AB10&lt;=0.4,"Menor",IF(AB10&lt;=0.6,"Moderado",IF(AB10&lt;=0.8,"Mayor","Catastrófico"))))),"")</f>
        <v>Mayor</v>
      </c>
      <c r="AB10" s="282">
        <f>IFERROR(IF(Q10="Impacto",(M10-(+M10*T10)),IF(Q10="Probabilidad",M10,"")),"")</f>
        <v>0.8</v>
      </c>
      <c r="AC10" s="285"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281" t="s">
        <v>30</v>
      </c>
      <c r="AE10" s="417" t="s">
        <v>607</v>
      </c>
      <c r="AF10" s="418" t="s">
        <v>608</v>
      </c>
      <c r="AG10" s="419">
        <v>44895</v>
      </c>
      <c r="AH10" s="449" t="s">
        <v>627</v>
      </c>
      <c r="AI10" s="449" t="s">
        <v>628</v>
      </c>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c r="BF10" s="326"/>
      <c r="BG10" s="326"/>
      <c r="BH10" s="326"/>
      <c r="BI10" s="326"/>
      <c r="BJ10" s="326"/>
      <c r="BK10" s="326"/>
      <c r="BL10" s="326"/>
      <c r="BM10" s="326"/>
      <c r="BN10" s="326"/>
      <c r="BO10" s="326"/>
      <c r="BP10" s="326"/>
      <c r="BQ10" s="326"/>
      <c r="BR10" s="326"/>
      <c r="BS10" s="326"/>
      <c r="BT10" s="326"/>
      <c r="BU10" s="326"/>
      <c r="BV10" s="326"/>
      <c r="BW10" s="326"/>
      <c r="BX10" s="326"/>
      <c r="BY10" s="326"/>
      <c r="BZ10" s="326"/>
      <c r="CA10" s="326"/>
      <c r="CB10" s="326"/>
      <c r="CC10" s="326"/>
      <c r="CD10" s="326"/>
      <c r="CE10" s="326"/>
      <c r="CF10" s="326"/>
      <c r="CG10" s="326"/>
      <c r="CH10" s="326"/>
      <c r="CI10" s="326"/>
      <c r="CJ10" s="326"/>
      <c r="CK10" s="326"/>
      <c r="CL10" s="326"/>
      <c r="CM10" s="326"/>
      <c r="CN10" s="326"/>
      <c r="CO10" s="326"/>
      <c r="CP10" s="326"/>
      <c r="CQ10" s="326"/>
      <c r="CR10" s="326"/>
      <c r="CS10" s="326"/>
      <c r="CT10" s="326"/>
      <c r="CU10" s="326"/>
      <c r="CV10" s="326"/>
      <c r="CW10" s="326"/>
      <c r="CX10" s="326"/>
      <c r="CY10" s="326"/>
      <c r="CZ10" s="326"/>
      <c r="DA10" s="326"/>
      <c r="DB10" s="326"/>
      <c r="DC10" s="326"/>
      <c r="DD10" s="326"/>
      <c r="DE10" s="326"/>
      <c r="DF10" s="326"/>
      <c r="DG10" s="326"/>
      <c r="DH10" s="326"/>
      <c r="DI10" s="326"/>
      <c r="DJ10" s="326"/>
      <c r="DK10" s="326"/>
      <c r="DL10" s="326"/>
      <c r="DM10" s="326"/>
      <c r="DN10" s="326"/>
      <c r="DO10" s="326"/>
      <c r="DP10" s="326"/>
      <c r="DQ10" s="326"/>
      <c r="DR10" s="326"/>
      <c r="DS10" s="326"/>
      <c r="DT10" s="326"/>
      <c r="DU10" s="326"/>
      <c r="DV10" s="326"/>
      <c r="DW10" s="326"/>
      <c r="DX10" s="326"/>
      <c r="DY10" s="326"/>
      <c r="DZ10" s="326"/>
      <c r="EA10" s="326"/>
      <c r="EB10" s="326"/>
      <c r="EC10" s="326"/>
      <c r="ED10" s="326"/>
      <c r="EE10" s="326"/>
      <c r="EF10" s="326"/>
      <c r="EG10" s="326"/>
      <c r="EH10" s="326"/>
      <c r="EI10" s="326"/>
      <c r="EJ10" s="326"/>
      <c r="EK10" s="326"/>
      <c r="EL10" s="326"/>
      <c r="EM10" s="326"/>
      <c r="EN10" s="326"/>
      <c r="EO10" s="326"/>
      <c r="EP10" s="326"/>
      <c r="EQ10" s="326"/>
      <c r="ER10" s="326"/>
      <c r="ES10" s="326"/>
      <c r="ET10" s="326"/>
      <c r="EU10" s="326"/>
      <c r="EV10" s="326"/>
      <c r="EW10" s="326"/>
      <c r="EX10" s="326"/>
      <c r="EY10" s="326"/>
      <c r="EZ10" s="326"/>
      <c r="FA10" s="326"/>
      <c r="FB10" s="326"/>
      <c r="FC10" s="326"/>
      <c r="FD10" s="326"/>
      <c r="FE10" s="326"/>
      <c r="FF10" s="326"/>
      <c r="FG10" s="326"/>
      <c r="FH10" s="326"/>
      <c r="FI10" s="326"/>
      <c r="FJ10" s="326"/>
      <c r="FK10" s="326"/>
      <c r="FL10" s="326"/>
      <c r="FM10" s="326"/>
      <c r="FN10" s="326"/>
      <c r="FO10" s="326"/>
      <c r="FP10" s="326"/>
      <c r="FQ10" s="326"/>
      <c r="FR10" s="326"/>
      <c r="FS10" s="326"/>
      <c r="FT10" s="326"/>
      <c r="FU10" s="326"/>
      <c r="FV10" s="326"/>
      <c r="FW10" s="326"/>
      <c r="FX10" s="326"/>
      <c r="FY10" s="326"/>
      <c r="FZ10" s="326"/>
      <c r="GA10" s="326"/>
      <c r="GB10" s="326"/>
      <c r="GC10" s="326"/>
      <c r="GD10" s="326"/>
      <c r="GE10" s="326"/>
      <c r="GF10" s="326"/>
      <c r="GG10" s="326"/>
      <c r="GH10" s="326"/>
      <c r="GI10" s="326"/>
      <c r="GJ10" s="326"/>
      <c r="GK10" s="326"/>
      <c r="GL10" s="326"/>
      <c r="GM10" s="326"/>
      <c r="GN10" s="326"/>
      <c r="GO10" s="326"/>
      <c r="GP10" s="326"/>
      <c r="GQ10" s="326"/>
      <c r="GR10" s="326"/>
      <c r="GS10" s="326"/>
      <c r="GT10" s="326"/>
      <c r="GU10" s="326"/>
      <c r="GV10" s="326"/>
      <c r="GW10" s="326"/>
      <c r="GX10" s="326"/>
      <c r="GY10" s="326"/>
      <c r="GZ10" s="326"/>
      <c r="HA10" s="326"/>
      <c r="HB10" s="326"/>
      <c r="HC10" s="326"/>
      <c r="HD10" s="326"/>
      <c r="HE10" s="326"/>
      <c r="HF10" s="326"/>
      <c r="HG10" s="326"/>
      <c r="HH10" s="326"/>
      <c r="HI10" s="326"/>
      <c r="HJ10" s="326"/>
      <c r="HK10" s="326"/>
      <c r="HL10" s="326"/>
      <c r="HM10" s="326"/>
      <c r="HN10" s="326"/>
      <c r="HO10" s="326"/>
      <c r="HP10" s="326"/>
      <c r="HQ10" s="326"/>
      <c r="HR10" s="326"/>
      <c r="HS10" s="326"/>
      <c r="HT10" s="326"/>
      <c r="HU10" s="326"/>
      <c r="HV10" s="326"/>
      <c r="HW10" s="326"/>
      <c r="HX10" s="326"/>
      <c r="HY10" s="326"/>
      <c r="HZ10" s="326"/>
      <c r="IA10" s="326"/>
      <c r="IB10" s="326"/>
      <c r="IC10" s="326"/>
      <c r="ID10" s="326"/>
      <c r="IE10" s="326"/>
      <c r="IF10" s="326"/>
      <c r="IG10" s="326"/>
      <c r="IH10" s="326"/>
      <c r="II10" s="326"/>
      <c r="IJ10" s="326"/>
      <c r="IK10" s="326"/>
      <c r="IL10" s="326"/>
      <c r="IM10" s="326"/>
      <c r="IN10" s="326"/>
      <c r="IO10" s="326"/>
      <c r="IP10" s="326"/>
      <c r="IQ10" s="326"/>
      <c r="IR10" s="326"/>
      <c r="IS10" s="326"/>
      <c r="IT10" s="326"/>
      <c r="IU10" s="326"/>
      <c r="IV10" s="326"/>
      <c r="IW10" s="326"/>
      <c r="IX10" s="326"/>
      <c r="IY10" s="326"/>
      <c r="IZ10" s="326"/>
      <c r="JA10" s="326"/>
      <c r="JB10" s="326"/>
      <c r="JC10" s="326"/>
      <c r="JD10" s="326"/>
      <c r="JE10" s="326"/>
      <c r="JF10" s="326"/>
      <c r="JG10" s="326"/>
      <c r="JH10" s="326"/>
      <c r="JI10" s="326"/>
      <c r="JJ10" s="326"/>
      <c r="JK10" s="326"/>
      <c r="JL10" s="326"/>
      <c r="JM10" s="326"/>
      <c r="JN10" s="326"/>
      <c r="JO10" s="326"/>
      <c r="JP10" s="326"/>
      <c r="JQ10" s="326"/>
      <c r="JR10" s="326"/>
      <c r="JS10" s="326"/>
      <c r="JT10" s="326"/>
      <c r="JU10" s="326"/>
      <c r="JV10" s="326"/>
      <c r="JW10" s="326"/>
      <c r="JX10" s="326"/>
      <c r="JY10" s="326"/>
      <c r="JZ10" s="326"/>
      <c r="KA10" s="326"/>
      <c r="KB10" s="326"/>
      <c r="KC10" s="326"/>
      <c r="KD10" s="326"/>
      <c r="KE10" s="326"/>
      <c r="KF10" s="326"/>
      <c r="KG10" s="326"/>
      <c r="KH10" s="326"/>
      <c r="KI10" s="326"/>
      <c r="KJ10" s="326"/>
      <c r="KK10" s="326"/>
      <c r="KL10" s="326"/>
      <c r="KM10" s="326"/>
      <c r="KN10" s="326"/>
      <c r="KO10" s="326"/>
      <c r="KP10" s="326"/>
      <c r="KQ10" s="326"/>
      <c r="KR10" s="326"/>
      <c r="KS10" s="326"/>
      <c r="KT10" s="326"/>
      <c r="KU10" s="326"/>
      <c r="KV10" s="326"/>
      <c r="KW10" s="326"/>
      <c r="KX10" s="326"/>
      <c r="KY10" s="326"/>
      <c r="KZ10" s="326"/>
      <c r="LA10" s="326"/>
      <c r="LB10" s="326"/>
      <c r="LC10" s="326"/>
      <c r="LD10" s="326"/>
      <c r="LE10" s="326"/>
      <c r="LF10" s="326"/>
      <c r="LG10" s="326"/>
      <c r="LH10" s="326"/>
      <c r="LI10" s="326"/>
      <c r="LJ10" s="326"/>
      <c r="LK10" s="326"/>
      <c r="LL10" s="326"/>
      <c r="LM10" s="326"/>
      <c r="LN10" s="326"/>
      <c r="LO10" s="326"/>
      <c r="LP10" s="326"/>
      <c r="LQ10" s="326"/>
      <c r="LR10" s="326"/>
      <c r="LS10" s="326"/>
      <c r="LT10" s="326"/>
      <c r="LU10" s="326"/>
      <c r="LV10" s="326"/>
      <c r="LW10" s="326"/>
      <c r="LX10" s="326"/>
      <c r="LY10" s="326"/>
      <c r="LZ10" s="326"/>
      <c r="MA10" s="326"/>
      <c r="MB10" s="326"/>
      <c r="MC10" s="326"/>
      <c r="MD10" s="326"/>
      <c r="ME10" s="326"/>
      <c r="MF10" s="326"/>
      <c r="MG10" s="326"/>
      <c r="MH10" s="326"/>
      <c r="MI10" s="326"/>
      <c r="MJ10" s="326"/>
      <c r="MK10" s="326"/>
      <c r="ML10" s="326"/>
      <c r="MM10" s="326"/>
      <c r="MN10" s="326"/>
      <c r="MO10" s="326"/>
      <c r="MP10" s="326"/>
      <c r="MQ10" s="326"/>
      <c r="MR10" s="326"/>
      <c r="MS10" s="326"/>
      <c r="MT10" s="326"/>
      <c r="MU10" s="326"/>
      <c r="MV10" s="326"/>
      <c r="MW10" s="326"/>
      <c r="MX10" s="326"/>
      <c r="MY10" s="326"/>
      <c r="MZ10" s="326"/>
      <c r="NA10" s="326"/>
      <c r="NB10" s="326"/>
      <c r="NC10" s="326"/>
      <c r="ND10" s="326"/>
      <c r="NE10" s="326"/>
      <c r="NF10" s="326"/>
      <c r="NG10" s="326"/>
      <c r="NH10" s="326"/>
      <c r="NI10" s="326"/>
      <c r="NJ10" s="326"/>
      <c r="NK10" s="326"/>
      <c r="NL10" s="326"/>
      <c r="NM10" s="326"/>
      <c r="NN10" s="326"/>
      <c r="NO10" s="326"/>
      <c r="NP10" s="326"/>
      <c r="NQ10" s="326"/>
      <c r="NR10" s="326"/>
      <c r="NS10" s="326"/>
      <c r="NT10" s="326"/>
      <c r="NU10" s="326"/>
      <c r="NV10" s="326"/>
      <c r="NW10" s="326"/>
      <c r="NX10" s="326"/>
      <c r="NY10" s="326"/>
      <c r="NZ10" s="326"/>
      <c r="OA10" s="326"/>
      <c r="OB10" s="326"/>
      <c r="OC10" s="326"/>
      <c r="OD10" s="326"/>
      <c r="OE10" s="326"/>
      <c r="OF10" s="326"/>
      <c r="OG10" s="326"/>
      <c r="OH10" s="326"/>
      <c r="OI10" s="326"/>
      <c r="OJ10" s="326"/>
      <c r="OK10" s="326"/>
      <c r="OL10" s="326"/>
      <c r="OM10" s="326"/>
      <c r="ON10" s="326"/>
      <c r="OO10" s="326"/>
      <c r="OP10" s="326"/>
      <c r="OQ10" s="326"/>
      <c r="OR10" s="326"/>
      <c r="OS10" s="326"/>
      <c r="OT10" s="326"/>
      <c r="OU10" s="326"/>
      <c r="OV10" s="326"/>
      <c r="OW10" s="326"/>
      <c r="OX10" s="326"/>
      <c r="OY10" s="326"/>
      <c r="OZ10" s="326"/>
      <c r="PA10" s="326"/>
      <c r="PB10" s="326"/>
      <c r="PC10" s="326"/>
      <c r="PD10" s="326"/>
      <c r="PE10" s="326"/>
      <c r="PF10" s="326"/>
      <c r="PG10" s="326"/>
      <c r="PH10" s="326"/>
      <c r="PI10" s="326"/>
      <c r="PJ10" s="326"/>
      <c r="PK10" s="326"/>
      <c r="PL10" s="326"/>
      <c r="PM10" s="326"/>
      <c r="PN10" s="326"/>
      <c r="PO10" s="326"/>
      <c r="PP10" s="326"/>
      <c r="PQ10" s="326"/>
      <c r="PR10" s="326"/>
      <c r="PS10" s="326"/>
      <c r="PT10" s="326"/>
      <c r="PU10" s="326"/>
      <c r="PV10" s="326"/>
      <c r="PW10" s="326"/>
      <c r="PX10" s="326"/>
      <c r="PY10" s="326"/>
      <c r="PZ10" s="326"/>
      <c r="QA10" s="326"/>
      <c r="QB10" s="326"/>
      <c r="QC10" s="326"/>
      <c r="QD10" s="326"/>
      <c r="QE10" s="326"/>
      <c r="QF10" s="326"/>
      <c r="QG10" s="326"/>
      <c r="QH10" s="326"/>
      <c r="QI10" s="326"/>
      <c r="QJ10" s="326"/>
      <c r="QK10" s="326"/>
      <c r="QL10" s="326"/>
      <c r="QM10" s="326"/>
      <c r="QN10" s="326"/>
      <c r="QO10" s="326"/>
      <c r="QP10" s="326"/>
      <c r="QQ10" s="326"/>
      <c r="QR10" s="326"/>
      <c r="QS10" s="326"/>
      <c r="QT10" s="326"/>
      <c r="QU10" s="326"/>
      <c r="QV10" s="326"/>
      <c r="QW10" s="326"/>
      <c r="QX10" s="326"/>
      <c r="QY10" s="326"/>
      <c r="QZ10" s="323"/>
    </row>
    <row r="11" spans="1:468" s="293" customFormat="1" ht="204" customHeight="1" x14ac:dyDescent="0.2">
      <c r="A11" s="413">
        <v>2</v>
      </c>
      <c r="B11" s="420" t="s">
        <v>609</v>
      </c>
      <c r="C11" s="420" t="s">
        <v>610</v>
      </c>
      <c r="D11" s="420" t="s">
        <v>611</v>
      </c>
      <c r="E11" s="446" t="s">
        <v>624</v>
      </c>
      <c r="F11" s="420" t="s">
        <v>470</v>
      </c>
      <c r="G11" s="421">
        <f>12+211+(8*12)</f>
        <v>319</v>
      </c>
      <c r="H11" s="422" t="str">
        <f t="shared" ref="H11:H12" si="0">IF(G11&lt;=0,"",IF(G11&lt;=2,"Muy Baja",IF(G11&lt;=24,"Baja",IF(G11&lt;=500,"Media",IF(G11&lt;=5000,"Alta","Muy Alta")))))</f>
        <v>Media</v>
      </c>
      <c r="I11" s="423">
        <f t="shared" ref="I11:I12" si="1">IF(H11="","",IF(H11="Muy Baja",0.2,IF(H11="Baja",0.4,IF(H11="Media",0.6,IF(H11="Alta",0.8,IF(H11="Muy Alta",1,))))))</f>
        <v>0.6</v>
      </c>
      <c r="J11" s="424">
        <v>1</v>
      </c>
      <c r="K11" s="425">
        <v>500</v>
      </c>
      <c r="L11" s="426" t="str">
        <f>IF(J11&lt;=0,"",IF(J11&lt;=20%,"Leve",IF(J11&lt;=40%,"Menor",IF(J11&lt;=60%,"Moderado",IF(J11&lt;=80%,"Mayor","Catastrófico")))))</f>
        <v>Catastrófico</v>
      </c>
      <c r="M11" s="423">
        <f t="shared" ref="M11:M12" si="2">IF(L11="","",IF(L11="Leve",0.2,IF(L11="Menor",0.4,IF(L11="Moderado",0.6,IF(L11="Mayor",0.8,IF(L11="Catastrófico",1,))))))</f>
        <v>1</v>
      </c>
      <c r="N11" s="427" t="str">
        <f t="shared" ref="N11:N12" si="3">IF(OR(AND(H11="Muy Baja",L11="Leve"),AND(H11="Muy Baja",L11="Menor"),AND(H11="Baja",L11="Leve")),"Bajo",IF(OR(AND(H11="Muy baja",L11="Moderado"),AND(H11="Baja",L11="Menor"),AND(H11="Baja",L11="Moderado"),AND(H11="Media",L11="Leve"),AND(H11="Media",L11="Menor"),AND(H11="Media",L11="Moderado"),AND(H11="Alta",L11="Leve"),AND(H11="Alta",L11="Menor")),"Moderado",IF(OR(AND(H11="Muy Baja",L11="Mayor"),AND(H11="Baja",L11="Mayor"),AND(H11="Media",L11="Mayor"),AND(H11="Alta",L11="Moderado"),AND(H11="Alta",L11="Mayor"),AND(H11="Muy Alta",L11="Leve"),AND(H11="Muy Alta",L11="Menor"),AND(H11="Muy Alta",L11="Moderado"),AND(H11="Muy Alta",L11="Mayor")),"Alto",IF(OR(AND(H11="Muy Baja",L11="Catastrófico"),AND(H11="Baja",L11="Catastrófico"),AND(H11="Media",L11="Catastrófico"),AND(H11="Alta",L11="Catastrófico"),AND(H11="Muy Alta",L11="Catastrófico")),"Extremo",""))))</f>
        <v>Extremo</v>
      </c>
      <c r="O11" s="348">
        <v>2</v>
      </c>
      <c r="P11" s="428" t="s">
        <v>612</v>
      </c>
      <c r="Q11" s="429" t="str">
        <f>IF(OR(R11="Preventivo",R11="Detectivo"),"Probabilidad",IF(R11="Correctivo","Impacto",""))</f>
        <v>Probabilidad</v>
      </c>
      <c r="R11" s="430" t="s">
        <v>14</v>
      </c>
      <c r="S11" s="431" t="s">
        <v>9</v>
      </c>
      <c r="T11" s="432" t="str">
        <f>IF(AND(R11="Preventivo",S11="Automático"),"50%",IF(AND(R11="Preventivo",S11="Manual"),"40%",IF(AND(R11="Detectivo",S11="Automático"),"40%",IF(AND(R11="Detectivo",S11="Manual"),"30%",IF(AND(R11="Correctivo",S11="Automático"),"35%",IF(AND(R11="Correctivo",S11="Manual"),"25%",""))))))</f>
        <v>40%</v>
      </c>
      <c r="U11" s="431" t="s">
        <v>494</v>
      </c>
      <c r="V11" s="431" t="s">
        <v>22</v>
      </c>
      <c r="W11" s="431" t="s">
        <v>497</v>
      </c>
      <c r="X11" s="433">
        <f>IFERROR(IF(Q11="Probabilidad",(I11-(+I11*T11)),IF(Q11="Impacto",I11,"")),"")</f>
        <v>0.36</v>
      </c>
      <c r="Y11" s="434" t="str">
        <f t="shared" ref="Y11:Y12" si="4">IFERROR(IF(X11="","",IF(X11&lt;=0.2,"Muy Baja",IF(X11&lt;=0.4,"Baja",IF(X11&lt;=0.6,"Media",IF(X11&lt;=0.8,"Alta","Muy Alta"))))),"")</f>
        <v>Baja</v>
      </c>
      <c r="Z11" s="432">
        <f>+X11</f>
        <v>0.36</v>
      </c>
      <c r="AA11" s="434" t="str">
        <f t="shared" ref="AA11:AA12" si="5">IFERROR(IF(AB11="","",IF(AB11&lt;=0.2,"Leve",IF(AB11&lt;=0.4,"Menor",IF(AB11&lt;=0.6,"Moderado",IF(AB11&lt;=0.8,"Mayor","Catastrófico"))))),"")</f>
        <v>Catastrófico</v>
      </c>
      <c r="AB11" s="432">
        <f>IFERROR(IF(Q11="Impacto",(M11-(+M11*T11)),IF(Q11="Probabilidad",M11,"")),"")</f>
        <v>1</v>
      </c>
      <c r="AC11" s="435" t="str">
        <f t="shared" ref="AC11:AC12" si="6">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281" t="s">
        <v>30</v>
      </c>
      <c r="AE11" s="436" t="s">
        <v>613</v>
      </c>
      <c r="AF11" s="418" t="s">
        <v>608</v>
      </c>
      <c r="AG11" s="419">
        <v>44895</v>
      </c>
      <c r="AH11" s="418" t="s">
        <v>630</v>
      </c>
      <c r="AI11" s="437" t="s">
        <v>629</v>
      </c>
      <c r="AJ11" s="274"/>
      <c r="AK11" s="336"/>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c r="CN11" s="274"/>
      <c r="CO11" s="274"/>
      <c r="CP11" s="274"/>
      <c r="CQ11" s="274"/>
      <c r="CR11" s="274"/>
      <c r="CS11" s="274"/>
      <c r="CT11" s="274"/>
      <c r="CU11" s="274"/>
      <c r="CV11" s="274"/>
      <c r="CW11" s="274"/>
      <c r="CX11" s="274"/>
      <c r="CY11" s="274"/>
      <c r="CZ11" s="274"/>
      <c r="DA11" s="274"/>
      <c r="DB11" s="274"/>
      <c r="DC11" s="274"/>
      <c r="DD11" s="274"/>
      <c r="DE11" s="274"/>
      <c r="DF11" s="274"/>
      <c r="DG11" s="274"/>
      <c r="DH11" s="274"/>
      <c r="DI11" s="274"/>
      <c r="DJ11" s="274"/>
      <c r="DK11" s="274"/>
      <c r="DL11" s="274"/>
      <c r="DM11" s="274"/>
      <c r="DN11" s="274"/>
      <c r="DO11" s="274"/>
      <c r="DP11" s="274"/>
      <c r="DQ11" s="274"/>
      <c r="DR11" s="274"/>
      <c r="DS11" s="274"/>
      <c r="DT11" s="274"/>
      <c r="DU11" s="274"/>
      <c r="DV11" s="274"/>
      <c r="DW11" s="274"/>
      <c r="DX11" s="274"/>
      <c r="DY11" s="274"/>
      <c r="DZ11" s="274"/>
      <c r="EA11" s="274"/>
      <c r="EB11" s="274"/>
      <c r="EC11" s="274"/>
      <c r="ED11" s="274"/>
      <c r="EE11" s="274"/>
      <c r="EF11" s="274"/>
      <c r="EG11" s="274"/>
      <c r="EH11" s="274"/>
      <c r="EI11" s="274"/>
      <c r="EJ11" s="274"/>
      <c r="EK11" s="274"/>
      <c r="EL11" s="274"/>
      <c r="EM11" s="274"/>
      <c r="EN11" s="274"/>
      <c r="EO11" s="274"/>
      <c r="EP11" s="274"/>
      <c r="EQ11" s="274"/>
      <c r="ER11" s="274"/>
      <c r="ES11" s="274"/>
      <c r="ET11" s="274"/>
      <c r="EU11" s="274"/>
      <c r="EV11" s="274"/>
      <c r="EW11" s="274"/>
      <c r="EX11" s="274"/>
      <c r="EY11" s="274"/>
      <c r="EZ11" s="274"/>
      <c r="FA11" s="274"/>
      <c r="FB11" s="274"/>
      <c r="FC11" s="274"/>
      <c r="FD11" s="274"/>
      <c r="FE11" s="274"/>
      <c r="FF11" s="274"/>
      <c r="FG11" s="274"/>
      <c r="FH11" s="274"/>
      <c r="FI11" s="274"/>
      <c r="FJ11" s="274"/>
      <c r="FK11" s="274"/>
      <c r="FL11" s="274"/>
      <c r="FM11" s="274"/>
      <c r="FN11" s="274"/>
      <c r="FO11" s="274"/>
      <c r="FP11" s="274"/>
      <c r="FQ11" s="274"/>
      <c r="FR11" s="274"/>
      <c r="FS11" s="274"/>
      <c r="FT11" s="274"/>
      <c r="FU11" s="274"/>
      <c r="FV11" s="274"/>
      <c r="FW11" s="274"/>
      <c r="FX11" s="274"/>
      <c r="FY11" s="274"/>
      <c r="FZ11" s="274"/>
      <c r="GA11" s="274"/>
      <c r="GB11" s="274"/>
      <c r="GC11" s="274"/>
      <c r="GD11" s="274"/>
      <c r="GE11" s="274"/>
      <c r="GF11" s="274"/>
      <c r="GG11" s="274"/>
      <c r="GH11" s="274"/>
      <c r="GI11" s="274"/>
      <c r="GJ11" s="274"/>
      <c r="GK11" s="274"/>
      <c r="GL11" s="274"/>
      <c r="GM11" s="274"/>
      <c r="GN11" s="274"/>
      <c r="GO11" s="274"/>
      <c r="GP11" s="274"/>
      <c r="GQ11" s="274"/>
      <c r="GR11" s="274"/>
      <c r="GS11" s="274"/>
      <c r="GT11" s="274"/>
      <c r="GU11" s="274"/>
      <c r="GV11" s="274"/>
      <c r="GW11" s="274"/>
      <c r="GX11" s="274"/>
      <c r="GY11" s="274"/>
      <c r="GZ11" s="274"/>
      <c r="HA11" s="274"/>
      <c r="HB11" s="274"/>
      <c r="HC11" s="274"/>
      <c r="HD11" s="274"/>
      <c r="HE11" s="274"/>
      <c r="HF11" s="274"/>
      <c r="HG11" s="274"/>
      <c r="HH11" s="274"/>
      <c r="HI11" s="274"/>
      <c r="HJ11" s="274"/>
      <c r="HK11" s="274"/>
      <c r="HL11" s="274"/>
      <c r="HM11" s="274"/>
      <c r="HN11" s="274"/>
      <c r="HO11" s="274"/>
      <c r="HP11" s="274"/>
      <c r="HQ11" s="274"/>
      <c r="HR11" s="274"/>
      <c r="HS11" s="274"/>
      <c r="HT11" s="274"/>
      <c r="HU11" s="274"/>
      <c r="HV11" s="274"/>
      <c r="HW11" s="274"/>
      <c r="HX11" s="274"/>
      <c r="HY11" s="274"/>
      <c r="HZ11" s="274"/>
      <c r="IA11" s="274"/>
      <c r="IB11" s="274"/>
      <c r="IC11" s="274"/>
      <c r="ID11" s="274"/>
      <c r="IE11" s="274"/>
      <c r="IF11" s="274"/>
      <c r="IG11" s="274"/>
      <c r="IH11" s="274"/>
      <c r="II11" s="274"/>
      <c r="IJ11" s="274"/>
      <c r="IK11" s="274"/>
      <c r="IL11" s="274"/>
      <c r="IM11" s="274"/>
      <c r="IN11" s="274"/>
      <c r="IO11" s="274"/>
      <c r="IP11" s="274"/>
      <c r="IQ11" s="274"/>
      <c r="IR11" s="274"/>
      <c r="IS11" s="274"/>
      <c r="IT11" s="274"/>
      <c r="IU11" s="274"/>
      <c r="IV11" s="274"/>
      <c r="IW11" s="274"/>
      <c r="IX11" s="274"/>
      <c r="IY11" s="274"/>
      <c r="IZ11" s="274"/>
      <c r="JA11" s="274"/>
      <c r="JB11" s="274"/>
      <c r="JC11" s="274"/>
      <c r="JD11" s="274"/>
      <c r="JE11" s="274"/>
      <c r="JF11" s="274"/>
      <c r="JG11" s="274"/>
      <c r="JH11" s="274"/>
      <c r="JI11" s="274"/>
      <c r="JJ11" s="274"/>
      <c r="JK11" s="274"/>
      <c r="JL11" s="274"/>
      <c r="JM11" s="274"/>
      <c r="JN11" s="274"/>
      <c r="JO11" s="274"/>
      <c r="JP11" s="274"/>
      <c r="JQ11" s="274"/>
      <c r="JR11" s="274"/>
      <c r="JS11" s="274"/>
      <c r="JT11" s="274"/>
      <c r="JU11" s="274"/>
      <c r="JV11" s="274"/>
      <c r="JW11" s="274"/>
      <c r="JX11" s="274"/>
      <c r="JY11" s="274"/>
      <c r="JZ11" s="274"/>
      <c r="KA11" s="274"/>
      <c r="KB11" s="274"/>
      <c r="KC11" s="274"/>
      <c r="KD11" s="274"/>
      <c r="KE11" s="274"/>
      <c r="KF11" s="274"/>
      <c r="KG11" s="274"/>
      <c r="KH11" s="274"/>
      <c r="KI11" s="274"/>
      <c r="KJ11" s="274"/>
      <c r="KK11" s="274"/>
      <c r="KL11" s="274"/>
      <c r="KM11" s="274"/>
      <c r="KN11" s="274"/>
      <c r="KO11" s="274"/>
      <c r="KP11" s="274"/>
      <c r="KQ11" s="274"/>
      <c r="KR11" s="274"/>
      <c r="KS11" s="274"/>
      <c r="KT11" s="274"/>
      <c r="KU11" s="274"/>
      <c r="KV11" s="274"/>
      <c r="KW11" s="274"/>
      <c r="KX11" s="274"/>
      <c r="KY11" s="274"/>
      <c r="KZ11" s="274"/>
      <c r="LA11" s="274"/>
      <c r="LB11" s="274"/>
      <c r="LC11" s="274"/>
      <c r="LD11" s="274"/>
      <c r="LE11" s="274"/>
      <c r="LF11" s="274"/>
      <c r="LG11" s="274"/>
      <c r="LH11" s="274"/>
      <c r="LI11" s="274"/>
      <c r="LJ11" s="274"/>
      <c r="LK11" s="274"/>
      <c r="LL11" s="274"/>
      <c r="LM11" s="274"/>
      <c r="LN11" s="274"/>
      <c r="LO11" s="274"/>
      <c r="LP11" s="274"/>
      <c r="LQ11" s="274"/>
      <c r="LR11" s="274"/>
      <c r="LS11" s="274"/>
      <c r="LT11" s="274"/>
      <c r="LU11" s="274"/>
      <c r="LV11" s="274"/>
      <c r="LW11" s="274"/>
      <c r="LX11" s="274"/>
      <c r="LY11" s="274"/>
      <c r="LZ11" s="274"/>
      <c r="MA11" s="274"/>
      <c r="MB11" s="274"/>
      <c r="MC11" s="274"/>
      <c r="MD11" s="274"/>
      <c r="ME11" s="274"/>
      <c r="MF11" s="274"/>
      <c r="MG11" s="274"/>
      <c r="MH11" s="274"/>
      <c r="MI11" s="274"/>
      <c r="MJ11" s="274"/>
      <c r="MK11" s="274"/>
      <c r="ML11" s="274"/>
      <c r="MM11" s="274"/>
      <c r="MN11" s="274"/>
      <c r="MO11" s="274"/>
      <c r="MP11" s="274"/>
      <c r="MQ11" s="274"/>
      <c r="MR11" s="274"/>
      <c r="MS11" s="274"/>
      <c r="MT11" s="274"/>
      <c r="MU11" s="274"/>
      <c r="MV11" s="274"/>
      <c r="MW11" s="274"/>
      <c r="MX11" s="274"/>
      <c r="MY11" s="274"/>
      <c r="MZ11" s="274"/>
      <c r="NA11" s="274"/>
      <c r="NB11" s="274"/>
      <c r="NC11" s="274"/>
      <c r="ND11" s="274"/>
      <c r="NE11" s="274"/>
      <c r="NF11" s="274"/>
      <c r="NG11" s="274"/>
      <c r="NH11" s="274"/>
      <c r="NI11" s="274"/>
      <c r="NJ11" s="274"/>
      <c r="NK11" s="274"/>
      <c r="NL11" s="274"/>
      <c r="NM11" s="274"/>
      <c r="NN11" s="274"/>
      <c r="NO11" s="274"/>
      <c r="NP11" s="274"/>
      <c r="NQ11" s="274"/>
      <c r="NR11" s="274"/>
      <c r="NS11" s="274"/>
      <c r="NT11" s="274"/>
      <c r="NU11" s="274"/>
      <c r="NV11" s="274"/>
      <c r="NW11" s="274"/>
      <c r="NX11" s="274"/>
      <c r="NY11" s="274"/>
      <c r="NZ11" s="274"/>
      <c r="OA11" s="274"/>
      <c r="OB11" s="274"/>
      <c r="OC11" s="274"/>
      <c r="OD11" s="274"/>
      <c r="OE11" s="274"/>
      <c r="OF11" s="274"/>
      <c r="OG11" s="274"/>
      <c r="OH11" s="274"/>
      <c r="OI11" s="274"/>
      <c r="OJ11" s="274"/>
      <c r="OK11" s="274"/>
      <c r="OL11" s="274"/>
      <c r="OM11" s="274"/>
      <c r="ON11" s="274"/>
      <c r="OO11" s="274"/>
      <c r="OP11" s="274"/>
      <c r="OQ11" s="274"/>
      <c r="OR11" s="274"/>
      <c r="OS11" s="274"/>
      <c r="OT11" s="274"/>
      <c r="OU11" s="274"/>
      <c r="OV11" s="274"/>
      <c r="OW11" s="274"/>
      <c r="OX11" s="274"/>
      <c r="OY11" s="274"/>
      <c r="OZ11" s="274"/>
      <c r="PA11" s="274"/>
      <c r="PB11" s="274"/>
      <c r="PC11" s="274"/>
      <c r="PD11" s="274"/>
      <c r="PE11" s="274"/>
      <c r="PF11" s="274"/>
      <c r="PG11" s="274"/>
      <c r="PH11" s="274"/>
      <c r="PI11" s="274"/>
      <c r="PJ11" s="274"/>
      <c r="PK11" s="274"/>
      <c r="PL11" s="274"/>
      <c r="PM11" s="274"/>
      <c r="PN11" s="274"/>
      <c r="PO11" s="274"/>
      <c r="PP11" s="274"/>
      <c r="PQ11" s="274"/>
      <c r="PR11" s="274"/>
      <c r="PS11" s="274"/>
      <c r="PT11" s="274"/>
      <c r="PU11" s="274"/>
      <c r="PV11" s="274"/>
      <c r="PW11" s="274"/>
      <c r="PX11" s="274"/>
      <c r="PY11" s="274"/>
      <c r="PZ11" s="274"/>
      <c r="QA11" s="274"/>
      <c r="QB11" s="274"/>
      <c r="QC11" s="274"/>
      <c r="QD11" s="274"/>
      <c r="QE11" s="274"/>
      <c r="QF11" s="274"/>
      <c r="QG11" s="274"/>
      <c r="QH11" s="274"/>
      <c r="QI11" s="274"/>
      <c r="QJ11" s="274"/>
      <c r="QK11" s="274"/>
      <c r="QL11" s="274"/>
      <c r="QM11" s="274"/>
      <c r="QN11" s="274"/>
      <c r="QO11" s="274"/>
      <c r="QP11" s="274"/>
      <c r="QQ11" s="274"/>
      <c r="QR11" s="274"/>
      <c r="QS11" s="274"/>
      <c r="QT11" s="274"/>
      <c r="QU11" s="274"/>
      <c r="QV11" s="274"/>
      <c r="QW11" s="274"/>
      <c r="QX11" s="274"/>
      <c r="QY11" s="274"/>
      <c r="QZ11" s="324"/>
    </row>
    <row r="12" spans="1:468" s="293" customFormat="1" ht="137.25" customHeight="1" x14ac:dyDescent="0.2">
      <c r="A12" s="701">
        <v>3</v>
      </c>
      <c r="B12" s="691" t="s">
        <v>602</v>
      </c>
      <c r="C12" s="700" t="s">
        <v>614</v>
      </c>
      <c r="D12" s="700" t="s">
        <v>615</v>
      </c>
      <c r="E12" s="732" t="s">
        <v>625</v>
      </c>
      <c r="F12" s="727" t="s">
        <v>475</v>
      </c>
      <c r="G12" s="724">
        <f>410+5</f>
        <v>415</v>
      </c>
      <c r="H12" s="710" t="str">
        <f t="shared" si="0"/>
        <v>Media</v>
      </c>
      <c r="I12" s="707">
        <f t="shared" si="1"/>
        <v>0.6</v>
      </c>
      <c r="J12" s="713">
        <v>0.8</v>
      </c>
      <c r="K12" s="423"/>
      <c r="L12" s="710" t="str">
        <f>IF(J12&lt;=0,"",IF(J12&lt;=20%,"Leve",IF(J12&lt;=40%,"Menor",IF(J12&lt;=60%,"Moderado",IF(J12&lt;=80%,"Mayor","Catastrófico")))))</f>
        <v>Mayor</v>
      </c>
      <c r="M12" s="707">
        <f t="shared" si="2"/>
        <v>0.8</v>
      </c>
      <c r="N12" s="704" t="str">
        <f t="shared" si="3"/>
        <v>Alto</v>
      </c>
      <c r="O12" s="693">
        <v>1</v>
      </c>
      <c r="P12" s="695" t="s">
        <v>616</v>
      </c>
      <c r="Q12" s="698" t="str">
        <f>IF(OR(R12="Preventivo",R12="Detectivo"),"Probabilidad",IF(R12="Correctivo","Impacto",""))</f>
        <v/>
      </c>
      <c r="R12" s="690"/>
      <c r="S12" s="690"/>
      <c r="T12" s="698" t="str">
        <f t="shared" ref="T12" si="7">IF(AND(R12="Preventivo",S12="Automático"),"50%",IF(AND(R12="Preventivo",S12="Manual"),"40%",IF(AND(R12="Detectivo",S12="Automático"),"40%",IF(AND(R12="Detectivo",S12="Manual"),"30%",IF(AND(R12="Correctivo",S12="Automático"),"35%",IF(AND(R12="Correctivo",S12="Manual"),"25%",""))))))</f>
        <v/>
      </c>
      <c r="U12" s="690"/>
      <c r="V12" s="690"/>
      <c r="W12" s="690"/>
      <c r="X12" s="686" t="str">
        <f t="shared" ref="X12" si="8">IFERROR(IF(Q12="Probabilidad",(I12-(+I12*T12)),IF(Q12="Impacto",I12,"")),"")</f>
        <v/>
      </c>
      <c r="Y12" s="687" t="str">
        <f t="shared" si="4"/>
        <v/>
      </c>
      <c r="Z12" s="688" t="str">
        <f t="shared" ref="Z12" si="9">+X12</f>
        <v/>
      </c>
      <c r="AA12" s="687" t="str">
        <f t="shared" si="5"/>
        <v/>
      </c>
      <c r="AB12" s="688" t="str">
        <f t="shared" ref="AB12" si="10">IFERROR(IF(Q12="Impacto",(M12-(+M12*T12)),IF(Q12="Probabilidad",M12,"")),"")</f>
        <v/>
      </c>
      <c r="AC12" s="689" t="str">
        <f t="shared" si="6"/>
        <v/>
      </c>
      <c r="AD12" s="690" t="s">
        <v>30</v>
      </c>
      <c r="AE12" s="438" t="s">
        <v>617</v>
      </c>
      <c r="AF12" s="691" t="s">
        <v>608</v>
      </c>
      <c r="AG12" s="692">
        <v>44895</v>
      </c>
      <c r="AH12" s="683" t="s">
        <v>631</v>
      </c>
      <c r="AI12" s="683" t="s">
        <v>632</v>
      </c>
      <c r="AJ12" s="274"/>
      <c r="AK12" s="274"/>
      <c r="AL12" s="274"/>
      <c r="AM12" s="274"/>
      <c r="AN12" s="337"/>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c r="IV12" s="274"/>
      <c r="IW12" s="274"/>
      <c r="IX12" s="274"/>
      <c r="IY12" s="274"/>
      <c r="IZ12" s="274"/>
      <c r="JA12" s="274"/>
      <c r="JB12" s="274"/>
      <c r="JC12" s="274"/>
      <c r="JD12" s="274"/>
      <c r="JE12" s="274"/>
      <c r="JF12" s="274"/>
      <c r="JG12" s="274"/>
      <c r="JH12" s="274"/>
      <c r="JI12" s="274"/>
      <c r="JJ12" s="274"/>
      <c r="JK12" s="274"/>
      <c r="JL12" s="274"/>
      <c r="JM12" s="274"/>
      <c r="JN12" s="274"/>
      <c r="JO12" s="274"/>
      <c r="JP12" s="274"/>
      <c r="JQ12" s="274"/>
      <c r="JR12" s="274"/>
      <c r="JS12" s="274"/>
      <c r="JT12" s="274"/>
      <c r="JU12" s="274"/>
      <c r="JV12" s="274"/>
      <c r="JW12" s="274"/>
      <c r="JX12" s="274"/>
      <c r="JY12" s="274"/>
      <c r="JZ12" s="274"/>
      <c r="KA12" s="274"/>
      <c r="KB12" s="274"/>
      <c r="KC12" s="274"/>
      <c r="KD12" s="274"/>
      <c r="KE12" s="274"/>
      <c r="KF12" s="274"/>
      <c r="KG12" s="274"/>
      <c r="KH12" s="274"/>
      <c r="KI12" s="274"/>
      <c r="KJ12" s="274"/>
      <c r="KK12" s="274"/>
      <c r="KL12" s="274"/>
      <c r="KM12" s="274"/>
      <c r="KN12" s="274"/>
      <c r="KO12" s="274"/>
      <c r="KP12" s="274"/>
      <c r="KQ12" s="274"/>
      <c r="KR12" s="274"/>
      <c r="KS12" s="274"/>
      <c r="KT12" s="274"/>
      <c r="KU12" s="274"/>
      <c r="KV12" s="274"/>
      <c r="KW12" s="274"/>
      <c r="KX12" s="274"/>
      <c r="KY12" s="274"/>
      <c r="KZ12" s="274"/>
      <c r="LA12" s="274"/>
      <c r="LB12" s="274"/>
      <c r="LC12" s="274"/>
      <c r="LD12" s="274"/>
      <c r="LE12" s="274"/>
      <c r="LF12" s="274"/>
      <c r="LG12" s="274"/>
      <c r="LH12" s="274"/>
      <c r="LI12" s="274"/>
      <c r="LJ12" s="274"/>
      <c r="LK12" s="274"/>
      <c r="LL12" s="274"/>
      <c r="LM12" s="274"/>
      <c r="LN12" s="274"/>
      <c r="LO12" s="274"/>
      <c r="LP12" s="274"/>
      <c r="LQ12" s="274"/>
      <c r="LR12" s="274"/>
      <c r="LS12" s="274"/>
      <c r="LT12" s="274"/>
      <c r="LU12" s="274"/>
      <c r="LV12" s="274"/>
      <c r="LW12" s="274"/>
      <c r="LX12" s="274"/>
      <c r="LY12" s="274"/>
      <c r="LZ12" s="274"/>
      <c r="MA12" s="274"/>
      <c r="MB12" s="274"/>
      <c r="MC12" s="274"/>
      <c r="MD12" s="274"/>
      <c r="ME12" s="274"/>
      <c r="MF12" s="274"/>
      <c r="MG12" s="274"/>
      <c r="MH12" s="274"/>
      <c r="MI12" s="274"/>
      <c r="MJ12" s="274"/>
      <c r="MK12" s="274"/>
      <c r="ML12" s="274"/>
      <c r="MM12" s="274"/>
      <c r="MN12" s="274"/>
      <c r="MO12" s="274"/>
      <c r="MP12" s="274"/>
      <c r="MQ12" s="274"/>
      <c r="MR12" s="274"/>
      <c r="MS12" s="274"/>
      <c r="MT12" s="274"/>
      <c r="MU12" s="274"/>
      <c r="MV12" s="274"/>
      <c r="MW12" s="274"/>
      <c r="MX12" s="274"/>
      <c r="MY12" s="274"/>
      <c r="MZ12" s="274"/>
      <c r="NA12" s="274"/>
      <c r="NB12" s="274"/>
      <c r="NC12" s="274"/>
      <c r="ND12" s="274"/>
      <c r="NE12" s="274"/>
      <c r="NF12" s="274"/>
      <c r="NG12" s="274"/>
      <c r="NH12" s="274"/>
      <c r="NI12" s="274"/>
      <c r="NJ12" s="274"/>
      <c r="NK12" s="274"/>
      <c r="NL12" s="274"/>
      <c r="NM12" s="274"/>
      <c r="NN12" s="274"/>
      <c r="NO12" s="274"/>
      <c r="NP12" s="274"/>
      <c r="NQ12" s="274"/>
      <c r="NR12" s="274"/>
      <c r="NS12" s="274"/>
      <c r="NT12" s="274"/>
      <c r="NU12" s="274"/>
      <c r="NV12" s="274"/>
      <c r="NW12" s="274"/>
      <c r="NX12" s="274"/>
      <c r="NY12" s="274"/>
      <c r="NZ12" s="274"/>
      <c r="OA12" s="274"/>
      <c r="OB12" s="274"/>
      <c r="OC12" s="274"/>
      <c r="OD12" s="274"/>
      <c r="OE12" s="274"/>
      <c r="OF12" s="274"/>
      <c r="OG12" s="274"/>
      <c r="OH12" s="274"/>
      <c r="OI12" s="274"/>
      <c r="OJ12" s="274"/>
      <c r="OK12" s="274"/>
      <c r="OL12" s="274"/>
      <c r="OM12" s="274"/>
      <c r="ON12" s="274"/>
      <c r="OO12" s="274"/>
      <c r="OP12" s="274"/>
      <c r="OQ12" s="274"/>
      <c r="OR12" s="274"/>
      <c r="OS12" s="274"/>
      <c r="OT12" s="274"/>
      <c r="OU12" s="274"/>
      <c r="OV12" s="274"/>
      <c r="OW12" s="274"/>
      <c r="OX12" s="274"/>
      <c r="OY12" s="274"/>
      <c r="OZ12" s="274"/>
      <c r="PA12" s="274"/>
      <c r="PB12" s="274"/>
      <c r="PC12" s="274"/>
      <c r="PD12" s="274"/>
      <c r="PE12" s="274"/>
      <c r="PF12" s="274"/>
      <c r="PG12" s="274"/>
      <c r="PH12" s="274"/>
      <c r="PI12" s="274"/>
      <c r="PJ12" s="274"/>
      <c r="PK12" s="274"/>
      <c r="PL12" s="274"/>
      <c r="PM12" s="274"/>
      <c r="PN12" s="274"/>
      <c r="PO12" s="274"/>
      <c r="PP12" s="274"/>
      <c r="PQ12" s="274"/>
      <c r="PR12" s="274"/>
      <c r="PS12" s="274"/>
      <c r="PT12" s="274"/>
      <c r="PU12" s="274"/>
      <c r="PV12" s="274"/>
      <c r="PW12" s="274"/>
      <c r="PX12" s="274"/>
      <c r="PY12" s="274"/>
      <c r="PZ12" s="274"/>
      <c r="QA12" s="274"/>
      <c r="QB12" s="274"/>
      <c r="QC12" s="274"/>
      <c r="QD12" s="274"/>
      <c r="QE12" s="274"/>
      <c r="QF12" s="274"/>
      <c r="QG12" s="274"/>
      <c r="QH12" s="274"/>
      <c r="QI12" s="274"/>
      <c r="QJ12" s="274"/>
      <c r="QK12" s="274"/>
      <c r="QL12" s="274"/>
      <c r="QM12" s="274"/>
      <c r="QN12" s="274"/>
      <c r="QO12" s="274"/>
      <c r="QP12" s="274"/>
      <c r="QQ12" s="274"/>
      <c r="QR12" s="274"/>
      <c r="QS12" s="274"/>
      <c r="QT12" s="274"/>
      <c r="QU12" s="274"/>
      <c r="QV12" s="274"/>
      <c r="QW12" s="274"/>
      <c r="QX12" s="274"/>
      <c r="QY12" s="274"/>
      <c r="QZ12" s="324"/>
    </row>
    <row r="13" spans="1:468" s="293" customFormat="1" ht="153" customHeight="1" x14ac:dyDescent="0.2">
      <c r="A13" s="702"/>
      <c r="B13" s="691"/>
      <c r="C13" s="700"/>
      <c r="D13" s="700"/>
      <c r="E13" s="732"/>
      <c r="F13" s="728"/>
      <c r="G13" s="725"/>
      <c r="H13" s="711"/>
      <c r="I13" s="708"/>
      <c r="J13" s="714"/>
      <c r="K13" s="423"/>
      <c r="L13" s="711"/>
      <c r="M13" s="708"/>
      <c r="N13" s="705"/>
      <c r="O13" s="694"/>
      <c r="P13" s="696"/>
      <c r="Q13" s="698"/>
      <c r="R13" s="690"/>
      <c r="S13" s="690"/>
      <c r="T13" s="698"/>
      <c r="U13" s="690"/>
      <c r="V13" s="690"/>
      <c r="W13" s="690"/>
      <c r="X13" s="686"/>
      <c r="Y13" s="687"/>
      <c r="Z13" s="688"/>
      <c r="AA13" s="687"/>
      <c r="AB13" s="688"/>
      <c r="AC13" s="689"/>
      <c r="AD13" s="690"/>
      <c r="AE13" s="438" t="s">
        <v>618</v>
      </c>
      <c r="AF13" s="691"/>
      <c r="AG13" s="692"/>
      <c r="AH13" s="684"/>
      <c r="AI13" s="68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c r="IV13" s="274"/>
      <c r="IW13" s="274"/>
      <c r="IX13" s="274"/>
      <c r="IY13" s="274"/>
      <c r="IZ13" s="274"/>
      <c r="JA13" s="274"/>
      <c r="JB13" s="274"/>
      <c r="JC13" s="274"/>
      <c r="JD13" s="274"/>
      <c r="JE13" s="274"/>
      <c r="JF13" s="274"/>
      <c r="JG13" s="274"/>
      <c r="JH13" s="274"/>
      <c r="JI13" s="274"/>
      <c r="JJ13" s="274"/>
      <c r="JK13" s="274"/>
      <c r="JL13" s="274"/>
      <c r="JM13" s="274"/>
      <c r="JN13" s="274"/>
      <c r="JO13" s="274"/>
      <c r="JP13" s="274"/>
      <c r="JQ13" s="274"/>
      <c r="JR13" s="274"/>
      <c r="JS13" s="274"/>
      <c r="JT13" s="274"/>
      <c r="JU13" s="274"/>
      <c r="JV13" s="274"/>
      <c r="JW13" s="274"/>
      <c r="JX13" s="274"/>
      <c r="JY13" s="274"/>
      <c r="JZ13" s="274"/>
      <c r="KA13" s="274"/>
      <c r="KB13" s="274"/>
      <c r="KC13" s="274"/>
      <c r="KD13" s="274"/>
      <c r="KE13" s="274"/>
      <c r="KF13" s="274"/>
      <c r="KG13" s="274"/>
      <c r="KH13" s="274"/>
      <c r="KI13" s="274"/>
      <c r="KJ13" s="274"/>
      <c r="KK13" s="274"/>
      <c r="KL13" s="274"/>
      <c r="KM13" s="274"/>
      <c r="KN13" s="274"/>
      <c r="KO13" s="274"/>
      <c r="KP13" s="274"/>
      <c r="KQ13" s="274"/>
      <c r="KR13" s="274"/>
      <c r="KS13" s="274"/>
      <c r="KT13" s="274"/>
      <c r="KU13" s="274"/>
      <c r="KV13" s="274"/>
      <c r="KW13" s="274"/>
      <c r="KX13" s="274"/>
      <c r="KY13" s="274"/>
      <c r="KZ13" s="274"/>
      <c r="LA13" s="274"/>
      <c r="LB13" s="274"/>
      <c r="LC13" s="274"/>
      <c r="LD13" s="274"/>
      <c r="LE13" s="274"/>
      <c r="LF13" s="274"/>
      <c r="LG13" s="274"/>
      <c r="LH13" s="274"/>
      <c r="LI13" s="274"/>
      <c r="LJ13" s="274"/>
      <c r="LK13" s="274"/>
      <c r="LL13" s="274"/>
      <c r="LM13" s="274"/>
      <c r="LN13" s="274"/>
      <c r="LO13" s="274"/>
      <c r="LP13" s="274"/>
      <c r="LQ13" s="274"/>
      <c r="LR13" s="274"/>
      <c r="LS13" s="274"/>
      <c r="LT13" s="274"/>
      <c r="LU13" s="274"/>
      <c r="LV13" s="274"/>
      <c r="LW13" s="274"/>
      <c r="LX13" s="274"/>
      <c r="LY13" s="274"/>
      <c r="LZ13" s="274"/>
      <c r="MA13" s="274"/>
      <c r="MB13" s="274"/>
      <c r="MC13" s="274"/>
      <c r="MD13" s="274"/>
      <c r="ME13" s="274"/>
      <c r="MF13" s="274"/>
      <c r="MG13" s="274"/>
      <c r="MH13" s="274"/>
      <c r="MI13" s="274"/>
      <c r="MJ13" s="274"/>
      <c r="MK13" s="274"/>
      <c r="ML13" s="274"/>
      <c r="MM13" s="274"/>
      <c r="MN13" s="274"/>
      <c r="MO13" s="274"/>
      <c r="MP13" s="274"/>
      <c r="MQ13" s="274"/>
      <c r="MR13" s="274"/>
      <c r="MS13" s="274"/>
      <c r="MT13" s="274"/>
      <c r="MU13" s="274"/>
      <c r="MV13" s="274"/>
      <c r="MW13" s="274"/>
      <c r="MX13" s="274"/>
      <c r="MY13" s="274"/>
      <c r="MZ13" s="274"/>
      <c r="NA13" s="274"/>
      <c r="NB13" s="274"/>
      <c r="NC13" s="274"/>
      <c r="ND13" s="274"/>
      <c r="NE13" s="274"/>
      <c r="NF13" s="274"/>
      <c r="NG13" s="274"/>
      <c r="NH13" s="274"/>
      <c r="NI13" s="274"/>
      <c r="NJ13" s="274"/>
      <c r="NK13" s="274"/>
      <c r="NL13" s="274"/>
      <c r="NM13" s="274"/>
      <c r="NN13" s="274"/>
      <c r="NO13" s="274"/>
      <c r="NP13" s="274"/>
      <c r="NQ13" s="274"/>
      <c r="NR13" s="274"/>
      <c r="NS13" s="274"/>
      <c r="NT13" s="274"/>
      <c r="NU13" s="274"/>
      <c r="NV13" s="274"/>
      <c r="NW13" s="274"/>
      <c r="NX13" s="274"/>
      <c r="NY13" s="274"/>
      <c r="NZ13" s="274"/>
      <c r="OA13" s="274"/>
      <c r="OB13" s="274"/>
      <c r="OC13" s="274"/>
      <c r="OD13" s="274"/>
      <c r="OE13" s="274"/>
      <c r="OF13" s="274"/>
      <c r="OG13" s="274"/>
      <c r="OH13" s="274"/>
      <c r="OI13" s="274"/>
      <c r="OJ13" s="274"/>
      <c r="OK13" s="274"/>
      <c r="OL13" s="274"/>
      <c r="OM13" s="274"/>
      <c r="ON13" s="274"/>
      <c r="OO13" s="274"/>
      <c r="OP13" s="274"/>
      <c r="OQ13" s="274"/>
      <c r="OR13" s="274"/>
      <c r="OS13" s="274"/>
      <c r="OT13" s="274"/>
      <c r="OU13" s="274"/>
      <c r="OV13" s="274"/>
      <c r="OW13" s="274"/>
      <c r="OX13" s="274"/>
      <c r="OY13" s="274"/>
      <c r="OZ13" s="274"/>
      <c r="PA13" s="274"/>
      <c r="PB13" s="274"/>
      <c r="PC13" s="274"/>
      <c r="PD13" s="274"/>
      <c r="PE13" s="274"/>
      <c r="PF13" s="274"/>
      <c r="PG13" s="274"/>
      <c r="PH13" s="274"/>
      <c r="PI13" s="274"/>
      <c r="PJ13" s="274"/>
      <c r="PK13" s="274"/>
      <c r="PL13" s="274"/>
      <c r="PM13" s="274"/>
      <c r="PN13" s="274"/>
      <c r="PO13" s="274"/>
      <c r="PP13" s="274"/>
      <c r="PQ13" s="274"/>
      <c r="PR13" s="274"/>
      <c r="PS13" s="274"/>
      <c r="PT13" s="274"/>
      <c r="PU13" s="274"/>
      <c r="PV13" s="274"/>
      <c r="PW13" s="274"/>
      <c r="PX13" s="274"/>
      <c r="PY13" s="274"/>
      <c r="PZ13" s="274"/>
      <c r="QA13" s="274"/>
      <c r="QB13" s="274"/>
      <c r="QC13" s="274"/>
      <c r="QD13" s="274"/>
      <c r="QE13" s="274"/>
      <c r="QF13" s="274"/>
      <c r="QG13" s="274"/>
      <c r="QH13" s="274"/>
      <c r="QI13" s="274"/>
      <c r="QJ13" s="274"/>
      <c r="QK13" s="274"/>
      <c r="QL13" s="274"/>
      <c r="QM13" s="274"/>
      <c r="QN13" s="274"/>
      <c r="QO13" s="274"/>
      <c r="QP13" s="274"/>
      <c r="QQ13" s="274"/>
      <c r="QR13" s="274"/>
      <c r="QS13" s="274"/>
      <c r="QT13" s="274"/>
      <c r="QU13" s="274"/>
      <c r="QV13" s="274"/>
      <c r="QW13" s="274"/>
      <c r="QX13" s="274"/>
      <c r="QY13" s="274"/>
      <c r="QZ13" s="324"/>
    </row>
    <row r="14" spans="1:468" s="293" customFormat="1" ht="108.75" customHeight="1" x14ac:dyDescent="0.2">
      <c r="A14" s="703"/>
      <c r="B14" s="691"/>
      <c r="C14" s="700"/>
      <c r="D14" s="700"/>
      <c r="E14" s="732"/>
      <c r="F14" s="729"/>
      <c r="G14" s="726"/>
      <c r="H14" s="712"/>
      <c r="I14" s="709"/>
      <c r="J14" s="715"/>
      <c r="K14" s="423"/>
      <c r="L14" s="712"/>
      <c r="M14" s="709"/>
      <c r="N14" s="706"/>
      <c r="O14" s="694"/>
      <c r="P14" s="697"/>
      <c r="Q14" s="698"/>
      <c r="R14" s="690"/>
      <c r="S14" s="690"/>
      <c r="T14" s="698"/>
      <c r="U14" s="690"/>
      <c r="V14" s="690"/>
      <c r="W14" s="690"/>
      <c r="X14" s="686"/>
      <c r="Y14" s="687"/>
      <c r="Z14" s="688"/>
      <c r="AA14" s="687"/>
      <c r="AB14" s="688"/>
      <c r="AC14" s="689"/>
      <c r="AD14" s="690"/>
      <c r="AE14" s="438" t="s">
        <v>619</v>
      </c>
      <c r="AF14" s="691"/>
      <c r="AG14" s="692"/>
      <c r="AH14" s="685"/>
      <c r="AI14" s="685"/>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274"/>
      <c r="JQ14" s="274"/>
      <c r="JR14" s="274"/>
      <c r="JS14" s="274"/>
      <c r="JT14" s="274"/>
      <c r="JU14" s="274"/>
      <c r="JV14" s="274"/>
      <c r="JW14" s="274"/>
      <c r="JX14" s="274"/>
      <c r="JY14" s="274"/>
      <c r="JZ14" s="274"/>
      <c r="KA14" s="274"/>
      <c r="KB14" s="274"/>
      <c r="KC14" s="274"/>
      <c r="KD14" s="274"/>
      <c r="KE14" s="274"/>
      <c r="KF14" s="274"/>
      <c r="KG14" s="274"/>
      <c r="KH14" s="274"/>
      <c r="KI14" s="274"/>
      <c r="KJ14" s="274"/>
      <c r="KK14" s="274"/>
      <c r="KL14" s="274"/>
      <c r="KM14" s="274"/>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274"/>
      <c r="OF14" s="274"/>
      <c r="OG14" s="274"/>
      <c r="OH14" s="274"/>
      <c r="OI14" s="274"/>
      <c r="OJ14" s="274"/>
      <c r="OK14" s="274"/>
      <c r="OL14" s="274"/>
      <c r="OM14" s="274"/>
      <c r="ON14" s="274"/>
      <c r="OO14" s="274"/>
      <c r="OP14" s="274"/>
      <c r="OQ14" s="274"/>
      <c r="OR14" s="274"/>
      <c r="OS14" s="274"/>
      <c r="OT14" s="274"/>
      <c r="OU14" s="274"/>
      <c r="OV14" s="274"/>
      <c r="OW14" s="274"/>
      <c r="OX14" s="274"/>
      <c r="OY14" s="274"/>
      <c r="OZ14" s="274"/>
      <c r="PA14" s="274"/>
      <c r="PB14" s="274"/>
      <c r="PC14" s="274"/>
      <c r="PD14" s="274"/>
      <c r="PE14" s="274"/>
      <c r="PF14" s="274"/>
      <c r="PG14" s="274"/>
      <c r="PH14" s="274"/>
      <c r="PI14" s="274"/>
      <c r="PJ14" s="274"/>
      <c r="PK14" s="274"/>
      <c r="PL14" s="274"/>
      <c r="PM14" s="274"/>
      <c r="PN14" s="274"/>
      <c r="PO14" s="274"/>
      <c r="PP14" s="274"/>
      <c r="PQ14" s="274"/>
      <c r="PR14" s="274"/>
      <c r="PS14" s="274"/>
      <c r="PT14" s="274"/>
      <c r="PU14" s="274"/>
      <c r="PV14" s="274"/>
      <c r="PW14" s="274"/>
      <c r="PX14" s="274"/>
      <c r="PY14" s="274"/>
      <c r="PZ14" s="274"/>
      <c r="QA14" s="274"/>
      <c r="QB14" s="274"/>
      <c r="QC14" s="274"/>
      <c r="QD14" s="274"/>
      <c r="QE14" s="274"/>
      <c r="QF14" s="274"/>
      <c r="QG14" s="274"/>
      <c r="QH14" s="274"/>
      <c r="QI14" s="274"/>
      <c r="QJ14" s="274"/>
      <c r="QK14" s="274"/>
      <c r="QL14" s="274"/>
      <c r="QM14" s="274"/>
      <c r="QN14" s="274"/>
      <c r="QO14" s="274"/>
      <c r="QP14" s="274"/>
      <c r="QQ14" s="274"/>
      <c r="QR14" s="274"/>
      <c r="QS14" s="274"/>
      <c r="QT14" s="274"/>
      <c r="QU14" s="274"/>
      <c r="QV14" s="274"/>
      <c r="QW14" s="274"/>
      <c r="QX14" s="274"/>
      <c r="QY14" s="274"/>
      <c r="QZ14" s="324"/>
    </row>
    <row r="15" spans="1:468" s="293" customFormat="1" ht="158.25" customHeight="1" x14ac:dyDescent="0.2">
      <c r="A15" s="346">
        <v>4</v>
      </c>
      <c r="B15" s="439" t="s">
        <v>602</v>
      </c>
      <c r="C15" s="440" t="s">
        <v>620</v>
      </c>
      <c r="D15" s="440" t="s">
        <v>621</v>
      </c>
      <c r="E15" s="447" t="s">
        <v>626</v>
      </c>
      <c r="F15" s="421" t="s">
        <v>475</v>
      </c>
      <c r="G15" s="441">
        <v>753</v>
      </c>
      <c r="H15" s="422" t="str">
        <f t="shared" ref="H15" si="11">IF(G15&lt;=0,"",IF(G15&lt;=2,"Muy Baja",IF(G15&lt;=24,"Baja",IF(G15&lt;=500,"Media",IF(G15&lt;=5000,"Alta","Muy Alta")))))</f>
        <v>Alta</v>
      </c>
      <c r="I15" s="423">
        <f t="shared" ref="I15" si="12">IF(H15="","",IF(H15="Muy Baja",0.2,IF(H15="Baja",0.4,IF(H15="Media",0.6,IF(H15="Alta",0.8,IF(H15="Muy Alta",1,))))))</f>
        <v>0.8</v>
      </c>
      <c r="J15" s="442">
        <v>0.8</v>
      </c>
      <c r="K15" s="423"/>
      <c r="L15" s="422" t="str">
        <f>IF(J15&lt;=0,"",IF(J15&lt;=20%,"Leve",IF(J15&lt;=40%,"Menor",IF(J15&lt;=60%,"Moderado",IF(J15&lt;=80%,"Mayor","Catastrófico")))))</f>
        <v>Mayor</v>
      </c>
      <c r="M15" s="423">
        <f t="shared" ref="M15" si="13">IF(L15="","",IF(L15="Leve",0.2,IF(L15="Menor",0.4,IF(L15="Moderado",0.6,IF(L15="Mayor",0.8,IF(L15="Catastrófico",1,))))))</f>
        <v>0.8</v>
      </c>
      <c r="N15" s="427" t="str">
        <f t="shared" ref="N15" si="14">IF(OR(AND(H15="Muy Baja",L15="Leve"),AND(H15="Muy Baja",L15="Menor"),AND(H15="Baja",L15="Leve")),"Bajo",IF(OR(AND(H15="Muy baja",L15="Moderado"),AND(H15="Baja",L15="Menor"),AND(H15="Baja",L15="Moderado"),AND(H15="Media",L15="Leve"),AND(H15="Media",L15="Menor"),AND(H15="Media",L15="Moderado"),AND(H15="Alta",L15="Leve"),AND(H15="Alta",L15="Menor")),"Moderado",IF(OR(AND(H15="Muy Baja",L15="Mayor"),AND(H15="Baja",L15="Mayor"),AND(H15="Media",L15="Mayor"),AND(H15="Alta",L15="Moderado"),AND(H15="Alta",L15="Mayor"),AND(H15="Muy Alta",L15="Leve"),AND(H15="Muy Alta",L15="Menor"),AND(H15="Muy Alta",L15="Moderado"),AND(H15="Muy Alta",L15="Mayor")),"Alto",IF(OR(AND(H15="Muy Baja",L15="Catastrófico"),AND(H15="Baja",L15="Catastrófico"),AND(H15="Media",L15="Catastrófico"),AND(H15="Alta",L15="Catastrófico"),AND(H15="Muy Alta",L15="Catastrófico")),"Extremo",""))))</f>
        <v>Alto</v>
      </c>
      <c r="O15" s="278">
        <v>1</v>
      </c>
      <c r="P15" s="443" t="s">
        <v>622</v>
      </c>
      <c r="Q15" s="444" t="str">
        <f>IF(OR(R15="Preventivo",R15="Detectivo"),"Probabilidad",IF(R15="Correctivo","Impacto",""))</f>
        <v>Probabilidad</v>
      </c>
      <c r="R15" s="431" t="s">
        <v>14</v>
      </c>
      <c r="S15" s="431" t="s">
        <v>9</v>
      </c>
      <c r="T15" s="444" t="str">
        <f t="shared" ref="T15" si="15">IF(AND(R15="Preventivo",S15="Automático"),"50%",IF(AND(R15="Preventivo",S15="Manual"),"40%",IF(AND(R15="Detectivo",S15="Automático"),"40%",IF(AND(R15="Detectivo",S15="Manual"),"30%",IF(AND(R15="Correctivo",S15="Automático"),"35%",IF(AND(R15="Correctivo",S15="Manual"),"25%",""))))))</f>
        <v>40%</v>
      </c>
      <c r="U15" s="430" t="s">
        <v>493</v>
      </c>
      <c r="V15" s="431" t="s">
        <v>22</v>
      </c>
      <c r="W15" s="431" t="s">
        <v>497</v>
      </c>
      <c r="X15" s="433">
        <f t="shared" ref="X15" si="16">IFERROR(IF(Q15="Probabilidad",(I15-(+I15*T15)),IF(Q15="Impacto",I15,"")),"")</f>
        <v>0.48</v>
      </c>
      <c r="Y15" s="434" t="str">
        <f t="shared" ref="Y15" si="17">IFERROR(IF(X15="","",IF(X15&lt;=0.2,"Muy Baja",IF(X15&lt;=0.4,"Baja",IF(X15&lt;=0.6,"Media",IF(X15&lt;=0.8,"Alta","Muy Alta"))))),"")</f>
        <v>Media</v>
      </c>
      <c r="Z15" s="432">
        <f t="shared" ref="Z15" si="18">+X15</f>
        <v>0.48</v>
      </c>
      <c r="AA15" s="434" t="str">
        <f t="shared" ref="AA15" si="19">IFERROR(IF(AB15="","",IF(AB15&lt;=0.2,"Leve",IF(AB15&lt;=0.4,"Menor",IF(AB15&lt;=0.6,"Moderado",IF(AB15&lt;=0.8,"Mayor","Catastrófico"))))),"")</f>
        <v>Mayor</v>
      </c>
      <c r="AB15" s="432">
        <f t="shared" ref="AB15" si="20">IFERROR(IF(Q15="Impacto",(M15-(+M15*T15)),IF(Q15="Probabilidad",M15,"")),"")</f>
        <v>0.8</v>
      </c>
      <c r="AC15" s="435" t="str">
        <f t="shared" ref="AC15" si="21">IFERROR(IF(OR(AND(Y15="Muy Baja",AA15="Leve"),AND(Y15="Muy Baja",AA15="Menor"),AND(Y15="Baja",AA15="Leve")),"Bajo",IF(OR(AND(Y15="Muy baja",AA15="Moderado"),AND(Y15="Baja",AA15="Menor"),AND(Y15="Baja",AA15="Moderado"),AND(Y15="Media",AA15="Leve"),AND(Y15="Media",AA15="Menor"),AND(Y15="Media",AA15="Moderado"),AND(Y15="Alta",AA15="Leve"),AND(Y15="Alta",AA15="Menor")),"Moderado",IF(OR(AND(Y15="Muy Baja",AA15="Mayor"),AND(Y15="Baja",AA15="Mayor"),AND(Y15="Media",AA15="Mayor"),AND(Y15="Alta",AA15="Moderado"),AND(Y15="Alta",AA15="Mayor"),AND(Y15="Muy Alta",AA15="Leve"),AND(Y15="Muy Alta",AA15="Menor"),AND(Y15="Muy Alta",AA15="Moderado"),AND(Y15="Muy Alta",AA15="Mayor")),"Alto",IF(OR(AND(Y15="Muy Baja",AA15="Catastrófico"),AND(Y15="Baja",AA15="Catastrófico"),AND(Y15="Media",AA15="Catastrófico"),AND(Y15="Alta",AA15="Catastrófico"),AND(Y15="Muy Alta",AA15="Catastrófico")),"Extremo","")))),"")</f>
        <v>Alto</v>
      </c>
      <c r="AD15" s="448" t="s">
        <v>30</v>
      </c>
      <c r="AE15" s="420" t="s">
        <v>623</v>
      </c>
      <c r="AF15" s="421" t="s">
        <v>608</v>
      </c>
      <c r="AG15" s="445">
        <v>44895</v>
      </c>
      <c r="AH15" s="449" t="s">
        <v>634</v>
      </c>
      <c r="AI15" s="449" t="s">
        <v>633</v>
      </c>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c r="IV15" s="274"/>
      <c r="IW15" s="274"/>
      <c r="IX15" s="274"/>
      <c r="IY15" s="274"/>
      <c r="IZ15" s="274"/>
      <c r="JA15" s="274"/>
      <c r="JB15" s="274"/>
      <c r="JC15" s="274"/>
      <c r="JD15" s="274"/>
      <c r="JE15" s="274"/>
      <c r="JF15" s="274"/>
      <c r="JG15" s="274"/>
      <c r="JH15" s="274"/>
      <c r="JI15" s="274"/>
      <c r="JJ15" s="274"/>
      <c r="JK15" s="274"/>
      <c r="JL15" s="274"/>
      <c r="JM15" s="274"/>
      <c r="JN15" s="274"/>
      <c r="JO15" s="274"/>
      <c r="JP15" s="274"/>
      <c r="JQ15" s="274"/>
      <c r="JR15" s="274"/>
      <c r="JS15" s="274"/>
      <c r="JT15" s="274"/>
      <c r="JU15" s="274"/>
      <c r="JV15" s="274"/>
      <c r="JW15" s="274"/>
      <c r="JX15" s="274"/>
      <c r="JY15" s="274"/>
      <c r="JZ15" s="274"/>
      <c r="KA15" s="274"/>
      <c r="KB15" s="274"/>
      <c r="KC15" s="274"/>
      <c r="KD15" s="274"/>
      <c r="KE15" s="274"/>
      <c r="KF15" s="274"/>
      <c r="KG15" s="274"/>
      <c r="KH15" s="274"/>
      <c r="KI15" s="274"/>
      <c r="KJ15" s="274"/>
      <c r="KK15" s="274"/>
      <c r="KL15" s="274"/>
      <c r="KM15" s="274"/>
      <c r="KN15" s="274"/>
      <c r="KO15" s="274"/>
      <c r="KP15" s="274"/>
      <c r="KQ15" s="274"/>
      <c r="KR15" s="274"/>
      <c r="KS15" s="274"/>
      <c r="KT15" s="274"/>
      <c r="KU15" s="274"/>
      <c r="KV15" s="274"/>
      <c r="KW15" s="274"/>
      <c r="KX15" s="274"/>
      <c r="KY15" s="274"/>
      <c r="KZ15" s="274"/>
      <c r="LA15" s="274"/>
      <c r="LB15" s="274"/>
      <c r="LC15" s="274"/>
      <c r="LD15" s="274"/>
      <c r="LE15" s="274"/>
      <c r="LF15" s="274"/>
      <c r="LG15" s="274"/>
      <c r="LH15" s="274"/>
      <c r="LI15" s="274"/>
      <c r="LJ15" s="274"/>
      <c r="LK15" s="274"/>
      <c r="LL15" s="274"/>
      <c r="LM15" s="274"/>
      <c r="LN15" s="274"/>
      <c r="LO15" s="274"/>
      <c r="LP15" s="274"/>
      <c r="LQ15" s="274"/>
      <c r="LR15" s="274"/>
      <c r="LS15" s="274"/>
      <c r="LT15" s="274"/>
      <c r="LU15" s="274"/>
      <c r="LV15" s="274"/>
      <c r="LW15" s="274"/>
      <c r="LX15" s="274"/>
      <c r="LY15" s="274"/>
      <c r="LZ15" s="274"/>
      <c r="MA15" s="274"/>
      <c r="MB15" s="274"/>
      <c r="MC15" s="274"/>
      <c r="MD15" s="274"/>
      <c r="ME15" s="274"/>
      <c r="MF15" s="274"/>
      <c r="MG15" s="274"/>
      <c r="MH15" s="274"/>
      <c r="MI15" s="274"/>
      <c r="MJ15" s="274"/>
      <c r="MK15" s="274"/>
      <c r="ML15" s="274"/>
      <c r="MM15" s="274"/>
      <c r="MN15" s="274"/>
      <c r="MO15" s="274"/>
      <c r="MP15" s="274"/>
      <c r="MQ15" s="274"/>
      <c r="MR15" s="274"/>
      <c r="MS15" s="274"/>
      <c r="MT15" s="274"/>
      <c r="MU15" s="274"/>
      <c r="MV15" s="274"/>
      <c r="MW15" s="274"/>
      <c r="MX15" s="274"/>
      <c r="MY15" s="274"/>
      <c r="MZ15" s="274"/>
      <c r="NA15" s="274"/>
      <c r="NB15" s="274"/>
      <c r="NC15" s="274"/>
      <c r="ND15" s="274"/>
      <c r="NE15" s="274"/>
      <c r="NF15" s="274"/>
      <c r="NG15" s="274"/>
      <c r="NH15" s="274"/>
      <c r="NI15" s="274"/>
      <c r="NJ15" s="274"/>
      <c r="NK15" s="274"/>
      <c r="NL15" s="274"/>
      <c r="NM15" s="274"/>
      <c r="NN15" s="274"/>
      <c r="NO15" s="274"/>
      <c r="NP15" s="274"/>
      <c r="NQ15" s="274"/>
      <c r="NR15" s="274"/>
      <c r="NS15" s="274"/>
      <c r="NT15" s="274"/>
      <c r="NU15" s="274"/>
      <c r="NV15" s="274"/>
      <c r="NW15" s="274"/>
      <c r="NX15" s="274"/>
      <c r="NY15" s="274"/>
      <c r="NZ15" s="274"/>
      <c r="OA15" s="274"/>
      <c r="OB15" s="274"/>
      <c r="OC15" s="274"/>
      <c r="OD15" s="274"/>
      <c r="OE15" s="274"/>
      <c r="OF15" s="274"/>
      <c r="OG15" s="274"/>
      <c r="OH15" s="274"/>
      <c r="OI15" s="274"/>
      <c r="OJ15" s="274"/>
      <c r="OK15" s="274"/>
      <c r="OL15" s="274"/>
      <c r="OM15" s="274"/>
      <c r="ON15" s="274"/>
      <c r="OO15" s="274"/>
      <c r="OP15" s="274"/>
      <c r="OQ15" s="274"/>
      <c r="OR15" s="274"/>
      <c r="OS15" s="274"/>
      <c r="OT15" s="274"/>
      <c r="OU15" s="274"/>
      <c r="OV15" s="274"/>
      <c r="OW15" s="274"/>
      <c r="OX15" s="274"/>
      <c r="OY15" s="274"/>
      <c r="OZ15" s="274"/>
      <c r="PA15" s="274"/>
      <c r="PB15" s="274"/>
      <c r="PC15" s="274"/>
      <c r="PD15" s="274"/>
      <c r="PE15" s="274"/>
      <c r="PF15" s="274"/>
      <c r="PG15" s="274"/>
      <c r="PH15" s="274"/>
      <c r="PI15" s="274"/>
      <c r="PJ15" s="274"/>
      <c r="PK15" s="274"/>
      <c r="PL15" s="274"/>
      <c r="PM15" s="274"/>
      <c r="PN15" s="274"/>
      <c r="PO15" s="274"/>
      <c r="PP15" s="274"/>
      <c r="PQ15" s="274"/>
      <c r="PR15" s="274"/>
      <c r="PS15" s="274"/>
      <c r="PT15" s="274"/>
      <c r="PU15" s="274"/>
      <c r="PV15" s="274"/>
      <c r="PW15" s="274"/>
      <c r="PX15" s="274"/>
      <c r="PY15" s="274"/>
      <c r="PZ15" s="274"/>
      <c r="QA15" s="274"/>
      <c r="QB15" s="274"/>
      <c r="QC15" s="274"/>
      <c r="QD15" s="274"/>
      <c r="QE15" s="274"/>
      <c r="QF15" s="274"/>
      <c r="QG15" s="274"/>
      <c r="QH15" s="274"/>
      <c r="QI15" s="274"/>
      <c r="QJ15" s="274"/>
      <c r="QK15" s="274"/>
      <c r="QL15" s="274"/>
      <c r="QM15" s="274"/>
      <c r="QN15" s="274"/>
      <c r="QO15" s="274"/>
      <c r="QP15" s="274"/>
      <c r="QQ15" s="274"/>
      <c r="QR15" s="274"/>
      <c r="QS15" s="274"/>
      <c r="QT15" s="274"/>
      <c r="QU15" s="274"/>
      <c r="QV15" s="274"/>
      <c r="QW15" s="274"/>
      <c r="QX15" s="274"/>
      <c r="QY15" s="274"/>
      <c r="QZ15" s="324"/>
    </row>
    <row r="16" spans="1:468" s="293" customFormat="1" ht="69" customHeight="1" x14ac:dyDescent="0.2">
      <c r="A16" s="598">
        <v>5</v>
      </c>
      <c r="B16" s="599"/>
      <c r="C16" s="599"/>
      <c r="D16" s="599"/>
      <c r="E16" s="600"/>
      <c r="F16" s="599"/>
      <c r="G16" s="742"/>
      <c r="H16" s="602" t="str">
        <f t="shared" ref="H16" si="22">IF(G16&lt;=0,"",IF(G16&lt;=2,"Muy Baja",IF(G16&lt;=24,"Baja",IF(G16&lt;=500,"Media",IF(G16&lt;=5000,"Alta","Muy Alta")))))</f>
        <v/>
      </c>
      <c r="I16" s="597" t="str">
        <f t="shared" ref="I16" si="23">IF(H16="","",IF(H16="Muy Baja",0.2,IF(H16="Baja",0.4,IF(H16="Media",0.6,IF(H16="Alta",0.8,IF(H16="Muy Alta",1,))))))</f>
        <v/>
      </c>
      <c r="J16" s="743"/>
      <c r="K16" s="597">
        <f>IF(NOT(ISERROR(MATCH(J16,'[2]Tabla Impacto'!$B$221:$B$223,0))),'[2]Tabla Impacto'!$F$223&amp;"Por favor no seleccionar los criterios de impacto(Afectación Económica o presupuestal y Pérdida Reputacional)",J16)</f>
        <v>0</v>
      </c>
      <c r="L16" s="602" t="str">
        <f>IF(J16&lt;=0,"",IF(J16&lt;=20%,"Leve",IF(J16&lt;=40%,"Menor",IF(J16&lt;=60%,"Moderado",IF(J16&lt;=80%,"Mayor","Catastrófico")))))</f>
        <v/>
      </c>
      <c r="M16" s="597" t="str">
        <f t="shared" ref="M16" si="24">IF(L16="","",IF(L16="Leve",0.2,IF(L16="Menor",0.4,IF(L16="Moderado",0.6,IF(L16="Mayor",0.8,IF(L16="Catastrófico",1,))))))</f>
        <v/>
      </c>
      <c r="N16" s="596"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701">
        <v>1</v>
      </c>
      <c r="P16" s="738"/>
      <c r="Q16" s="751"/>
      <c r="R16" s="753"/>
      <c r="S16" s="755"/>
      <c r="T16" s="745" t="str">
        <f>IF(AND(R16="Preventivo",S16="Automático"),"50%",IF(AND(R16="Preventivo",S16="Manual"),"40%",IF(AND(R16="Detectivo",S16="Automático"),"40%",IF(AND(R16="Detectivo",S16="Manual"),"30%",IF(AND(R16="Correctivo",S16="Automático"),"35%",IF(AND(R16="Correctivo",S16="Manual"),"25%",""))))))</f>
        <v/>
      </c>
      <c r="U16" s="755"/>
      <c r="V16" s="755"/>
      <c r="W16" s="755"/>
      <c r="X16" s="740" t="str">
        <f>IFERROR(IF(Q16="Probabilidad",(I16-(+I16*T16)),IF(Q16="Impacto",I16,"")),"")</f>
        <v/>
      </c>
      <c r="Y16" s="747" t="str">
        <f>IFERROR(IF(X16="","",IF(X16&lt;=0.2,"Muy Baja",IF(X16&lt;=0.4,"Baja",IF(X16&lt;=0.6,"Media",IF(X16&lt;=0.8,"Alta","Muy Alta"))))),"")</f>
        <v/>
      </c>
      <c r="Z16" s="745" t="str">
        <f>+X16</f>
        <v/>
      </c>
      <c r="AA16" s="747" t="str">
        <f>IFERROR(IF(AB16="","",IF(AB16&lt;=0.2,"Leve",IF(AB16&lt;=0.4,"Menor",IF(AB16&lt;=0.6,"Moderado",IF(AB16&lt;=0.8,"Mayor","Catastrófico"))))),"")</f>
        <v/>
      </c>
      <c r="AB16" s="745" t="str">
        <f>IFERROR(IF(Q16="Impacto",(M16-(+M16*T16)),IF(Q16="Probabilidad",M16,"")),"")</f>
        <v/>
      </c>
      <c r="AC16" s="749"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48"/>
      <c r="AE16" s="734"/>
      <c r="AF16" s="734"/>
      <c r="AG16" s="736"/>
      <c r="AH16" s="736"/>
      <c r="AI16" s="736"/>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c r="DM16" s="274"/>
      <c r="DN16" s="274"/>
      <c r="DO16" s="274"/>
      <c r="DP16" s="274"/>
      <c r="DQ16" s="274"/>
      <c r="DR16" s="274"/>
      <c r="DS16" s="274"/>
      <c r="DT16" s="274"/>
      <c r="DU16" s="274"/>
      <c r="DV16" s="274"/>
      <c r="DW16" s="274"/>
      <c r="DX16" s="274"/>
      <c r="DY16" s="274"/>
      <c r="DZ16" s="274"/>
      <c r="EA16" s="274"/>
      <c r="EB16" s="274"/>
      <c r="EC16" s="274"/>
      <c r="ED16" s="274"/>
      <c r="EE16" s="274"/>
      <c r="EF16" s="274"/>
      <c r="EG16" s="274"/>
      <c r="EH16" s="274"/>
      <c r="EI16" s="274"/>
      <c r="EJ16" s="274"/>
      <c r="EK16" s="274"/>
      <c r="EL16" s="274"/>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4"/>
      <c r="HQ16" s="274"/>
      <c r="HR16" s="274"/>
      <c r="HS16" s="274"/>
      <c r="HT16" s="274"/>
      <c r="HU16" s="274"/>
      <c r="HV16" s="274"/>
      <c r="HW16" s="274"/>
      <c r="HX16" s="274"/>
      <c r="HY16" s="274"/>
      <c r="HZ16" s="274"/>
      <c r="IA16" s="274"/>
      <c r="IB16" s="274"/>
      <c r="IC16" s="274"/>
      <c r="ID16" s="274"/>
      <c r="IE16" s="274"/>
      <c r="IF16" s="274"/>
      <c r="IG16" s="274"/>
      <c r="IH16" s="274"/>
      <c r="II16" s="274"/>
      <c r="IJ16" s="274"/>
      <c r="IK16" s="274"/>
      <c r="IL16" s="274"/>
      <c r="IM16" s="274"/>
      <c r="IN16" s="274"/>
      <c r="IO16" s="274"/>
      <c r="IP16" s="274"/>
      <c r="IQ16" s="274"/>
      <c r="IR16" s="274"/>
      <c r="IS16" s="274"/>
      <c r="IT16" s="274"/>
      <c r="IU16" s="274"/>
      <c r="IV16" s="274"/>
      <c r="IW16" s="274"/>
      <c r="IX16" s="274"/>
      <c r="IY16" s="274"/>
      <c r="IZ16" s="274"/>
      <c r="JA16" s="274"/>
      <c r="JB16" s="274"/>
      <c r="JC16" s="274"/>
      <c r="JD16" s="274"/>
      <c r="JE16" s="274"/>
      <c r="JF16" s="274"/>
      <c r="JG16" s="274"/>
      <c r="JH16" s="274"/>
      <c r="JI16" s="274"/>
      <c r="JJ16" s="274"/>
      <c r="JK16" s="274"/>
      <c r="JL16" s="274"/>
      <c r="JM16" s="274"/>
      <c r="JN16" s="274"/>
      <c r="JO16" s="274"/>
      <c r="JP16" s="274"/>
      <c r="JQ16" s="274"/>
      <c r="JR16" s="274"/>
      <c r="JS16" s="274"/>
      <c r="JT16" s="274"/>
      <c r="JU16" s="274"/>
      <c r="JV16" s="274"/>
      <c r="JW16" s="274"/>
      <c r="JX16" s="274"/>
      <c r="JY16" s="274"/>
      <c r="JZ16" s="274"/>
      <c r="KA16" s="274"/>
      <c r="KB16" s="274"/>
      <c r="KC16" s="274"/>
      <c r="KD16" s="274"/>
      <c r="KE16" s="274"/>
      <c r="KF16" s="274"/>
      <c r="KG16" s="274"/>
      <c r="KH16" s="274"/>
      <c r="KI16" s="274"/>
      <c r="KJ16" s="274"/>
      <c r="KK16" s="274"/>
      <c r="KL16" s="274"/>
      <c r="KM16" s="274"/>
      <c r="KN16" s="274"/>
      <c r="KO16" s="274"/>
      <c r="KP16" s="274"/>
      <c r="KQ16" s="274"/>
      <c r="KR16" s="274"/>
      <c r="KS16" s="274"/>
      <c r="KT16" s="274"/>
      <c r="KU16" s="274"/>
      <c r="KV16" s="274"/>
      <c r="KW16" s="274"/>
      <c r="KX16" s="274"/>
      <c r="KY16" s="274"/>
      <c r="KZ16" s="274"/>
      <c r="LA16" s="274"/>
      <c r="LB16" s="274"/>
      <c r="LC16" s="274"/>
      <c r="LD16" s="274"/>
      <c r="LE16" s="274"/>
      <c r="LF16" s="274"/>
      <c r="LG16" s="274"/>
      <c r="LH16" s="274"/>
      <c r="LI16" s="274"/>
      <c r="LJ16" s="274"/>
      <c r="LK16" s="274"/>
      <c r="LL16" s="274"/>
      <c r="LM16" s="274"/>
      <c r="LN16" s="274"/>
      <c r="LO16" s="274"/>
      <c r="LP16" s="274"/>
      <c r="LQ16" s="274"/>
      <c r="LR16" s="274"/>
      <c r="LS16" s="274"/>
      <c r="LT16" s="274"/>
      <c r="LU16" s="274"/>
      <c r="LV16" s="274"/>
      <c r="LW16" s="274"/>
      <c r="LX16" s="274"/>
      <c r="LY16" s="274"/>
      <c r="LZ16" s="274"/>
      <c r="MA16" s="274"/>
      <c r="MB16" s="274"/>
      <c r="MC16" s="274"/>
      <c r="MD16" s="274"/>
      <c r="ME16" s="274"/>
      <c r="MF16" s="274"/>
      <c r="MG16" s="274"/>
      <c r="MH16" s="274"/>
      <c r="MI16" s="274"/>
      <c r="MJ16" s="274"/>
      <c r="MK16" s="274"/>
      <c r="ML16" s="274"/>
      <c r="MM16" s="274"/>
      <c r="MN16" s="274"/>
      <c r="MO16" s="274"/>
      <c r="MP16" s="274"/>
      <c r="MQ16" s="274"/>
      <c r="MR16" s="274"/>
      <c r="MS16" s="274"/>
      <c r="MT16" s="274"/>
      <c r="MU16" s="274"/>
      <c r="MV16" s="274"/>
      <c r="MW16" s="274"/>
      <c r="MX16" s="274"/>
      <c r="MY16" s="274"/>
      <c r="MZ16" s="274"/>
      <c r="NA16" s="274"/>
      <c r="NB16" s="274"/>
      <c r="NC16" s="274"/>
      <c r="ND16" s="274"/>
      <c r="NE16" s="274"/>
      <c r="NF16" s="274"/>
      <c r="NG16" s="274"/>
      <c r="NH16" s="274"/>
      <c r="NI16" s="274"/>
      <c r="NJ16" s="274"/>
      <c r="NK16" s="274"/>
      <c r="NL16" s="274"/>
      <c r="NM16" s="274"/>
      <c r="NN16" s="274"/>
      <c r="NO16" s="274"/>
      <c r="NP16" s="274"/>
      <c r="NQ16" s="274"/>
      <c r="NR16" s="274"/>
      <c r="NS16" s="274"/>
      <c r="NT16" s="274"/>
      <c r="NU16" s="274"/>
      <c r="NV16" s="274"/>
      <c r="NW16" s="274"/>
      <c r="NX16" s="274"/>
      <c r="NY16" s="274"/>
      <c r="NZ16" s="274"/>
      <c r="OA16" s="274"/>
      <c r="OB16" s="274"/>
      <c r="OC16" s="274"/>
      <c r="OD16" s="274"/>
      <c r="OE16" s="274"/>
      <c r="OF16" s="274"/>
      <c r="OG16" s="274"/>
      <c r="OH16" s="274"/>
      <c r="OI16" s="274"/>
      <c r="OJ16" s="274"/>
      <c r="OK16" s="274"/>
      <c r="OL16" s="274"/>
      <c r="OM16" s="274"/>
      <c r="ON16" s="274"/>
      <c r="OO16" s="274"/>
      <c r="OP16" s="274"/>
      <c r="OQ16" s="274"/>
      <c r="OR16" s="274"/>
      <c r="OS16" s="274"/>
      <c r="OT16" s="274"/>
      <c r="OU16" s="274"/>
      <c r="OV16" s="274"/>
      <c r="OW16" s="274"/>
      <c r="OX16" s="274"/>
      <c r="OY16" s="274"/>
      <c r="OZ16" s="274"/>
      <c r="PA16" s="274"/>
      <c r="PB16" s="274"/>
      <c r="PC16" s="274"/>
      <c r="PD16" s="274"/>
      <c r="PE16" s="274"/>
      <c r="PF16" s="274"/>
      <c r="PG16" s="274"/>
      <c r="PH16" s="274"/>
      <c r="PI16" s="274"/>
      <c r="PJ16" s="274"/>
      <c r="PK16" s="274"/>
      <c r="PL16" s="274"/>
      <c r="PM16" s="274"/>
      <c r="PN16" s="274"/>
      <c r="PO16" s="274"/>
      <c r="PP16" s="274"/>
      <c r="PQ16" s="274"/>
      <c r="PR16" s="274"/>
      <c r="PS16" s="274"/>
      <c r="PT16" s="274"/>
      <c r="PU16" s="274"/>
      <c r="PV16" s="274"/>
      <c r="PW16" s="274"/>
      <c r="PX16" s="274"/>
      <c r="PY16" s="274"/>
      <c r="PZ16" s="274"/>
      <c r="QA16" s="274"/>
      <c r="QB16" s="274"/>
      <c r="QC16" s="274"/>
      <c r="QD16" s="274"/>
      <c r="QE16" s="274"/>
      <c r="QF16" s="274"/>
      <c r="QG16" s="274"/>
      <c r="QH16" s="274"/>
      <c r="QI16" s="274"/>
      <c r="QJ16" s="274"/>
      <c r="QK16" s="274"/>
      <c r="QL16" s="274"/>
      <c r="QM16" s="274"/>
      <c r="QN16" s="274"/>
      <c r="QO16" s="274"/>
      <c r="QP16" s="274"/>
      <c r="QQ16" s="274"/>
      <c r="QR16" s="274"/>
      <c r="QS16" s="274"/>
      <c r="QT16" s="274"/>
      <c r="QU16" s="274"/>
      <c r="QV16" s="274"/>
      <c r="QW16" s="274"/>
      <c r="QX16" s="274"/>
      <c r="QY16" s="274"/>
      <c r="QZ16" s="324"/>
    </row>
    <row r="17" spans="1:468" s="293" customFormat="1" ht="43.5" customHeight="1" x14ac:dyDescent="0.2">
      <c r="A17" s="598"/>
      <c r="B17" s="599"/>
      <c r="C17" s="599"/>
      <c r="D17" s="599"/>
      <c r="E17" s="600"/>
      <c r="F17" s="599"/>
      <c r="G17" s="742"/>
      <c r="H17" s="602"/>
      <c r="I17" s="597"/>
      <c r="J17" s="744"/>
      <c r="K17" s="597">
        <f ca="1">IF(NOT(ISERROR(MATCH(J17,_xlfn.ANCHORARRAY(E20),0))),#REF!&amp;"Por favor no seleccionar los criterios de impacto",J17)</f>
        <v>0</v>
      </c>
      <c r="L17" s="602"/>
      <c r="M17" s="597"/>
      <c r="N17" s="596"/>
      <c r="O17" s="703"/>
      <c r="P17" s="739"/>
      <c r="Q17" s="752"/>
      <c r="R17" s="754"/>
      <c r="S17" s="756"/>
      <c r="T17" s="746"/>
      <c r="U17" s="756"/>
      <c r="V17" s="756"/>
      <c r="W17" s="756"/>
      <c r="X17" s="741"/>
      <c r="Y17" s="748"/>
      <c r="Z17" s="746"/>
      <c r="AA17" s="748"/>
      <c r="AB17" s="746"/>
      <c r="AC17" s="750"/>
      <c r="AD17" s="448"/>
      <c r="AE17" s="735"/>
      <c r="AF17" s="735"/>
      <c r="AG17" s="604"/>
      <c r="AH17" s="737"/>
      <c r="AI17" s="737"/>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c r="DJ17" s="274"/>
      <c r="DK17" s="274"/>
      <c r="DL17" s="274"/>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c r="IV17" s="274"/>
      <c r="IW17" s="274"/>
      <c r="IX17" s="274"/>
      <c r="IY17" s="274"/>
      <c r="IZ17" s="274"/>
      <c r="JA17" s="274"/>
      <c r="JB17" s="274"/>
      <c r="JC17" s="274"/>
      <c r="JD17" s="274"/>
      <c r="JE17" s="274"/>
      <c r="JF17" s="274"/>
      <c r="JG17" s="274"/>
      <c r="JH17" s="274"/>
      <c r="JI17" s="274"/>
      <c r="JJ17" s="274"/>
      <c r="JK17" s="274"/>
      <c r="JL17" s="274"/>
      <c r="JM17" s="274"/>
      <c r="JN17" s="274"/>
      <c r="JO17" s="274"/>
      <c r="JP17" s="274"/>
      <c r="JQ17" s="274"/>
      <c r="JR17" s="274"/>
      <c r="JS17" s="274"/>
      <c r="JT17" s="274"/>
      <c r="JU17" s="274"/>
      <c r="JV17" s="274"/>
      <c r="JW17" s="274"/>
      <c r="JX17" s="274"/>
      <c r="JY17" s="274"/>
      <c r="JZ17" s="274"/>
      <c r="KA17" s="274"/>
      <c r="KB17" s="274"/>
      <c r="KC17" s="274"/>
      <c r="KD17" s="274"/>
      <c r="KE17" s="274"/>
      <c r="KF17" s="274"/>
      <c r="KG17" s="274"/>
      <c r="KH17" s="274"/>
      <c r="KI17" s="274"/>
      <c r="KJ17" s="274"/>
      <c r="KK17" s="274"/>
      <c r="KL17" s="274"/>
      <c r="KM17" s="274"/>
      <c r="KN17" s="274"/>
      <c r="KO17" s="274"/>
      <c r="KP17" s="274"/>
      <c r="KQ17" s="274"/>
      <c r="KR17" s="274"/>
      <c r="KS17" s="274"/>
      <c r="KT17" s="274"/>
      <c r="KU17" s="274"/>
      <c r="KV17" s="274"/>
      <c r="KW17" s="274"/>
      <c r="KX17" s="274"/>
      <c r="KY17" s="274"/>
      <c r="KZ17" s="274"/>
      <c r="LA17" s="274"/>
      <c r="LB17" s="274"/>
      <c r="LC17" s="274"/>
      <c r="LD17" s="274"/>
      <c r="LE17" s="274"/>
      <c r="LF17" s="274"/>
      <c r="LG17" s="274"/>
      <c r="LH17" s="274"/>
      <c r="LI17" s="274"/>
      <c r="LJ17" s="274"/>
      <c r="LK17" s="274"/>
      <c r="LL17" s="274"/>
      <c r="LM17" s="274"/>
      <c r="LN17" s="274"/>
      <c r="LO17" s="274"/>
      <c r="LP17" s="274"/>
      <c r="LQ17" s="274"/>
      <c r="LR17" s="274"/>
      <c r="LS17" s="274"/>
      <c r="LT17" s="274"/>
      <c r="LU17" s="274"/>
      <c r="LV17" s="274"/>
      <c r="LW17" s="274"/>
      <c r="LX17" s="274"/>
      <c r="LY17" s="274"/>
      <c r="LZ17" s="274"/>
      <c r="MA17" s="274"/>
      <c r="MB17" s="274"/>
      <c r="MC17" s="274"/>
      <c r="MD17" s="274"/>
      <c r="ME17" s="274"/>
      <c r="MF17" s="274"/>
      <c r="MG17" s="274"/>
      <c r="MH17" s="274"/>
      <c r="MI17" s="274"/>
      <c r="MJ17" s="274"/>
      <c r="MK17" s="274"/>
      <c r="ML17" s="274"/>
      <c r="MM17" s="274"/>
      <c r="MN17" s="274"/>
      <c r="MO17" s="274"/>
      <c r="MP17" s="274"/>
      <c r="MQ17" s="274"/>
      <c r="MR17" s="274"/>
      <c r="MS17" s="274"/>
      <c r="MT17" s="274"/>
      <c r="MU17" s="274"/>
      <c r="MV17" s="274"/>
      <c r="MW17" s="274"/>
      <c r="MX17" s="274"/>
      <c r="MY17" s="274"/>
      <c r="MZ17" s="274"/>
      <c r="NA17" s="274"/>
      <c r="NB17" s="274"/>
      <c r="NC17" s="274"/>
      <c r="ND17" s="274"/>
      <c r="NE17" s="274"/>
      <c r="NF17" s="274"/>
      <c r="NG17" s="274"/>
      <c r="NH17" s="274"/>
      <c r="NI17" s="274"/>
      <c r="NJ17" s="274"/>
      <c r="NK17" s="274"/>
      <c r="NL17" s="274"/>
      <c r="NM17" s="274"/>
      <c r="NN17" s="274"/>
      <c r="NO17" s="274"/>
      <c r="NP17" s="274"/>
      <c r="NQ17" s="274"/>
      <c r="NR17" s="274"/>
      <c r="NS17" s="274"/>
      <c r="NT17" s="274"/>
      <c r="NU17" s="274"/>
      <c r="NV17" s="274"/>
      <c r="NW17" s="274"/>
      <c r="NX17" s="274"/>
      <c r="NY17" s="274"/>
      <c r="NZ17" s="274"/>
      <c r="OA17" s="274"/>
      <c r="OB17" s="274"/>
      <c r="OC17" s="274"/>
      <c r="OD17" s="274"/>
      <c r="OE17" s="274"/>
      <c r="OF17" s="274"/>
      <c r="OG17" s="274"/>
      <c r="OH17" s="274"/>
      <c r="OI17" s="274"/>
      <c r="OJ17" s="274"/>
      <c r="OK17" s="274"/>
      <c r="OL17" s="274"/>
      <c r="OM17" s="274"/>
      <c r="ON17" s="274"/>
      <c r="OO17" s="274"/>
      <c r="OP17" s="274"/>
      <c r="OQ17" s="274"/>
      <c r="OR17" s="274"/>
      <c r="OS17" s="274"/>
      <c r="OT17" s="274"/>
      <c r="OU17" s="274"/>
      <c r="OV17" s="274"/>
      <c r="OW17" s="274"/>
      <c r="OX17" s="274"/>
      <c r="OY17" s="274"/>
      <c r="OZ17" s="274"/>
      <c r="PA17" s="274"/>
      <c r="PB17" s="274"/>
      <c r="PC17" s="274"/>
      <c r="PD17" s="274"/>
      <c r="PE17" s="274"/>
      <c r="PF17" s="274"/>
      <c r="PG17" s="274"/>
      <c r="PH17" s="274"/>
      <c r="PI17" s="274"/>
      <c r="PJ17" s="274"/>
      <c r="PK17" s="274"/>
      <c r="PL17" s="274"/>
      <c r="PM17" s="274"/>
      <c r="PN17" s="274"/>
      <c r="PO17" s="274"/>
      <c r="PP17" s="274"/>
      <c r="PQ17" s="274"/>
      <c r="PR17" s="274"/>
      <c r="PS17" s="274"/>
      <c r="PT17" s="274"/>
      <c r="PU17" s="274"/>
      <c r="PV17" s="274"/>
      <c r="PW17" s="274"/>
      <c r="PX17" s="274"/>
      <c r="PY17" s="274"/>
      <c r="PZ17" s="274"/>
      <c r="QA17" s="274"/>
      <c r="QB17" s="274"/>
      <c r="QC17" s="274"/>
      <c r="QD17" s="274"/>
      <c r="QE17" s="274"/>
      <c r="QF17" s="274"/>
      <c r="QG17" s="274"/>
      <c r="QH17" s="274"/>
      <c r="QI17" s="274"/>
      <c r="QJ17" s="274"/>
      <c r="QK17" s="274"/>
      <c r="QL17" s="274"/>
      <c r="QM17" s="274"/>
      <c r="QN17" s="274"/>
      <c r="QO17" s="274"/>
      <c r="QP17" s="274"/>
      <c r="QQ17" s="274"/>
      <c r="QR17" s="274"/>
      <c r="QS17" s="274"/>
      <c r="QT17" s="274"/>
      <c r="QU17" s="274"/>
      <c r="QV17" s="274"/>
      <c r="QW17" s="274"/>
      <c r="QX17" s="274"/>
      <c r="QY17" s="274"/>
      <c r="QZ17" s="324"/>
    </row>
    <row r="18" spans="1:468" s="293" customFormat="1" ht="110.25" hidden="1" customHeight="1" x14ac:dyDescent="0.2">
      <c r="A18" s="598">
        <v>7</v>
      </c>
      <c r="B18" s="730"/>
      <c r="C18" s="730"/>
      <c r="D18" s="730"/>
      <c r="E18" s="731"/>
      <c r="F18" s="599"/>
      <c r="G18" s="601"/>
      <c r="H18" s="602" t="str">
        <f t="shared" ref="H18" si="25">IF(G18&lt;=0,"",IF(G18&lt;=2,"Muy Baja",IF(G18&lt;=24,"Baja",IF(G18&lt;=500,"Media",IF(G18&lt;=5000,"Alta","Muy Alta")))))</f>
        <v/>
      </c>
      <c r="I18" s="597" t="str">
        <f t="shared" ref="I18" si="26">IF(H18="","",IF(H18="Muy Baja",0.2,IF(H18="Baja",0.4,IF(H18="Media",0.6,IF(H18="Alta",0.8,IF(H18="Muy Alta",1,))))))</f>
        <v/>
      </c>
      <c r="J18" s="733"/>
      <c r="K18" s="597">
        <f>IF(NOT(ISERROR(MATCH(J18,'[2]Tabla Impacto'!$B$221:$B$223,0))),'[2]Tabla Impacto'!$F$223&amp;"Por favor no seleccionar los criterios de impacto(Afectación Económica o presupuestal y Pérdida Reputacional)",J18)</f>
        <v>0</v>
      </c>
      <c r="L18" s="602" t="str">
        <f t="shared" ref="L18" si="27">IF(J18&lt;=0,"",IF(J18&lt;=20%,"Leve",IF(J18&lt;=40%,"Menor",IF(J18&lt;=60%,"Moderado",IF(J18&lt;=80%,"Mayor","Catastrófico")))))</f>
        <v/>
      </c>
      <c r="M18" s="597" t="str">
        <f t="shared" ref="M18" si="28">IF(L18="","",IF(L18="Leve",0.2,IF(L18="Menor",0.4,IF(L18="Moderado",0.6,IF(L18="Mayor",0.8,IF(L18="Catastrófico",1,))))))</f>
        <v/>
      </c>
      <c r="N18" s="596" t="str">
        <f t="shared" ref="N18" si="29">IF(OR(AND(H18="Muy Baja",L18="Leve"),AND(H18="Muy Baja",L18="Menor"),AND(H18="Baja",L18="Leve")),"Bajo",IF(OR(AND(H18="Muy baja",L18="Moderado"),AND(H18="Baja",L18="Menor"),AND(H18="Baja",L18="Moderado"),AND(H18="Media",L18="Leve"),AND(H18="Media",L18="Menor"),AND(H18="Media",L18="Moderado"),AND(H18="Alta",L18="Leve"),AND(H18="Alta",L18="Menor")),"Moderado",IF(OR(AND(H18="Muy Baja",L18="Mayor"),AND(H18="Baja",L18="Mayor"),AND(H18="Media",L18="Mayor"),AND(H18="Alta",L18="Moderado"),AND(H18="Alta",L18="Mayor"),AND(H18="Muy Alta",L18="Leve"),AND(H18="Muy Alta",L18="Menor"),AND(H18="Muy Alta",L18="Moderado"),AND(H18="Muy Alta",L18="Mayor")),"Alto",IF(OR(AND(H18="Muy Baja",L18="Catastrófico"),AND(H18="Baja",L18="Catastrófico"),AND(H18="Media",L18="Catastrófico"),AND(H18="Alta",L18="Catastrófico"),AND(H18="Muy Alta",L18="Catastrófico")),"Extremo",""))))</f>
        <v/>
      </c>
      <c r="O18" s="278">
        <v>1</v>
      </c>
      <c r="P18" s="340"/>
      <c r="Q18" s="280"/>
      <c r="R18" s="281"/>
      <c r="S18" s="281"/>
      <c r="T18" s="282" t="str">
        <f>IF(AND(R18="Preventivo",S18="Automático"),"50%",IF(AND(R18="Preventivo",S18="Manual"),"40%",IF(AND(R18="Detectivo",S18="Automático"),"40%",IF(AND(R18="Detectivo",S18="Manual"),"30%",IF(AND(R18="Correctivo",S18="Automático"),"35%",IF(AND(R18="Correctivo",S18="Manual"),"25%",""))))))</f>
        <v/>
      </c>
      <c r="U18" s="281"/>
      <c r="V18" s="281"/>
      <c r="W18" s="281"/>
      <c r="X18" s="283" t="str">
        <f>IFERROR(IF(Q18="Probabilidad",(I18-(+I18*T18)),IF(Q18="Impacto",I18,"")),"")</f>
        <v/>
      </c>
      <c r="Y18" s="284" t="str">
        <f>IFERROR(IF(X18="","",IF(X18&lt;=0.2,"Muy Baja",IF(X18&lt;=0.4,"Baja",IF(X18&lt;=0.6,"Media",IF(X18&lt;=0.8,"Alta","Muy Alta"))))),"")</f>
        <v/>
      </c>
      <c r="Z18" s="282" t="str">
        <f>+X18</f>
        <v/>
      </c>
      <c r="AA18" s="284" t="str">
        <f>IFERROR(IF(AB18="","",IF(AB18&lt;=0.2,"Leve",IF(AB18&lt;=0.4,"Menor",IF(AB18&lt;=0.6,"Moderado",IF(AB18&lt;=0.8,"Mayor","Catastrófico"))))),"")</f>
        <v/>
      </c>
      <c r="AB18" s="282" t="str">
        <f>IFERROR(IF(Q18="Impacto",(M18-(+M18*T18)),IF(Q18="Probabilidad",M18,"")),"")</f>
        <v/>
      </c>
      <c r="AC18" s="285" t="str">
        <f>IFERROR(IF(OR(AND(Y18="Muy Baja",AA18="Leve"),AND(Y18="Muy Baja",AA18="Menor"),AND(Y18="Baja",AA18="Leve")),"Bajo",IF(OR(AND(Y18="Muy baja",AA18="Moderado"),AND(Y18="Baja",AA18="Menor"),AND(Y18="Baja",AA18="Moderado"),AND(Y18="Media",AA18="Leve"),AND(Y18="Media",AA18="Menor"),AND(Y18="Media",AA18="Moderado"),AND(Y18="Alta",AA18="Leve"),AND(Y18="Alta",AA18="Menor")),"Moderado",IF(OR(AND(Y18="Muy Baja",AA18="Mayor"),AND(Y18="Baja",AA18="Mayor"),AND(Y18="Media",AA18="Mayor"),AND(Y18="Alta",AA18="Moderado"),AND(Y18="Alta",AA18="Mayor"),AND(Y18="Muy Alta",AA18="Leve"),AND(Y18="Muy Alta",AA18="Menor"),AND(Y18="Muy Alta",AA18="Moderado"),AND(Y18="Muy Alta",AA18="Mayor")),"Alto",IF(OR(AND(Y18="Muy Baja",AA18="Catastrófico"),AND(Y18="Baja",AA18="Catastrófico"),AND(Y18="Media",AA18="Catastrófico"),AND(Y18="Alta",AA18="Catastrófico"),AND(Y18="Muy Alta",AA18="Catastrófico")),"Extremo","")))),"")</f>
        <v/>
      </c>
      <c r="AD18" s="281"/>
      <c r="AE18" s="286"/>
      <c r="AF18" s="286"/>
      <c r="AG18" s="287"/>
      <c r="AH18" s="288"/>
      <c r="AI18" s="288"/>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4"/>
      <c r="HQ18" s="274"/>
      <c r="HR18" s="274"/>
      <c r="HS18" s="274"/>
      <c r="HT18" s="274"/>
      <c r="HU18" s="274"/>
      <c r="HV18" s="274"/>
      <c r="HW18" s="274"/>
      <c r="HX18" s="274"/>
      <c r="HY18" s="274"/>
      <c r="HZ18" s="274"/>
      <c r="IA18" s="274"/>
      <c r="IB18" s="274"/>
      <c r="IC18" s="274"/>
      <c r="ID18" s="274"/>
      <c r="IE18" s="274"/>
      <c r="IF18" s="274"/>
      <c r="IG18" s="274"/>
      <c r="IH18" s="274"/>
      <c r="II18" s="274"/>
      <c r="IJ18" s="274"/>
      <c r="IK18" s="274"/>
      <c r="IL18" s="274"/>
      <c r="IM18" s="274"/>
      <c r="IN18" s="274"/>
      <c r="IO18" s="274"/>
      <c r="IP18" s="274"/>
      <c r="IQ18" s="274"/>
      <c r="IR18" s="274"/>
      <c r="IS18" s="274"/>
      <c r="IT18" s="274"/>
      <c r="IU18" s="274"/>
      <c r="IV18" s="274"/>
      <c r="IW18" s="274"/>
      <c r="IX18" s="274"/>
      <c r="IY18" s="274"/>
      <c r="IZ18" s="274"/>
      <c r="JA18" s="274"/>
      <c r="JB18" s="274"/>
      <c r="JC18" s="274"/>
      <c r="JD18" s="274"/>
      <c r="JE18" s="274"/>
      <c r="JF18" s="274"/>
      <c r="JG18" s="274"/>
      <c r="JH18" s="274"/>
      <c r="JI18" s="274"/>
      <c r="JJ18" s="274"/>
      <c r="JK18" s="274"/>
      <c r="JL18" s="274"/>
      <c r="JM18" s="274"/>
      <c r="JN18" s="274"/>
      <c r="JO18" s="274"/>
      <c r="JP18" s="274"/>
      <c r="JQ18" s="274"/>
      <c r="JR18" s="274"/>
      <c r="JS18" s="274"/>
      <c r="JT18" s="274"/>
      <c r="JU18" s="274"/>
      <c r="JV18" s="274"/>
      <c r="JW18" s="274"/>
      <c r="JX18" s="274"/>
      <c r="JY18" s="274"/>
      <c r="JZ18" s="274"/>
      <c r="KA18" s="274"/>
      <c r="KB18" s="274"/>
      <c r="KC18" s="274"/>
      <c r="KD18" s="274"/>
      <c r="KE18" s="274"/>
      <c r="KF18" s="274"/>
      <c r="KG18" s="274"/>
      <c r="KH18" s="274"/>
      <c r="KI18" s="274"/>
      <c r="KJ18" s="274"/>
      <c r="KK18" s="274"/>
      <c r="KL18" s="274"/>
      <c r="KM18" s="274"/>
      <c r="KN18" s="274"/>
      <c r="KO18" s="274"/>
      <c r="KP18" s="274"/>
      <c r="KQ18" s="274"/>
      <c r="KR18" s="274"/>
      <c r="KS18" s="274"/>
      <c r="KT18" s="274"/>
      <c r="KU18" s="274"/>
      <c r="KV18" s="274"/>
      <c r="KW18" s="274"/>
      <c r="KX18" s="274"/>
      <c r="KY18" s="274"/>
      <c r="KZ18" s="274"/>
      <c r="LA18" s="274"/>
      <c r="LB18" s="274"/>
      <c r="LC18" s="274"/>
      <c r="LD18" s="274"/>
      <c r="LE18" s="274"/>
      <c r="LF18" s="274"/>
      <c r="LG18" s="274"/>
      <c r="LH18" s="274"/>
      <c r="LI18" s="274"/>
      <c r="LJ18" s="274"/>
      <c r="LK18" s="274"/>
      <c r="LL18" s="274"/>
      <c r="LM18" s="274"/>
      <c r="LN18" s="274"/>
      <c r="LO18" s="274"/>
      <c r="LP18" s="274"/>
      <c r="LQ18" s="274"/>
      <c r="LR18" s="274"/>
      <c r="LS18" s="274"/>
      <c r="LT18" s="274"/>
      <c r="LU18" s="274"/>
      <c r="LV18" s="274"/>
      <c r="LW18" s="274"/>
      <c r="LX18" s="274"/>
      <c r="LY18" s="274"/>
      <c r="LZ18" s="274"/>
      <c r="MA18" s="274"/>
      <c r="MB18" s="274"/>
      <c r="MC18" s="274"/>
      <c r="MD18" s="274"/>
      <c r="ME18" s="274"/>
      <c r="MF18" s="274"/>
      <c r="MG18" s="274"/>
      <c r="MH18" s="274"/>
      <c r="MI18" s="274"/>
      <c r="MJ18" s="274"/>
      <c r="MK18" s="274"/>
      <c r="ML18" s="274"/>
      <c r="MM18" s="274"/>
      <c r="MN18" s="274"/>
      <c r="MO18" s="274"/>
      <c r="MP18" s="274"/>
      <c r="MQ18" s="274"/>
      <c r="MR18" s="274"/>
      <c r="MS18" s="274"/>
      <c r="MT18" s="274"/>
      <c r="MU18" s="274"/>
      <c r="MV18" s="274"/>
      <c r="MW18" s="274"/>
      <c r="MX18" s="274"/>
      <c r="MY18" s="274"/>
      <c r="MZ18" s="274"/>
      <c r="NA18" s="274"/>
      <c r="NB18" s="274"/>
      <c r="NC18" s="274"/>
      <c r="ND18" s="274"/>
      <c r="NE18" s="274"/>
      <c r="NF18" s="274"/>
      <c r="NG18" s="274"/>
      <c r="NH18" s="274"/>
      <c r="NI18" s="274"/>
      <c r="NJ18" s="274"/>
      <c r="NK18" s="274"/>
      <c r="NL18" s="274"/>
      <c r="NM18" s="274"/>
      <c r="NN18" s="274"/>
      <c r="NO18" s="274"/>
      <c r="NP18" s="274"/>
      <c r="NQ18" s="274"/>
      <c r="NR18" s="274"/>
      <c r="NS18" s="274"/>
      <c r="NT18" s="274"/>
      <c r="NU18" s="274"/>
      <c r="NV18" s="274"/>
      <c r="NW18" s="274"/>
      <c r="NX18" s="274"/>
      <c r="NY18" s="274"/>
      <c r="NZ18" s="274"/>
      <c r="OA18" s="274"/>
      <c r="OB18" s="274"/>
      <c r="OC18" s="274"/>
      <c r="OD18" s="274"/>
      <c r="OE18" s="274"/>
      <c r="OF18" s="274"/>
      <c r="OG18" s="274"/>
      <c r="OH18" s="274"/>
      <c r="OI18" s="274"/>
      <c r="OJ18" s="274"/>
      <c r="OK18" s="274"/>
      <c r="OL18" s="274"/>
      <c r="OM18" s="274"/>
      <c r="ON18" s="274"/>
      <c r="OO18" s="274"/>
      <c r="OP18" s="274"/>
      <c r="OQ18" s="274"/>
      <c r="OR18" s="274"/>
      <c r="OS18" s="274"/>
      <c r="OT18" s="274"/>
      <c r="OU18" s="274"/>
      <c r="OV18" s="274"/>
      <c r="OW18" s="274"/>
      <c r="OX18" s="274"/>
      <c r="OY18" s="274"/>
      <c r="OZ18" s="274"/>
      <c r="PA18" s="274"/>
      <c r="PB18" s="274"/>
      <c r="PC18" s="274"/>
      <c r="PD18" s="274"/>
      <c r="PE18" s="274"/>
      <c r="PF18" s="274"/>
      <c r="PG18" s="274"/>
      <c r="PH18" s="274"/>
      <c r="PI18" s="274"/>
      <c r="PJ18" s="274"/>
      <c r="PK18" s="274"/>
      <c r="PL18" s="274"/>
      <c r="PM18" s="274"/>
      <c r="PN18" s="274"/>
      <c r="PO18" s="274"/>
      <c r="PP18" s="274"/>
      <c r="PQ18" s="274"/>
      <c r="PR18" s="274"/>
      <c r="PS18" s="274"/>
      <c r="PT18" s="274"/>
      <c r="PU18" s="274"/>
      <c r="PV18" s="274"/>
      <c r="PW18" s="274"/>
      <c r="PX18" s="274"/>
      <c r="PY18" s="274"/>
      <c r="PZ18" s="274"/>
      <c r="QA18" s="274"/>
      <c r="QB18" s="274"/>
      <c r="QC18" s="274"/>
      <c r="QD18" s="274"/>
      <c r="QE18" s="274"/>
      <c r="QF18" s="274"/>
      <c r="QG18" s="274"/>
      <c r="QH18" s="274"/>
      <c r="QI18" s="274"/>
      <c r="QJ18" s="274"/>
      <c r="QK18" s="274"/>
      <c r="QL18" s="274"/>
      <c r="QM18" s="274"/>
      <c r="QN18" s="274"/>
      <c r="QO18" s="274"/>
      <c r="QP18" s="274"/>
      <c r="QQ18" s="274"/>
      <c r="QR18" s="274"/>
      <c r="QS18" s="274"/>
      <c r="QT18" s="274"/>
      <c r="QU18" s="274"/>
      <c r="QV18" s="274"/>
      <c r="QW18" s="274"/>
      <c r="QX18" s="274"/>
      <c r="QY18" s="274"/>
      <c r="QZ18" s="324"/>
    </row>
    <row r="19" spans="1:468" s="293" customFormat="1" ht="17.25" hidden="1" customHeight="1" x14ac:dyDescent="0.2">
      <c r="A19" s="598"/>
      <c r="B19" s="730"/>
      <c r="C19" s="730"/>
      <c r="D19" s="730"/>
      <c r="E19" s="731"/>
      <c r="F19" s="599"/>
      <c r="G19" s="601"/>
      <c r="H19" s="602"/>
      <c r="I19" s="597"/>
      <c r="J19" s="599"/>
      <c r="K19" s="597">
        <f ca="1">IF(NOT(ISERROR(MATCH(J19,_xlfn.ANCHORARRAY(E21),0))),#REF!&amp;"Por favor no seleccionar los criterios de impacto",J19)</f>
        <v>0</v>
      </c>
      <c r="L19" s="602"/>
      <c r="M19" s="597"/>
      <c r="N19" s="596"/>
      <c r="O19" s="278">
        <v>2</v>
      </c>
      <c r="P19" s="340"/>
      <c r="Q19" s="280"/>
      <c r="R19" s="281"/>
      <c r="S19" s="281"/>
      <c r="T19" s="282" t="str">
        <f t="shared" ref="T19" si="30">IF(AND(R19="Preventivo",S19="Automático"),"50%",IF(AND(R19="Preventivo",S19="Manual"),"40%",IF(AND(R19="Detectivo",S19="Automático"),"40%",IF(AND(R19="Detectivo",S19="Manual"),"30%",IF(AND(R19="Correctivo",S19="Automático"),"35%",IF(AND(R19="Correctivo",S19="Manual"),"25%",""))))))</f>
        <v/>
      </c>
      <c r="U19" s="281"/>
      <c r="V19" s="281"/>
      <c r="W19" s="281"/>
      <c r="X19" s="283" t="str">
        <f>IFERROR(IF(AND(Q18="Probabilidad",Q19="Probabilidad"),(Z18-(+Z18*T19)),IF(Q19="Probabilidad",(I18-(+I18*T19)),IF(Q19="Impacto",Z18,""))),"")</f>
        <v/>
      </c>
      <c r="Y19" s="284" t="str">
        <f t="shared" ref="Y19:Y27" si="31">IFERROR(IF(X19="","",IF(X19&lt;=0.2,"Muy Baja",IF(X19&lt;=0.4,"Baja",IF(X19&lt;=0.6,"Media",IF(X19&lt;=0.8,"Alta","Muy Alta"))))),"")</f>
        <v/>
      </c>
      <c r="Z19" s="282" t="str">
        <f t="shared" ref="Z19" si="32">+X19</f>
        <v/>
      </c>
      <c r="AA19" s="284" t="str">
        <f t="shared" ref="AA19:AA27" si="33">IFERROR(IF(AB19="","",IF(AB19&lt;=0.2,"Leve",IF(AB19&lt;=0.4,"Menor",IF(AB19&lt;=0.6,"Moderado",IF(AB19&lt;=0.8,"Mayor","Catastrófico"))))),"")</f>
        <v/>
      </c>
      <c r="AB19" s="282" t="str">
        <f>IFERROR(IF(AND(Q18="Impacto",Q19="Impacto"),(AB16-(+AB16*T19)),IF(Q19="Impacto",($M$18-(+$M$18*T19)),IF(Q19="Probabilidad",AB16,""))),"")</f>
        <v/>
      </c>
      <c r="AC19" s="285" t="str">
        <f t="shared" ref="AC19" si="34">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81"/>
      <c r="AE19" s="286"/>
      <c r="AF19" s="286"/>
      <c r="AG19" s="287"/>
      <c r="AH19" s="288"/>
      <c r="AI19" s="288"/>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74"/>
      <c r="DM19" s="274"/>
      <c r="DN19" s="274"/>
      <c r="DO19" s="274"/>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c r="HL19" s="274"/>
      <c r="HM19" s="274"/>
      <c r="HN19" s="274"/>
      <c r="HO19" s="274"/>
      <c r="HP19" s="274"/>
      <c r="HQ19" s="274"/>
      <c r="HR19" s="274"/>
      <c r="HS19" s="274"/>
      <c r="HT19" s="274"/>
      <c r="HU19" s="274"/>
      <c r="HV19" s="274"/>
      <c r="HW19" s="274"/>
      <c r="HX19" s="274"/>
      <c r="HY19" s="274"/>
      <c r="HZ19" s="274"/>
      <c r="IA19" s="274"/>
      <c r="IB19" s="274"/>
      <c r="IC19" s="274"/>
      <c r="ID19" s="274"/>
      <c r="IE19" s="274"/>
      <c r="IF19" s="274"/>
      <c r="IG19" s="274"/>
      <c r="IH19" s="274"/>
      <c r="II19" s="274"/>
      <c r="IJ19" s="274"/>
      <c r="IK19" s="274"/>
      <c r="IL19" s="274"/>
      <c r="IM19" s="274"/>
      <c r="IN19" s="274"/>
      <c r="IO19" s="274"/>
      <c r="IP19" s="274"/>
      <c r="IQ19" s="274"/>
      <c r="IR19" s="274"/>
      <c r="IS19" s="274"/>
      <c r="IT19" s="274"/>
      <c r="IU19" s="274"/>
      <c r="IV19" s="274"/>
      <c r="IW19" s="274"/>
      <c r="IX19" s="274"/>
      <c r="IY19" s="274"/>
      <c r="IZ19" s="274"/>
      <c r="JA19" s="274"/>
      <c r="JB19" s="274"/>
      <c r="JC19" s="274"/>
      <c r="JD19" s="274"/>
      <c r="JE19" s="274"/>
      <c r="JF19" s="274"/>
      <c r="JG19" s="274"/>
      <c r="JH19" s="274"/>
      <c r="JI19" s="274"/>
      <c r="JJ19" s="274"/>
      <c r="JK19" s="274"/>
      <c r="JL19" s="274"/>
      <c r="JM19" s="274"/>
      <c r="JN19" s="274"/>
      <c r="JO19" s="274"/>
      <c r="JP19" s="274"/>
      <c r="JQ19" s="274"/>
      <c r="JR19" s="274"/>
      <c r="JS19" s="274"/>
      <c r="JT19" s="274"/>
      <c r="JU19" s="274"/>
      <c r="JV19" s="274"/>
      <c r="JW19" s="274"/>
      <c r="JX19" s="274"/>
      <c r="JY19" s="274"/>
      <c r="JZ19" s="274"/>
      <c r="KA19" s="274"/>
      <c r="KB19" s="274"/>
      <c r="KC19" s="274"/>
      <c r="KD19" s="274"/>
      <c r="KE19" s="274"/>
      <c r="KF19" s="274"/>
      <c r="KG19" s="274"/>
      <c r="KH19" s="274"/>
      <c r="KI19" s="274"/>
      <c r="KJ19" s="274"/>
      <c r="KK19" s="274"/>
      <c r="KL19" s="274"/>
      <c r="KM19" s="274"/>
      <c r="KN19" s="274"/>
      <c r="KO19" s="274"/>
      <c r="KP19" s="274"/>
      <c r="KQ19" s="274"/>
      <c r="KR19" s="274"/>
      <c r="KS19" s="274"/>
      <c r="KT19" s="274"/>
      <c r="KU19" s="274"/>
      <c r="KV19" s="274"/>
      <c r="KW19" s="274"/>
      <c r="KX19" s="274"/>
      <c r="KY19" s="274"/>
      <c r="KZ19" s="274"/>
      <c r="LA19" s="274"/>
      <c r="LB19" s="274"/>
      <c r="LC19" s="274"/>
      <c r="LD19" s="274"/>
      <c r="LE19" s="274"/>
      <c r="LF19" s="274"/>
      <c r="LG19" s="274"/>
      <c r="LH19" s="274"/>
      <c r="LI19" s="274"/>
      <c r="LJ19" s="274"/>
      <c r="LK19" s="274"/>
      <c r="LL19" s="274"/>
      <c r="LM19" s="274"/>
      <c r="LN19" s="274"/>
      <c r="LO19" s="274"/>
      <c r="LP19" s="274"/>
      <c r="LQ19" s="274"/>
      <c r="LR19" s="274"/>
      <c r="LS19" s="274"/>
      <c r="LT19" s="274"/>
      <c r="LU19" s="274"/>
      <c r="LV19" s="274"/>
      <c r="LW19" s="274"/>
      <c r="LX19" s="274"/>
      <c r="LY19" s="274"/>
      <c r="LZ19" s="274"/>
      <c r="MA19" s="274"/>
      <c r="MB19" s="274"/>
      <c r="MC19" s="274"/>
      <c r="MD19" s="274"/>
      <c r="ME19" s="274"/>
      <c r="MF19" s="274"/>
      <c r="MG19" s="274"/>
      <c r="MH19" s="274"/>
      <c r="MI19" s="274"/>
      <c r="MJ19" s="274"/>
      <c r="MK19" s="274"/>
      <c r="ML19" s="274"/>
      <c r="MM19" s="274"/>
      <c r="MN19" s="274"/>
      <c r="MO19" s="274"/>
      <c r="MP19" s="274"/>
      <c r="MQ19" s="274"/>
      <c r="MR19" s="274"/>
      <c r="MS19" s="274"/>
      <c r="MT19" s="274"/>
      <c r="MU19" s="274"/>
      <c r="MV19" s="274"/>
      <c r="MW19" s="274"/>
      <c r="MX19" s="274"/>
      <c r="MY19" s="274"/>
      <c r="MZ19" s="274"/>
      <c r="NA19" s="274"/>
      <c r="NB19" s="274"/>
      <c r="NC19" s="274"/>
      <c r="ND19" s="274"/>
      <c r="NE19" s="274"/>
      <c r="NF19" s="274"/>
      <c r="NG19" s="274"/>
      <c r="NH19" s="274"/>
      <c r="NI19" s="274"/>
      <c r="NJ19" s="274"/>
      <c r="NK19" s="274"/>
      <c r="NL19" s="274"/>
      <c r="NM19" s="274"/>
      <c r="NN19" s="274"/>
      <c r="NO19" s="274"/>
      <c r="NP19" s="274"/>
      <c r="NQ19" s="274"/>
      <c r="NR19" s="274"/>
      <c r="NS19" s="274"/>
      <c r="NT19" s="274"/>
      <c r="NU19" s="274"/>
      <c r="NV19" s="274"/>
      <c r="NW19" s="274"/>
      <c r="NX19" s="274"/>
      <c r="NY19" s="274"/>
      <c r="NZ19" s="274"/>
      <c r="OA19" s="274"/>
      <c r="OB19" s="274"/>
      <c r="OC19" s="274"/>
      <c r="OD19" s="274"/>
      <c r="OE19" s="274"/>
      <c r="OF19" s="274"/>
      <c r="OG19" s="274"/>
      <c r="OH19" s="274"/>
      <c r="OI19" s="274"/>
      <c r="OJ19" s="274"/>
      <c r="OK19" s="274"/>
      <c r="OL19" s="274"/>
      <c r="OM19" s="274"/>
      <c r="ON19" s="274"/>
      <c r="OO19" s="274"/>
      <c r="OP19" s="274"/>
      <c r="OQ19" s="274"/>
      <c r="OR19" s="274"/>
      <c r="OS19" s="274"/>
      <c r="OT19" s="274"/>
      <c r="OU19" s="274"/>
      <c r="OV19" s="274"/>
      <c r="OW19" s="274"/>
      <c r="OX19" s="274"/>
      <c r="OY19" s="274"/>
      <c r="OZ19" s="274"/>
      <c r="PA19" s="274"/>
      <c r="PB19" s="274"/>
      <c r="PC19" s="274"/>
      <c r="PD19" s="274"/>
      <c r="PE19" s="274"/>
      <c r="PF19" s="274"/>
      <c r="PG19" s="274"/>
      <c r="PH19" s="274"/>
      <c r="PI19" s="274"/>
      <c r="PJ19" s="274"/>
      <c r="PK19" s="274"/>
      <c r="PL19" s="274"/>
      <c r="PM19" s="274"/>
      <c r="PN19" s="274"/>
      <c r="PO19" s="274"/>
      <c r="PP19" s="274"/>
      <c r="PQ19" s="274"/>
      <c r="PR19" s="274"/>
      <c r="PS19" s="274"/>
      <c r="PT19" s="274"/>
      <c r="PU19" s="274"/>
      <c r="PV19" s="274"/>
      <c r="PW19" s="274"/>
      <c r="PX19" s="274"/>
      <c r="PY19" s="274"/>
      <c r="PZ19" s="274"/>
      <c r="QA19" s="274"/>
      <c r="QB19" s="274"/>
      <c r="QC19" s="274"/>
      <c r="QD19" s="274"/>
      <c r="QE19" s="274"/>
      <c r="QF19" s="274"/>
      <c r="QG19" s="274"/>
      <c r="QH19" s="274"/>
      <c r="QI19" s="274"/>
      <c r="QJ19" s="274"/>
      <c r="QK19" s="274"/>
      <c r="QL19" s="274"/>
      <c r="QM19" s="274"/>
      <c r="QN19" s="274"/>
      <c r="QO19" s="274"/>
      <c r="QP19" s="274"/>
      <c r="QQ19" s="274"/>
      <c r="QR19" s="274"/>
      <c r="QS19" s="274"/>
      <c r="QT19" s="274"/>
      <c r="QU19" s="274"/>
      <c r="QV19" s="274"/>
      <c r="QW19" s="274"/>
      <c r="QX19" s="274"/>
      <c r="QY19" s="274"/>
      <c r="QZ19" s="324"/>
    </row>
    <row r="20" spans="1:468" s="293" customFormat="1" ht="82.5" customHeight="1" x14ac:dyDescent="0.2">
      <c r="A20" s="278"/>
      <c r="B20" s="344"/>
      <c r="C20" s="344"/>
      <c r="D20" s="344"/>
      <c r="E20" s="344"/>
      <c r="F20" s="286"/>
      <c r="G20" s="287"/>
      <c r="H20" s="343" t="str">
        <f t="shared" ref="H20" si="35">IF(G20&lt;=0,"",IF(G20&lt;=2,"Muy Baja",IF(G20&lt;=24,"Baja",IF(G20&lt;=500,"Media",IF(G20&lt;=5000,"Alta","Muy Alta")))))</f>
        <v/>
      </c>
      <c r="I20" s="341" t="str">
        <f t="shared" ref="I20" si="36">IF(H20="","",IF(H20="Muy Baja",0.2,IF(H20="Baja",0.4,IF(H20="Media",0.6,IF(H20="Alta",0.8,IF(H20="Muy Alta",1,))))))</f>
        <v/>
      </c>
      <c r="J20" s="415"/>
      <c r="K20" s="341">
        <f>IF(NOT(ISERROR(MATCH(J20,'[2]Tabla Impacto'!$B$221:$B$223,0))),'[2]Tabla Impacto'!$F$223&amp;"Por favor no seleccionar los criterios de impacto(Afectación Económica o presupuestal y Pérdida Reputacional)",J20)</f>
        <v>0</v>
      </c>
      <c r="L20" s="343" t="str">
        <f>IF(J20&lt;=0,"",IF(J20&lt;=20%,"Leve",IF(J20&lt;=40%,"Menor",IF(J20&lt;=60%,"Moderado",IF(J20&lt;=80%,"Mayor","Catastrófico")))))</f>
        <v/>
      </c>
      <c r="M20" s="341" t="str">
        <f t="shared" ref="M20" si="37">IF(L20="","",IF(L20="Leve",0.2,IF(L20="Menor",0.4,IF(L20="Moderado",0.6,IF(L20="Mayor",0.8,IF(L20="Catastrófico",1,))))))</f>
        <v/>
      </c>
      <c r="N20" s="342" t="str">
        <f>IF(OR(AND(H20="Muy Baja",L20="Leve"),AND(H20="Muy Baja",L20="Menor"),AND(H20="Baja",L20="Leve")),"Bajo",IF(OR(AND(H20="Muy baja",L20="Moderado"),AND(H20="Baja",L20="Menor"),AND(H20="Baja",L20="Moderado"),AND(H20="Media",L20="Leve"),AND(H20="Media",L20="Menor"),AND(H20="Media",L20="Moderado"),AND(H20="Alta",L20="Leve"),AND(H20="Alta",L20="Menor")),"Moderado",IF(OR(AND(H20="Muy Baja",L20="Mayor"),AND(H20="Baja",L20="Mayor"),AND(H20="Media",L20="Mayor"),AND(H20="Alta",L20="Moderado"),AND(H20="Alta",L20="Mayor"),AND(H20="Muy Alta",L20="Leve"),AND(H20="Muy Alta",L20="Menor"),AND(H20="Muy Alta",L20="Moderado"),AND(H20="Muy Alta",L20="Mayor")),"Alto",IF(OR(AND(H20="Muy Baja",L20="Catastrófico"),AND(H20="Baja",L20="Catastrófico"),AND(H20="Media",L20="Catastrófico"),AND(H20="Alta",L20="Catastrófico"),AND(H20="Muy Alta",L20="Catastrófico")),"Extremo",""))))</f>
        <v/>
      </c>
      <c r="O20" s="346">
        <v>1</v>
      </c>
      <c r="P20" s="347"/>
      <c r="Q20" s="280"/>
      <c r="R20" s="281"/>
      <c r="S20" s="281"/>
      <c r="T20" s="282" t="str">
        <f>IF(AND(R20="Preventivo",S20="Automático"),"50%",IF(AND(R20="Preventivo",S20="Manual"),"40%",IF(AND(R20="Detectivo",S20="Automático"),"40%",IF(AND(R20="Detectivo",S20="Manual"),"30%",IF(AND(R20="Correctivo",S20="Automático"),"35%",IF(AND(R20="Correctivo",S20="Manual"),"25%",""))))))</f>
        <v/>
      </c>
      <c r="U20" s="281"/>
      <c r="V20" s="281"/>
      <c r="W20" s="281"/>
      <c r="X20" s="283" t="str">
        <f>IFERROR(IF(Q20="Probabilidad",(I20-(+I20*T20)),IF(Q20="Impacto",I20,"")),"")</f>
        <v/>
      </c>
      <c r="Y20" s="284" t="str">
        <f>IFERROR(IF(X20="","",IF(X20&lt;=0.2,"Muy Baja",IF(X20&lt;=0.4,"Baja",IF(X20&lt;=0.6,"Media",IF(X20&lt;=0.8,"Alta","Muy Alta"))))),"")</f>
        <v/>
      </c>
      <c r="Z20" s="282" t="str">
        <f>+X20</f>
        <v/>
      </c>
      <c r="AA20" s="284" t="str">
        <f>IFERROR(IF(AB20="","",IF(AB20&lt;=0.2,"Leve",IF(AB20&lt;=0.4,"Menor",IF(AB20&lt;=0.6,"Moderado",IF(AB20&lt;=0.8,"Mayor","Catastrófico"))))),"")</f>
        <v/>
      </c>
      <c r="AB20" s="282" t="str">
        <f>IFERROR(IF(Q20="Impacto",(M20-(+M20*T20)),IF(Q20="Probabilidad",M20,"")),"")</f>
        <v/>
      </c>
      <c r="AC20" s="285" t="str">
        <f>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81"/>
      <c r="AE20" s="286"/>
      <c r="AF20" s="286"/>
      <c r="AG20" s="288"/>
      <c r="AH20" s="288"/>
      <c r="AI20" s="288"/>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c r="GA20" s="274"/>
      <c r="GB20" s="274"/>
      <c r="GC20" s="274"/>
      <c r="GD20" s="274"/>
      <c r="GE20" s="274"/>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c r="HE20" s="274"/>
      <c r="HF20" s="274"/>
      <c r="HG20" s="274"/>
      <c r="HH20" s="274"/>
      <c r="HI20" s="274"/>
      <c r="HJ20" s="274"/>
      <c r="HK20" s="274"/>
      <c r="HL20" s="274"/>
      <c r="HM20" s="274"/>
      <c r="HN20" s="274"/>
      <c r="HO20" s="274"/>
      <c r="HP20" s="274"/>
      <c r="HQ20" s="274"/>
      <c r="HR20" s="274"/>
      <c r="HS20" s="274"/>
      <c r="HT20" s="274"/>
      <c r="HU20" s="274"/>
      <c r="HV20" s="274"/>
      <c r="HW20" s="274"/>
      <c r="HX20" s="274"/>
      <c r="HY20" s="274"/>
      <c r="HZ20" s="274"/>
      <c r="IA20" s="274"/>
      <c r="IB20" s="274"/>
      <c r="IC20" s="274"/>
      <c r="ID20" s="274"/>
      <c r="IE20" s="274"/>
      <c r="IF20" s="274"/>
      <c r="IG20" s="274"/>
      <c r="IH20" s="274"/>
      <c r="II20" s="274"/>
      <c r="IJ20" s="274"/>
      <c r="IK20" s="274"/>
      <c r="IL20" s="274"/>
      <c r="IM20" s="274"/>
      <c r="IN20" s="274"/>
      <c r="IO20" s="274"/>
      <c r="IP20" s="274"/>
      <c r="IQ20" s="274"/>
      <c r="IR20" s="274"/>
      <c r="IS20" s="274"/>
      <c r="IT20" s="274"/>
      <c r="IU20" s="274"/>
      <c r="IV20" s="274"/>
      <c r="IW20" s="274"/>
      <c r="IX20" s="274"/>
      <c r="IY20" s="274"/>
      <c r="IZ20" s="274"/>
      <c r="JA20" s="274"/>
      <c r="JB20" s="274"/>
      <c r="JC20" s="274"/>
      <c r="JD20" s="274"/>
      <c r="JE20" s="274"/>
      <c r="JF20" s="274"/>
      <c r="JG20" s="274"/>
      <c r="JH20" s="274"/>
      <c r="JI20" s="274"/>
      <c r="JJ20" s="274"/>
      <c r="JK20" s="274"/>
      <c r="JL20" s="274"/>
      <c r="JM20" s="274"/>
      <c r="JN20" s="274"/>
      <c r="JO20" s="274"/>
      <c r="JP20" s="274"/>
      <c r="JQ20" s="274"/>
      <c r="JR20" s="274"/>
      <c r="JS20" s="274"/>
      <c r="JT20" s="274"/>
      <c r="JU20" s="274"/>
      <c r="JV20" s="274"/>
      <c r="JW20" s="274"/>
      <c r="JX20" s="274"/>
      <c r="JY20" s="274"/>
      <c r="JZ20" s="274"/>
      <c r="KA20" s="274"/>
      <c r="KB20" s="274"/>
      <c r="KC20" s="274"/>
      <c r="KD20" s="274"/>
      <c r="KE20" s="274"/>
      <c r="KF20" s="274"/>
      <c r="KG20" s="274"/>
      <c r="KH20" s="274"/>
      <c r="KI20" s="274"/>
      <c r="KJ20" s="274"/>
      <c r="KK20" s="274"/>
      <c r="KL20" s="274"/>
      <c r="KM20" s="274"/>
      <c r="KN20" s="274"/>
      <c r="KO20" s="274"/>
      <c r="KP20" s="274"/>
      <c r="KQ20" s="274"/>
      <c r="KR20" s="274"/>
      <c r="KS20" s="274"/>
      <c r="KT20" s="274"/>
      <c r="KU20" s="274"/>
      <c r="KV20" s="274"/>
      <c r="KW20" s="274"/>
      <c r="KX20" s="274"/>
      <c r="KY20" s="274"/>
      <c r="KZ20" s="274"/>
      <c r="LA20" s="274"/>
      <c r="LB20" s="274"/>
      <c r="LC20" s="274"/>
      <c r="LD20" s="274"/>
      <c r="LE20" s="274"/>
      <c r="LF20" s="274"/>
      <c r="LG20" s="274"/>
      <c r="LH20" s="274"/>
      <c r="LI20" s="274"/>
      <c r="LJ20" s="274"/>
      <c r="LK20" s="274"/>
      <c r="LL20" s="274"/>
      <c r="LM20" s="274"/>
      <c r="LN20" s="274"/>
      <c r="LO20" s="274"/>
      <c r="LP20" s="274"/>
      <c r="LQ20" s="274"/>
      <c r="LR20" s="274"/>
      <c r="LS20" s="274"/>
      <c r="LT20" s="274"/>
      <c r="LU20" s="274"/>
      <c r="LV20" s="274"/>
      <c r="LW20" s="274"/>
      <c r="LX20" s="274"/>
      <c r="LY20" s="274"/>
      <c r="LZ20" s="274"/>
      <c r="MA20" s="274"/>
      <c r="MB20" s="274"/>
      <c r="MC20" s="274"/>
      <c r="MD20" s="274"/>
      <c r="ME20" s="274"/>
      <c r="MF20" s="274"/>
      <c r="MG20" s="274"/>
      <c r="MH20" s="274"/>
      <c r="MI20" s="274"/>
      <c r="MJ20" s="274"/>
      <c r="MK20" s="274"/>
      <c r="ML20" s="274"/>
      <c r="MM20" s="274"/>
      <c r="MN20" s="274"/>
      <c r="MO20" s="274"/>
      <c r="MP20" s="274"/>
      <c r="MQ20" s="274"/>
      <c r="MR20" s="274"/>
      <c r="MS20" s="274"/>
      <c r="MT20" s="274"/>
      <c r="MU20" s="274"/>
      <c r="MV20" s="274"/>
      <c r="MW20" s="274"/>
      <c r="MX20" s="274"/>
      <c r="MY20" s="274"/>
      <c r="MZ20" s="274"/>
      <c r="NA20" s="274"/>
      <c r="NB20" s="274"/>
      <c r="NC20" s="274"/>
      <c r="ND20" s="274"/>
      <c r="NE20" s="274"/>
      <c r="NF20" s="274"/>
      <c r="NG20" s="274"/>
      <c r="NH20" s="274"/>
      <c r="NI20" s="274"/>
      <c r="NJ20" s="274"/>
      <c r="NK20" s="274"/>
      <c r="NL20" s="274"/>
      <c r="NM20" s="274"/>
      <c r="NN20" s="274"/>
      <c r="NO20" s="274"/>
      <c r="NP20" s="274"/>
      <c r="NQ20" s="274"/>
      <c r="NR20" s="274"/>
      <c r="NS20" s="274"/>
      <c r="NT20" s="274"/>
      <c r="NU20" s="274"/>
      <c r="NV20" s="274"/>
      <c r="NW20" s="274"/>
      <c r="NX20" s="274"/>
      <c r="NY20" s="274"/>
      <c r="NZ20" s="274"/>
      <c r="OA20" s="274"/>
      <c r="OB20" s="274"/>
      <c r="OC20" s="274"/>
      <c r="OD20" s="274"/>
      <c r="OE20" s="274"/>
      <c r="OF20" s="274"/>
      <c r="OG20" s="274"/>
      <c r="OH20" s="274"/>
      <c r="OI20" s="274"/>
      <c r="OJ20" s="274"/>
      <c r="OK20" s="274"/>
      <c r="OL20" s="274"/>
      <c r="OM20" s="274"/>
      <c r="ON20" s="274"/>
      <c r="OO20" s="274"/>
      <c r="OP20" s="274"/>
      <c r="OQ20" s="274"/>
      <c r="OR20" s="274"/>
      <c r="OS20" s="274"/>
      <c r="OT20" s="274"/>
      <c r="OU20" s="274"/>
      <c r="OV20" s="274"/>
      <c r="OW20" s="274"/>
      <c r="OX20" s="274"/>
      <c r="OY20" s="274"/>
      <c r="OZ20" s="274"/>
      <c r="PA20" s="274"/>
      <c r="PB20" s="274"/>
      <c r="PC20" s="274"/>
      <c r="PD20" s="274"/>
      <c r="PE20" s="274"/>
      <c r="PF20" s="274"/>
      <c r="PG20" s="274"/>
      <c r="PH20" s="274"/>
      <c r="PI20" s="274"/>
      <c r="PJ20" s="274"/>
      <c r="PK20" s="274"/>
      <c r="PL20" s="274"/>
      <c r="PM20" s="274"/>
      <c r="PN20" s="274"/>
      <c r="PO20" s="274"/>
      <c r="PP20" s="274"/>
      <c r="PQ20" s="274"/>
      <c r="PR20" s="274"/>
      <c r="PS20" s="274"/>
      <c r="PT20" s="274"/>
      <c r="PU20" s="274"/>
      <c r="PV20" s="274"/>
      <c r="PW20" s="274"/>
      <c r="PX20" s="274"/>
      <c r="PY20" s="274"/>
      <c r="PZ20" s="274"/>
      <c r="QA20" s="274"/>
      <c r="QB20" s="274"/>
      <c r="QC20" s="274"/>
      <c r="QD20" s="274"/>
      <c r="QE20" s="274"/>
      <c r="QF20" s="274"/>
      <c r="QG20" s="274"/>
      <c r="QH20" s="274"/>
      <c r="QI20" s="274"/>
      <c r="QJ20" s="274"/>
      <c r="QK20" s="274"/>
      <c r="QL20" s="274"/>
      <c r="QM20" s="274"/>
      <c r="QN20" s="274"/>
      <c r="QO20" s="274"/>
      <c r="QP20" s="274"/>
      <c r="QQ20" s="274"/>
      <c r="QR20" s="274"/>
      <c r="QS20" s="274"/>
      <c r="QT20" s="274"/>
      <c r="QU20" s="274"/>
      <c r="QV20" s="274"/>
      <c r="QW20" s="274"/>
      <c r="QX20" s="274"/>
      <c r="QY20" s="274"/>
      <c r="QZ20" s="324"/>
    </row>
    <row r="21" spans="1:468" s="293" customFormat="1" ht="69" customHeight="1" x14ac:dyDescent="0.2">
      <c r="A21" s="598">
        <v>9</v>
      </c>
      <c r="B21" s="599"/>
      <c r="C21" s="599"/>
      <c r="D21" s="599"/>
      <c r="E21" s="600"/>
      <c r="F21" s="599"/>
      <c r="G21" s="601"/>
      <c r="H21" s="602" t="str">
        <f t="shared" ref="H21" si="38">IF(G21&lt;=0,"",IF(G21&lt;=2,"Muy Baja",IF(G21&lt;=24,"Baja",IF(G21&lt;=500,"Media",IF(G21&lt;=5000,"Alta","Muy Alta")))))</f>
        <v/>
      </c>
      <c r="I21" s="597" t="str">
        <f t="shared" ref="I21" si="39">IF(H21="","",IF(H21="Muy Baja",0.2,IF(H21="Baja",0.4,IF(H21="Media",0.6,IF(H21="Alta",0.8,IF(H21="Muy Alta",1,))))))</f>
        <v/>
      </c>
      <c r="J21" s="599"/>
      <c r="K21" s="597">
        <f>IF(NOT(ISERROR(MATCH(J21,'[2]Tabla Impacto'!$B$221:$B$223,0))),'[2]Tabla Impacto'!$F$223&amp;"Por favor no seleccionar los criterios de impacto(Afectación Económica o presupuestal y Pérdida Reputacional)",J21)</f>
        <v>0</v>
      </c>
      <c r="L21" s="602" t="str">
        <f t="shared" ref="L21" si="40">IF(J21&lt;=0,"",IF(J21&lt;=10,"Leve",IF(J21&lt;=50,"Menor",IF(J21&lt;=100,"Moderado",IF(J21&lt;=500,"Mayor","Catastrófico")))))</f>
        <v/>
      </c>
      <c r="M21" s="597" t="str">
        <f t="shared" ref="M21" si="41">IF(L21="","",IF(L21="Leve",0.2,IF(L21="Menor",0.4,IF(L21="Moderado",0.6,IF(L21="Mayor",0.8,IF(L21="Catastrófico",1,))))))</f>
        <v/>
      </c>
      <c r="N21" s="596" t="str">
        <f t="shared" ref="N21" si="42">IF(OR(AND(H21="Muy Baja",L21="Leve"),AND(H21="Muy Baja",L21="Menor"),AND(H21="Baja",L21="Leve")),"Bajo",IF(OR(AND(H21="Muy baja",L21="Moderado"),AND(H21="Baja",L21="Menor"),AND(H21="Baja",L21="Moderado"),AND(H21="Media",L21="Leve"),AND(H21="Media",L21="Menor"),AND(H21="Media",L21="Moderado"),AND(H21="Alta",L21="Leve"),AND(H21="Alta",L21="Menor")),"Moderado",IF(OR(AND(H21="Muy Baja",L21="Mayor"),AND(H21="Baja",L21="Mayor"),AND(H21="Media",L21="Mayor"),AND(H21="Alta",L21="Moderado"),AND(H21="Alta",L21="Mayor"),AND(H21="Muy Alta",L21="Leve"),AND(H21="Muy Alta",L21="Menor"),AND(H21="Muy Alta",L21="Moderado"),AND(H21="Muy Alta",L21="Mayor")),"Alto",IF(OR(AND(H21="Muy Baja",L21="Catastrófico"),AND(H21="Baja",L21="Catastrófico"),AND(H21="Media",L21="Catastrófico"),AND(H21="Alta",L21="Catastrófico"),AND(H21="Muy Alta",L21="Catastrófico")),"Extremo",""))))</f>
        <v/>
      </c>
      <c r="O21" s="278">
        <v>1</v>
      </c>
      <c r="P21" s="279"/>
      <c r="Q21" s="280" t="str">
        <f t="shared" ref="Q21:Q27" si="43">IF(OR(R21="Preventivo",R21="Detectivo"),"Probabilidad",IF(R21="Correctivo","Impacto",""))</f>
        <v/>
      </c>
      <c r="R21" s="281"/>
      <c r="S21" s="281"/>
      <c r="T21" s="282" t="str">
        <f>IF(AND(R21="Preventivo",S21="Automático"),"50%",IF(AND(R21="Preventivo",S21="Manual"),"40%",IF(AND(R21="Detectivo",S21="Automático"),"40%",IF(AND(R21="Detectivo",S21="Manual"),"30%",IF(AND(R21="Correctivo",S21="Automático"),"35%",IF(AND(R21="Correctivo",S21="Manual"),"25%",""))))))</f>
        <v/>
      </c>
      <c r="U21" s="281"/>
      <c r="V21" s="281"/>
      <c r="W21" s="281"/>
      <c r="X21" s="283" t="str">
        <f>IFERROR(IF(Q21="Probabilidad",(I21-(+I21*T21)),IF(Q21="Impacto",I21,"")),"")</f>
        <v/>
      </c>
      <c r="Y21" s="284" t="str">
        <f>IFERROR(IF(X21="","",IF(X21&lt;=0.2,"Muy Baja",IF(X21&lt;=0.4,"Baja",IF(X21&lt;=0.6,"Media",IF(X21&lt;=0.8,"Alta","Muy Alta"))))),"")</f>
        <v/>
      </c>
      <c r="Z21" s="282" t="str">
        <f>+X21</f>
        <v/>
      </c>
      <c r="AA21" s="284" t="str">
        <f>IFERROR(IF(AB21="","",IF(AB21&lt;=0.2,"Leve",IF(AB21&lt;=0.4,"Menor",IF(AB21&lt;=0.6,"Moderado",IF(AB21&lt;=0.8,"Mayor","Catastrófico"))))),"")</f>
        <v/>
      </c>
      <c r="AB21" s="282" t="str">
        <f>IFERROR(IF(Q21="Impacto",(M21-(+M21*T21)),IF(Q21="Probabilidad",M21,"")),"")</f>
        <v/>
      </c>
      <c r="AC21" s="285" t="str">
        <f>IFERROR(IF(OR(AND(Y21="Muy Baja",AA21="Leve"),AND(Y21="Muy Baja",AA21="Menor"),AND(Y21="Baja",AA21="Leve")),"Bajo",IF(OR(AND(Y21="Muy baja",AA21="Moderado"),AND(Y21="Baja",AA21="Menor"),AND(Y21="Baja",AA21="Moderado"),AND(Y21="Media",AA21="Leve"),AND(Y21="Media",AA21="Menor"),AND(Y21="Media",AA21="Moderado"),AND(Y21="Alta",AA21="Leve"),AND(Y21="Alta",AA21="Menor")),"Moderado",IF(OR(AND(Y21="Muy Baja",AA21="Mayor"),AND(Y21="Baja",AA21="Mayor"),AND(Y21="Media",AA21="Mayor"),AND(Y21="Alta",AA21="Moderado"),AND(Y21="Alta",AA21="Mayor"),AND(Y21="Muy Alta",AA21="Leve"),AND(Y21="Muy Alta",AA21="Menor"),AND(Y21="Muy Alta",AA21="Moderado"),AND(Y21="Muy Alta",AA21="Mayor")),"Alto",IF(OR(AND(Y21="Muy Baja",AA21="Catastrófico"),AND(Y21="Baja",AA21="Catastrófico"),AND(Y21="Media",AA21="Catastrófico"),AND(Y21="Alta",AA21="Catastrófico"),AND(Y21="Muy Alta",AA21="Catastrófico")),"Extremo","")))),"")</f>
        <v/>
      </c>
      <c r="AD21" s="281"/>
      <c r="AE21" s="286"/>
      <c r="AF21" s="286"/>
      <c r="AG21" s="287"/>
      <c r="AH21" s="288"/>
      <c r="AI21" s="288"/>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c r="DJ21" s="274"/>
      <c r="DK21" s="274"/>
      <c r="DL21" s="274"/>
      <c r="DM21" s="274"/>
      <c r="DN21" s="274"/>
      <c r="DO21" s="274"/>
      <c r="DP21" s="274"/>
      <c r="DQ21" s="274"/>
      <c r="DR21" s="274"/>
      <c r="DS21" s="274"/>
      <c r="DT21" s="274"/>
      <c r="DU21" s="274"/>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c r="FO21" s="274"/>
      <c r="FP21" s="274"/>
      <c r="FQ21" s="274"/>
      <c r="FR21" s="274"/>
      <c r="FS21" s="274"/>
      <c r="FT21" s="274"/>
      <c r="FU21" s="274"/>
      <c r="FV21" s="274"/>
      <c r="FW21" s="274"/>
      <c r="FX21" s="274"/>
      <c r="FY21" s="274"/>
      <c r="FZ21" s="274"/>
      <c r="GA21" s="274"/>
      <c r="GB21" s="274"/>
      <c r="GC21" s="274"/>
      <c r="GD21" s="274"/>
      <c r="GE21" s="274"/>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c r="HE21" s="274"/>
      <c r="HF21" s="274"/>
      <c r="HG21" s="274"/>
      <c r="HH21" s="274"/>
      <c r="HI21" s="274"/>
      <c r="HJ21" s="274"/>
      <c r="HK21" s="274"/>
      <c r="HL21" s="274"/>
      <c r="HM21" s="274"/>
      <c r="HN21" s="274"/>
      <c r="HO21" s="274"/>
      <c r="HP21" s="274"/>
      <c r="HQ21" s="274"/>
      <c r="HR21" s="274"/>
      <c r="HS21" s="274"/>
      <c r="HT21" s="274"/>
      <c r="HU21" s="274"/>
      <c r="HV21" s="274"/>
      <c r="HW21" s="274"/>
      <c r="HX21" s="274"/>
      <c r="HY21" s="274"/>
      <c r="HZ21" s="274"/>
      <c r="IA21" s="274"/>
      <c r="IB21" s="274"/>
      <c r="IC21" s="274"/>
      <c r="ID21" s="274"/>
      <c r="IE21" s="274"/>
      <c r="IF21" s="274"/>
      <c r="IG21" s="274"/>
      <c r="IH21" s="274"/>
      <c r="II21" s="274"/>
      <c r="IJ21" s="274"/>
      <c r="IK21" s="274"/>
      <c r="IL21" s="274"/>
      <c r="IM21" s="274"/>
      <c r="IN21" s="274"/>
      <c r="IO21" s="274"/>
      <c r="IP21" s="274"/>
      <c r="IQ21" s="274"/>
      <c r="IR21" s="274"/>
      <c r="IS21" s="274"/>
      <c r="IT21" s="274"/>
      <c r="IU21" s="274"/>
      <c r="IV21" s="274"/>
      <c r="IW21" s="274"/>
      <c r="IX21" s="274"/>
      <c r="IY21" s="274"/>
      <c r="IZ21" s="274"/>
      <c r="JA21" s="274"/>
      <c r="JB21" s="274"/>
      <c r="JC21" s="274"/>
      <c r="JD21" s="274"/>
      <c r="JE21" s="274"/>
      <c r="JF21" s="274"/>
      <c r="JG21" s="274"/>
      <c r="JH21" s="274"/>
      <c r="JI21" s="274"/>
      <c r="JJ21" s="274"/>
      <c r="JK21" s="274"/>
      <c r="JL21" s="274"/>
      <c r="JM21" s="274"/>
      <c r="JN21" s="274"/>
      <c r="JO21" s="274"/>
      <c r="JP21" s="274"/>
      <c r="JQ21" s="274"/>
      <c r="JR21" s="274"/>
      <c r="JS21" s="274"/>
      <c r="JT21" s="274"/>
      <c r="JU21" s="274"/>
      <c r="JV21" s="274"/>
      <c r="JW21" s="274"/>
      <c r="JX21" s="274"/>
      <c r="JY21" s="274"/>
      <c r="JZ21" s="274"/>
      <c r="KA21" s="274"/>
      <c r="KB21" s="274"/>
      <c r="KC21" s="274"/>
      <c r="KD21" s="274"/>
      <c r="KE21" s="274"/>
      <c r="KF21" s="274"/>
      <c r="KG21" s="274"/>
      <c r="KH21" s="274"/>
      <c r="KI21" s="274"/>
      <c r="KJ21" s="274"/>
      <c r="KK21" s="274"/>
      <c r="KL21" s="274"/>
      <c r="KM21" s="274"/>
      <c r="KN21" s="274"/>
      <c r="KO21" s="274"/>
      <c r="KP21" s="274"/>
      <c r="KQ21" s="274"/>
      <c r="KR21" s="274"/>
      <c r="KS21" s="274"/>
      <c r="KT21" s="274"/>
      <c r="KU21" s="274"/>
      <c r="KV21" s="274"/>
      <c r="KW21" s="274"/>
      <c r="KX21" s="274"/>
      <c r="KY21" s="274"/>
      <c r="KZ21" s="274"/>
      <c r="LA21" s="274"/>
      <c r="LB21" s="274"/>
      <c r="LC21" s="274"/>
      <c r="LD21" s="274"/>
      <c r="LE21" s="274"/>
      <c r="LF21" s="274"/>
      <c r="LG21" s="274"/>
      <c r="LH21" s="274"/>
      <c r="LI21" s="274"/>
      <c r="LJ21" s="274"/>
      <c r="LK21" s="274"/>
      <c r="LL21" s="274"/>
      <c r="LM21" s="274"/>
      <c r="LN21" s="274"/>
      <c r="LO21" s="274"/>
      <c r="LP21" s="274"/>
      <c r="LQ21" s="274"/>
      <c r="LR21" s="274"/>
      <c r="LS21" s="274"/>
      <c r="LT21" s="274"/>
      <c r="LU21" s="274"/>
      <c r="LV21" s="274"/>
      <c r="LW21" s="274"/>
      <c r="LX21" s="274"/>
      <c r="LY21" s="274"/>
      <c r="LZ21" s="274"/>
      <c r="MA21" s="274"/>
      <c r="MB21" s="274"/>
      <c r="MC21" s="274"/>
      <c r="MD21" s="274"/>
      <c r="ME21" s="274"/>
      <c r="MF21" s="274"/>
      <c r="MG21" s="274"/>
      <c r="MH21" s="274"/>
      <c r="MI21" s="274"/>
      <c r="MJ21" s="274"/>
      <c r="MK21" s="274"/>
      <c r="ML21" s="274"/>
      <c r="MM21" s="274"/>
      <c r="MN21" s="274"/>
      <c r="MO21" s="274"/>
      <c r="MP21" s="274"/>
      <c r="MQ21" s="274"/>
      <c r="MR21" s="274"/>
      <c r="MS21" s="274"/>
      <c r="MT21" s="274"/>
      <c r="MU21" s="274"/>
      <c r="MV21" s="274"/>
      <c r="MW21" s="274"/>
      <c r="MX21" s="274"/>
      <c r="MY21" s="274"/>
      <c r="MZ21" s="274"/>
      <c r="NA21" s="274"/>
      <c r="NB21" s="274"/>
      <c r="NC21" s="274"/>
      <c r="ND21" s="274"/>
      <c r="NE21" s="274"/>
      <c r="NF21" s="274"/>
      <c r="NG21" s="274"/>
      <c r="NH21" s="274"/>
      <c r="NI21" s="274"/>
      <c r="NJ21" s="274"/>
      <c r="NK21" s="274"/>
      <c r="NL21" s="274"/>
      <c r="NM21" s="274"/>
      <c r="NN21" s="274"/>
      <c r="NO21" s="274"/>
      <c r="NP21" s="274"/>
      <c r="NQ21" s="274"/>
      <c r="NR21" s="274"/>
      <c r="NS21" s="274"/>
      <c r="NT21" s="274"/>
      <c r="NU21" s="274"/>
      <c r="NV21" s="274"/>
      <c r="NW21" s="274"/>
      <c r="NX21" s="274"/>
      <c r="NY21" s="274"/>
      <c r="NZ21" s="274"/>
      <c r="OA21" s="274"/>
      <c r="OB21" s="274"/>
      <c r="OC21" s="274"/>
      <c r="OD21" s="274"/>
      <c r="OE21" s="274"/>
      <c r="OF21" s="274"/>
      <c r="OG21" s="274"/>
      <c r="OH21" s="274"/>
      <c r="OI21" s="274"/>
      <c r="OJ21" s="274"/>
      <c r="OK21" s="274"/>
      <c r="OL21" s="274"/>
      <c r="OM21" s="274"/>
      <c r="ON21" s="274"/>
      <c r="OO21" s="274"/>
      <c r="OP21" s="274"/>
      <c r="OQ21" s="274"/>
      <c r="OR21" s="274"/>
      <c r="OS21" s="274"/>
      <c r="OT21" s="274"/>
      <c r="OU21" s="274"/>
      <c r="OV21" s="274"/>
      <c r="OW21" s="274"/>
      <c r="OX21" s="274"/>
      <c r="OY21" s="274"/>
      <c r="OZ21" s="274"/>
      <c r="PA21" s="274"/>
      <c r="PB21" s="274"/>
      <c r="PC21" s="274"/>
      <c r="PD21" s="274"/>
      <c r="PE21" s="274"/>
      <c r="PF21" s="274"/>
      <c r="PG21" s="274"/>
      <c r="PH21" s="274"/>
      <c r="PI21" s="274"/>
      <c r="PJ21" s="274"/>
      <c r="PK21" s="274"/>
      <c r="PL21" s="274"/>
      <c r="PM21" s="274"/>
      <c r="PN21" s="274"/>
      <c r="PO21" s="274"/>
      <c r="PP21" s="274"/>
      <c r="PQ21" s="274"/>
      <c r="PR21" s="274"/>
      <c r="PS21" s="274"/>
      <c r="PT21" s="274"/>
      <c r="PU21" s="274"/>
      <c r="PV21" s="274"/>
      <c r="PW21" s="274"/>
      <c r="PX21" s="274"/>
      <c r="PY21" s="274"/>
      <c r="PZ21" s="274"/>
      <c r="QA21" s="274"/>
      <c r="QB21" s="274"/>
      <c r="QC21" s="274"/>
      <c r="QD21" s="274"/>
      <c r="QE21" s="274"/>
      <c r="QF21" s="274"/>
      <c r="QG21" s="274"/>
      <c r="QH21" s="274"/>
      <c r="QI21" s="274"/>
      <c r="QJ21" s="274"/>
      <c r="QK21" s="274"/>
      <c r="QL21" s="274"/>
      <c r="QM21" s="274"/>
      <c r="QN21" s="274"/>
      <c r="QO21" s="274"/>
      <c r="QP21" s="274"/>
      <c r="QQ21" s="274"/>
      <c r="QR21" s="274"/>
      <c r="QS21" s="274"/>
      <c r="QT21" s="274"/>
      <c r="QU21" s="274"/>
      <c r="QV21" s="274"/>
      <c r="QW21" s="274"/>
      <c r="QX21" s="274"/>
      <c r="QY21" s="274"/>
      <c r="QZ21" s="324"/>
    </row>
    <row r="22" spans="1:468" s="293" customFormat="1" ht="69" customHeight="1" x14ac:dyDescent="0.2">
      <c r="A22" s="598"/>
      <c r="B22" s="599"/>
      <c r="C22" s="599"/>
      <c r="D22" s="599"/>
      <c r="E22" s="600"/>
      <c r="F22" s="599"/>
      <c r="G22" s="601"/>
      <c r="H22" s="602"/>
      <c r="I22" s="597"/>
      <c r="J22" s="599"/>
      <c r="K22" s="597">
        <f ca="1">IF(NOT(ISERROR(MATCH(J22,_xlfn.ANCHORARRAY(E24),0))),#REF!&amp;"Por favor no seleccionar los criterios de impacto",J22)</f>
        <v>0</v>
      </c>
      <c r="L22" s="602"/>
      <c r="M22" s="597"/>
      <c r="N22" s="596"/>
      <c r="O22" s="278">
        <v>2</v>
      </c>
      <c r="P22" s="279"/>
      <c r="Q22" s="280" t="str">
        <f t="shared" si="43"/>
        <v/>
      </c>
      <c r="R22" s="281"/>
      <c r="S22" s="281"/>
      <c r="T22" s="282" t="str">
        <f t="shared" ref="T22" si="44">IF(AND(R22="Preventivo",S22="Automático"),"50%",IF(AND(R22="Preventivo",S22="Manual"),"40%",IF(AND(R22="Detectivo",S22="Automático"),"40%",IF(AND(R22="Detectivo",S22="Manual"),"30%",IF(AND(R22="Correctivo",S22="Automático"),"35%",IF(AND(R22="Correctivo",S22="Manual"),"25%",""))))))</f>
        <v/>
      </c>
      <c r="U22" s="281"/>
      <c r="V22" s="281"/>
      <c r="W22" s="281"/>
      <c r="X22" s="283" t="str">
        <f>IFERROR(IF(AND(Q21="Probabilidad",Q22="Probabilidad"),(Z21-(+Z21*T22)),IF(Q22="Probabilidad",(I21-(+I21*T22)),IF(Q22="Impacto",Z21,""))),"")</f>
        <v/>
      </c>
      <c r="Y22" s="284" t="str">
        <f t="shared" si="31"/>
        <v/>
      </c>
      <c r="Z22" s="282" t="str">
        <f t="shared" ref="Z22" si="45">+X22</f>
        <v/>
      </c>
      <c r="AA22" s="284" t="str">
        <f t="shared" si="33"/>
        <v/>
      </c>
      <c r="AB22" s="282" t="str">
        <f>IFERROR(IF(AND(Q21="Impacto",Q22="Impacto"),(AB20-(+AB20*T22)),IF(Q22="Impacto",($M$21-(+$M$21*T22)),IF(Q22="Probabilidad",AB20,""))),"")</f>
        <v/>
      </c>
      <c r="AC22" s="285" t="str">
        <f t="shared" ref="AC22" si="46">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81"/>
      <c r="AE22" s="286"/>
      <c r="AF22" s="286"/>
      <c r="AG22" s="287"/>
      <c r="AH22" s="288"/>
      <c r="AI22" s="288"/>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c r="DJ22" s="274"/>
      <c r="DK22" s="274"/>
      <c r="DL22" s="274"/>
      <c r="DM22" s="274"/>
      <c r="DN22" s="274"/>
      <c r="DO22" s="274"/>
      <c r="DP22" s="274"/>
      <c r="DQ22" s="274"/>
      <c r="DR22" s="274"/>
      <c r="DS22" s="274"/>
      <c r="DT22" s="274"/>
      <c r="DU22" s="274"/>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c r="HE22" s="274"/>
      <c r="HF22" s="274"/>
      <c r="HG22" s="274"/>
      <c r="HH22" s="274"/>
      <c r="HI22" s="274"/>
      <c r="HJ22" s="274"/>
      <c r="HK22" s="274"/>
      <c r="HL22" s="274"/>
      <c r="HM22" s="274"/>
      <c r="HN22" s="274"/>
      <c r="HO22" s="274"/>
      <c r="HP22" s="274"/>
      <c r="HQ22" s="274"/>
      <c r="HR22" s="274"/>
      <c r="HS22" s="274"/>
      <c r="HT22" s="274"/>
      <c r="HU22" s="274"/>
      <c r="HV22" s="274"/>
      <c r="HW22" s="274"/>
      <c r="HX22" s="274"/>
      <c r="HY22" s="274"/>
      <c r="HZ22" s="274"/>
      <c r="IA22" s="274"/>
      <c r="IB22" s="274"/>
      <c r="IC22" s="274"/>
      <c r="ID22" s="274"/>
      <c r="IE22" s="274"/>
      <c r="IF22" s="274"/>
      <c r="IG22" s="274"/>
      <c r="IH22" s="274"/>
      <c r="II22" s="274"/>
      <c r="IJ22" s="274"/>
      <c r="IK22" s="274"/>
      <c r="IL22" s="274"/>
      <c r="IM22" s="274"/>
      <c r="IN22" s="274"/>
      <c r="IO22" s="274"/>
      <c r="IP22" s="274"/>
      <c r="IQ22" s="274"/>
      <c r="IR22" s="274"/>
      <c r="IS22" s="274"/>
      <c r="IT22" s="274"/>
      <c r="IU22" s="274"/>
      <c r="IV22" s="274"/>
      <c r="IW22" s="274"/>
      <c r="IX22" s="274"/>
      <c r="IY22" s="274"/>
      <c r="IZ22" s="274"/>
      <c r="JA22" s="274"/>
      <c r="JB22" s="274"/>
      <c r="JC22" s="274"/>
      <c r="JD22" s="274"/>
      <c r="JE22" s="274"/>
      <c r="JF22" s="274"/>
      <c r="JG22" s="274"/>
      <c r="JH22" s="274"/>
      <c r="JI22" s="274"/>
      <c r="JJ22" s="274"/>
      <c r="JK22" s="274"/>
      <c r="JL22" s="274"/>
      <c r="JM22" s="274"/>
      <c r="JN22" s="274"/>
      <c r="JO22" s="274"/>
      <c r="JP22" s="274"/>
      <c r="JQ22" s="274"/>
      <c r="JR22" s="274"/>
      <c r="JS22" s="274"/>
      <c r="JT22" s="274"/>
      <c r="JU22" s="274"/>
      <c r="JV22" s="274"/>
      <c r="JW22" s="274"/>
      <c r="JX22" s="274"/>
      <c r="JY22" s="274"/>
      <c r="JZ22" s="274"/>
      <c r="KA22" s="274"/>
      <c r="KB22" s="274"/>
      <c r="KC22" s="274"/>
      <c r="KD22" s="274"/>
      <c r="KE22" s="274"/>
      <c r="KF22" s="274"/>
      <c r="KG22" s="274"/>
      <c r="KH22" s="274"/>
      <c r="KI22" s="274"/>
      <c r="KJ22" s="274"/>
      <c r="KK22" s="274"/>
      <c r="KL22" s="274"/>
      <c r="KM22" s="274"/>
      <c r="KN22" s="274"/>
      <c r="KO22" s="274"/>
      <c r="KP22" s="274"/>
      <c r="KQ22" s="274"/>
      <c r="KR22" s="274"/>
      <c r="KS22" s="274"/>
      <c r="KT22" s="274"/>
      <c r="KU22" s="274"/>
      <c r="KV22" s="274"/>
      <c r="KW22" s="274"/>
      <c r="KX22" s="274"/>
      <c r="KY22" s="274"/>
      <c r="KZ22" s="274"/>
      <c r="LA22" s="274"/>
      <c r="LB22" s="274"/>
      <c r="LC22" s="274"/>
      <c r="LD22" s="274"/>
      <c r="LE22" s="274"/>
      <c r="LF22" s="274"/>
      <c r="LG22" s="274"/>
      <c r="LH22" s="274"/>
      <c r="LI22" s="274"/>
      <c r="LJ22" s="274"/>
      <c r="LK22" s="274"/>
      <c r="LL22" s="274"/>
      <c r="LM22" s="274"/>
      <c r="LN22" s="274"/>
      <c r="LO22" s="274"/>
      <c r="LP22" s="274"/>
      <c r="LQ22" s="274"/>
      <c r="LR22" s="274"/>
      <c r="LS22" s="274"/>
      <c r="LT22" s="274"/>
      <c r="LU22" s="274"/>
      <c r="LV22" s="274"/>
      <c r="LW22" s="274"/>
      <c r="LX22" s="274"/>
      <c r="LY22" s="274"/>
      <c r="LZ22" s="274"/>
      <c r="MA22" s="274"/>
      <c r="MB22" s="274"/>
      <c r="MC22" s="274"/>
      <c r="MD22" s="274"/>
      <c r="ME22" s="274"/>
      <c r="MF22" s="274"/>
      <c r="MG22" s="274"/>
      <c r="MH22" s="274"/>
      <c r="MI22" s="274"/>
      <c r="MJ22" s="274"/>
      <c r="MK22" s="274"/>
      <c r="ML22" s="274"/>
      <c r="MM22" s="274"/>
      <c r="MN22" s="274"/>
      <c r="MO22" s="274"/>
      <c r="MP22" s="274"/>
      <c r="MQ22" s="274"/>
      <c r="MR22" s="274"/>
      <c r="MS22" s="274"/>
      <c r="MT22" s="274"/>
      <c r="MU22" s="274"/>
      <c r="MV22" s="274"/>
      <c r="MW22" s="274"/>
      <c r="MX22" s="274"/>
      <c r="MY22" s="274"/>
      <c r="MZ22" s="274"/>
      <c r="NA22" s="274"/>
      <c r="NB22" s="274"/>
      <c r="NC22" s="274"/>
      <c r="ND22" s="274"/>
      <c r="NE22" s="274"/>
      <c r="NF22" s="274"/>
      <c r="NG22" s="274"/>
      <c r="NH22" s="274"/>
      <c r="NI22" s="274"/>
      <c r="NJ22" s="274"/>
      <c r="NK22" s="274"/>
      <c r="NL22" s="274"/>
      <c r="NM22" s="274"/>
      <c r="NN22" s="274"/>
      <c r="NO22" s="274"/>
      <c r="NP22" s="274"/>
      <c r="NQ22" s="274"/>
      <c r="NR22" s="274"/>
      <c r="NS22" s="274"/>
      <c r="NT22" s="274"/>
      <c r="NU22" s="274"/>
      <c r="NV22" s="274"/>
      <c r="NW22" s="274"/>
      <c r="NX22" s="274"/>
      <c r="NY22" s="274"/>
      <c r="NZ22" s="274"/>
      <c r="OA22" s="274"/>
      <c r="OB22" s="274"/>
      <c r="OC22" s="274"/>
      <c r="OD22" s="274"/>
      <c r="OE22" s="274"/>
      <c r="OF22" s="274"/>
      <c r="OG22" s="274"/>
      <c r="OH22" s="274"/>
      <c r="OI22" s="274"/>
      <c r="OJ22" s="274"/>
      <c r="OK22" s="274"/>
      <c r="OL22" s="274"/>
      <c r="OM22" s="274"/>
      <c r="ON22" s="274"/>
      <c r="OO22" s="274"/>
      <c r="OP22" s="274"/>
      <c r="OQ22" s="274"/>
      <c r="OR22" s="274"/>
      <c r="OS22" s="274"/>
      <c r="OT22" s="274"/>
      <c r="OU22" s="274"/>
      <c r="OV22" s="274"/>
      <c r="OW22" s="274"/>
      <c r="OX22" s="274"/>
      <c r="OY22" s="274"/>
      <c r="OZ22" s="274"/>
      <c r="PA22" s="274"/>
      <c r="PB22" s="274"/>
      <c r="PC22" s="274"/>
      <c r="PD22" s="274"/>
      <c r="PE22" s="274"/>
      <c r="PF22" s="274"/>
      <c r="PG22" s="274"/>
      <c r="PH22" s="274"/>
      <c r="PI22" s="274"/>
      <c r="PJ22" s="274"/>
      <c r="PK22" s="274"/>
      <c r="PL22" s="274"/>
      <c r="PM22" s="274"/>
      <c r="PN22" s="274"/>
      <c r="PO22" s="274"/>
      <c r="PP22" s="274"/>
      <c r="PQ22" s="274"/>
      <c r="PR22" s="274"/>
      <c r="PS22" s="274"/>
      <c r="PT22" s="274"/>
      <c r="PU22" s="274"/>
      <c r="PV22" s="274"/>
      <c r="PW22" s="274"/>
      <c r="PX22" s="274"/>
      <c r="PY22" s="274"/>
      <c r="PZ22" s="274"/>
      <c r="QA22" s="274"/>
      <c r="QB22" s="274"/>
      <c r="QC22" s="274"/>
      <c r="QD22" s="274"/>
      <c r="QE22" s="274"/>
      <c r="QF22" s="274"/>
      <c r="QG22" s="274"/>
      <c r="QH22" s="274"/>
      <c r="QI22" s="274"/>
      <c r="QJ22" s="274"/>
      <c r="QK22" s="274"/>
      <c r="QL22" s="274"/>
      <c r="QM22" s="274"/>
      <c r="QN22" s="274"/>
      <c r="QO22" s="274"/>
      <c r="QP22" s="274"/>
      <c r="QQ22" s="274"/>
      <c r="QR22" s="274"/>
      <c r="QS22" s="274"/>
      <c r="QT22" s="274"/>
      <c r="QU22" s="274"/>
      <c r="QV22" s="274"/>
      <c r="QW22" s="274"/>
      <c r="QX22" s="274"/>
      <c r="QY22" s="274"/>
      <c r="QZ22" s="324"/>
    </row>
    <row r="23" spans="1:468" s="293" customFormat="1" ht="69" customHeight="1" x14ac:dyDescent="0.2">
      <c r="A23" s="278">
        <v>10</v>
      </c>
      <c r="B23" s="286"/>
      <c r="C23" s="286"/>
      <c r="D23" s="286"/>
      <c r="E23" s="344"/>
      <c r="F23" s="286"/>
      <c r="G23" s="287"/>
      <c r="H23" s="343" t="str">
        <f t="shared" ref="H23" si="47">IF(G23&lt;=0,"",IF(G23&lt;=2,"Muy Baja",IF(G23&lt;=24,"Baja",IF(G23&lt;=500,"Media",IF(G23&lt;=5000,"Alta","Muy Alta")))))</f>
        <v/>
      </c>
      <c r="I23" s="341" t="str">
        <f t="shared" ref="I23" si="48">IF(H23="","",IF(H23="Muy Baja",0.2,IF(H23="Baja",0.4,IF(H23="Media",0.6,IF(H23="Alta",0.8,IF(H23="Muy Alta",1,))))))</f>
        <v/>
      </c>
      <c r="J23" s="286"/>
      <c r="K23" s="341">
        <f>IF(NOT(ISERROR(MATCH(J23,'[2]Tabla Impacto'!$B$221:$B$223,0))),'[2]Tabla Impacto'!$F$223&amp;"Por favor no seleccionar los criterios de impacto(Afectación Económica o presupuestal y Pérdida Reputacional)",J23)</f>
        <v>0</v>
      </c>
      <c r="L23" s="343" t="str">
        <f t="shared" ref="L23" si="49">IF(J23&lt;=0,"",IF(J23&lt;=10,"Leve",IF(J23&lt;=50,"Menor",IF(J23&lt;=100,"Moderado",IF(J23&lt;=500,"Mayor","Catastrófico")))))</f>
        <v/>
      </c>
      <c r="M23" s="341" t="str">
        <f t="shared" ref="M23" si="50">IF(L23="","",IF(L23="Leve",0.2,IF(L23="Menor",0.4,IF(L23="Moderado",0.6,IF(L23="Mayor",0.8,IF(L23="Catastrófico",1,))))))</f>
        <v/>
      </c>
      <c r="N23" s="342" t="str">
        <f t="shared" ref="N23" si="51">IF(OR(AND(H23="Muy Baja",L23="Leve"),AND(H23="Muy Baja",L23="Menor"),AND(H23="Baja",L23="Leve")),"Bajo",IF(OR(AND(H23="Muy baja",L23="Moderado"),AND(H23="Baja",L23="Menor"),AND(H23="Baja",L23="Moderado"),AND(H23="Media",L23="Leve"),AND(H23="Media",L23="Menor"),AND(H23="Media",L23="Moderado"),AND(H23="Alta",L23="Leve"),AND(H23="Alta",L23="Menor")),"Moderado",IF(OR(AND(H23="Muy Baja",L23="Mayor"),AND(H23="Baja",L23="Mayor"),AND(H23="Media",L23="Mayor"),AND(H23="Alta",L23="Moderado"),AND(H23="Alta",L23="Mayor"),AND(H23="Muy Alta",L23="Leve"),AND(H23="Muy Alta",L23="Menor"),AND(H23="Muy Alta",L23="Moderado"),AND(H23="Muy Alta",L23="Mayor")),"Alto",IF(OR(AND(H23="Muy Baja",L23="Catastrófico"),AND(H23="Baja",L23="Catastrófico"),AND(H23="Media",L23="Catastrófico"),AND(H23="Alta",L23="Catastrófico"),AND(H23="Muy Alta",L23="Catastrófico")),"Extremo",""))))</f>
        <v/>
      </c>
      <c r="O23" s="278">
        <v>1</v>
      </c>
      <c r="P23" s="279"/>
      <c r="Q23" s="280" t="str">
        <f t="shared" si="43"/>
        <v/>
      </c>
      <c r="R23" s="281"/>
      <c r="S23" s="281"/>
      <c r="T23" s="282" t="str">
        <f>IF(AND(R23="Preventivo",S23="Automático"),"50%",IF(AND(R23="Preventivo",S23="Manual"),"40%",IF(AND(R23="Detectivo",S23="Automático"),"40%",IF(AND(R23="Detectivo",S23="Manual"),"30%",IF(AND(R23="Correctivo",S23="Automático"),"35%",IF(AND(R23="Correctivo",S23="Manual"),"25%",""))))))</f>
        <v/>
      </c>
      <c r="U23" s="281"/>
      <c r="V23" s="281"/>
      <c r="W23" s="281"/>
      <c r="X23" s="283" t="str">
        <f>IFERROR(IF(Q23="Probabilidad",(I23-(+I23*T23)),IF(Q23="Impacto",I23,"")),"")</f>
        <v/>
      </c>
      <c r="Y23" s="284" t="str">
        <f>IFERROR(IF(X23="","",IF(X23&lt;=0.2,"Muy Baja",IF(X23&lt;=0.4,"Baja",IF(X23&lt;=0.6,"Media",IF(X23&lt;=0.8,"Alta","Muy Alta"))))),"")</f>
        <v/>
      </c>
      <c r="Z23" s="282" t="str">
        <f>+X23</f>
        <v/>
      </c>
      <c r="AA23" s="284" t="str">
        <f>IFERROR(IF(AB23="","",IF(AB23&lt;=0.2,"Leve",IF(AB23&lt;=0.4,"Menor",IF(AB23&lt;=0.6,"Moderado",IF(AB23&lt;=0.8,"Mayor","Catastrófico"))))),"")</f>
        <v/>
      </c>
      <c r="AB23" s="282" t="str">
        <f>IFERROR(IF(Q23="Impacto",(M23-(+M23*T23)),IF(Q23="Probabilidad",M23,"")),"")</f>
        <v/>
      </c>
      <c r="AC23" s="285" t="str">
        <f>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81"/>
      <c r="AE23" s="286"/>
      <c r="AF23" s="286"/>
      <c r="AG23" s="287"/>
      <c r="AH23" s="288"/>
      <c r="AI23" s="288"/>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c r="HQ23" s="274"/>
      <c r="HR23" s="274"/>
      <c r="HS23" s="274"/>
      <c r="HT23" s="274"/>
      <c r="HU23" s="274"/>
      <c r="HV23" s="274"/>
      <c r="HW23" s="274"/>
      <c r="HX23" s="274"/>
      <c r="HY23" s="274"/>
      <c r="HZ23" s="274"/>
      <c r="IA23" s="274"/>
      <c r="IB23" s="274"/>
      <c r="IC23" s="274"/>
      <c r="ID23" s="274"/>
      <c r="IE23" s="274"/>
      <c r="IF23" s="274"/>
      <c r="IG23" s="274"/>
      <c r="IH23" s="274"/>
      <c r="II23" s="274"/>
      <c r="IJ23" s="274"/>
      <c r="IK23" s="274"/>
      <c r="IL23" s="274"/>
      <c r="IM23" s="274"/>
      <c r="IN23" s="274"/>
      <c r="IO23" s="274"/>
      <c r="IP23" s="274"/>
      <c r="IQ23" s="274"/>
      <c r="IR23" s="274"/>
      <c r="IS23" s="274"/>
      <c r="IT23" s="274"/>
      <c r="IU23" s="274"/>
      <c r="IV23" s="274"/>
      <c r="IW23" s="274"/>
      <c r="IX23" s="274"/>
      <c r="IY23" s="274"/>
      <c r="IZ23" s="274"/>
      <c r="JA23" s="274"/>
      <c r="JB23" s="274"/>
      <c r="JC23" s="274"/>
      <c r="JD23" s="274"/>
      <c r="JE23" s="274"/>
      <c r="JF23" s="274"/>
      <c r="JG23" s="274"/>
      <c r="JH23" s="274"/>
      <c r="JI23" s="274"/>
      <c r="JJ23" s="274"/>
      <c r="JK23" s="274"/>
      <c r="JL23" s="274"/>
      <c r="JM23" s="274"/>
      <c r="JN23" s="274"/>
      <c r="JO23" s="274"/>
      <c r="JP23" s="274"/>
      <c r="JQ23" s="274"/>
      <c r="JR23" s="274"/>
      <c r="JS23" s="274"/>
      <c r="JT23" s="274"/>
      <c r="JU23" s="274"/>
      <c r="JV23" s="274"/>
      <c r="JW23" s="274"/>
      <c r="JX23" s="274"/>
      <c r="JY23" s="274"/>
      <c r="JZ23" s="274"/>
      <c r="KA23" s="274"/>
      <c r="KB23" s="274"/>
      <c r="KC23" s="274"/>
      <c r="KD23" s="274"/>
      <c r="KE23" s="274"/>
      <c r="KF23" s="274"/>
      <c r="KG23" s="274"/>
      <c r="KH23" s="274"/>
      <c r="KI23" s="274"/>
      <c r="KJ23" s="274"/>
      <c r="KK23" s="274"/>
      <c r="KL23" s="274"/>
      <c r="KM23" s="274"/>
      <c r="KN23" s="274"/>
      <c r="KO23" s="274"/>
      <c r="KP23" s="274"/>
      <c r="KQ23" s="274"/>
      <c r="KR23" s="274"/>
      <c r="KS23" s="274"/>
      <c r="KT23" s="274"/>
      <c r="KU23" s="274"/>
      <c r="KV23" s="274"/>
      <c r="KW23" s="274"/>
      <c r="KX23" s="274"/>
      <c r="KY23" s="274"/>
      <c r="KZ23" s="274"/>
      <c r="LA23" s="274"/>
      <c r="LB23" s="274"/>
      <c r="LC23" s="274"/>
      <c r="LD23" s="274"/>
      <c r="LE23" s="274"/>
      <c r="LF23" s="274"/>
      <c r="LG23" s="274"/>
      <c r="LH23" s="274"/>
      <c r="LI23" s="274"/>
      <c r="LJ23" s="274"/>
      <c r="LK23" s="274"/>
      <c r="LL23" s="274"/>
      <c r="LM23" s="274"/>
      <c r="LN23" s="274"/>
      <c r="LO23" s="274"/>
      <c r="LP23" s="274"/>
      <c r="LQ23" s="274"/>
      <c r="LR23" s="274"/>
      <c r="LS23" s="274"/>
      <c r="LT23" s="274"/>
      <c r="LU23" s="274"/>
      <c r="LV23" s="274"/>
      <c r="LW23" s="274"/>
      <c r="LX23" s="274"/>
      <c r="LY23" s="274"/>
      <c r="LZ23" s="274"/>
      <c r="MA23" s="274"/>
      <c r="MB23" s="274"/>
      <c r="MC23" s="274"/>
      <c r="MD23" s="274"/>
      <c r="ME23" s="274"/>
      <c r="MF23" s="274"/>
      <c r="MG23" s="274"/>
      <c r="MH23" s="274"/>
      <c r="MI23" s="274"/>
      <c r="MJ23" s="274"/>
      <c r="MK23" s="274"/>
      <c r="ML23" s="274"/>
      <c r="MM23" s="274"/>
      <c r="MN23" s="274"/>
      <c r="MO23" s="274"/>
      <c r="MP23" s="274"/>
      <c r="MQ23" s="274"/>
      <c r="MR23" s="274"/>
      <c r="MS23" s="274"/>
      <c r="MT23" s="274"/>
      <c r="MU23" s="274"/>
      <c r="MV23" s="274"/>
      <c r="MW23" s="274"/>
      <c r="MX23" s="274"/>
      <c r="MY23" s="274"/>
      <c r="MZ23" s="274"/>
      <c r="NA23" s="274"/>
      <c r="NB23" s="274"/>
      <c r="NC23" s="274"/>
      <c r="ND23" s="274"/>
      <c r="NE23" s="274"/>
      <c r="NF23" s="274"/>
      <c r="NG23" s="274"/>
      <c r="NH23" s="274"/>
      <c r="NI23" s="274"/>
      <c r="NJ23" s="274"/>
      <c r="NK23" s="274"/>
      <c r="NL23" s="274"/>
      <c r="NM23" s="274"/>
      <c r="NN23" s="274"/>
      <c r="NO23" s="274"/>
      <c r="NP23" s="274"/>
      <c r="NQ23" s="274"/>
      <c r="NR23" s="274"/>
      <c r="NS23" s="274"/>
      <c r="NT23" s="274"/>
      <c r="NU23" s="274"/>
      <c r="NV23" s="274"/>
      <c r="NW23" s="274"/>
      <c r="NX23" s="274"/>
      <c r="NY23" s="274"/>
      <c r="NZ23" s="274"/>
      <c r="OA23" s="274"/>
      <c r="OB23" s="274"/>
      <c r="OC23" s="274"/>
      <c r="OD23" s="274"/>
      <c r="OE23" s="274"/>
      <c r="OF23" s="274"/>
      <c r="OG23" s="274"/>
      <c r="OH23" s="274"/>
      <c r="OI23" s="274"/>
      <c r="OJ23" s="274"/>
      <c r="OK23" s="274"/>
      <c r="OL23" s="274"/>
      <c r="OM23" s="274"/>
      <c r="ON23" s="274"/>
      <c r="OO23" s="274"/>
      <c r="OP23" s="274"/>
      <c r="OQ23" s="274"/>
      <c r="OR23" s="274"/>
      <c r="OS23" s="274"/>
      <c r="OT23" s="274"/>
      <c r="OU23" s="274"/>
      <c r="OV23" s="274"/>
      <c r="OW23" s="274"/>
      <c r="OX23" s="274"/>
      <c r="OY23" s="274"/>
      <c r="OZ23" s="274"/>
      <c r="PA23" s="274"/>
      <c r="PB23" s="274"/>
      <c r="PC23" s="274"/>
      <c r="PD23" s="274"/>
      <c r="PE23" s="274"/>
      <c r="PF23" s="274"/>
      <c r="PG23" s="274"/>
      <c r="PH23" s="274"/>
      <c r="PI23" s="274"/>
      <c r="PJ23" s="274"/>
      <c r="PK23" s="274"/>
      <c r="PL23" s="274"/>
      <c r="PM23" s="274"/>
      <c r="PN23" s="274"/>
      <c r="PO23" s="274"/>
      <c r="PP23" s="274"/>
      <c r="PQ23" s="274"/>
      <c r="PR23" s="274"/>
      <c r="PS23" s="274"/>
      <c r="PT23" s="274"/>
      <c r="PU23" s="274"/>
      <c r="PV23" s="274"/>
      <c r="PW23" s="274"/>
      <c r="PX23" s="274"/>
      <c r="PY23" s="274"/>
      <c r="PZ23" s="274"/>
      <c r="QA23" s="274"/>
      <c r="QB23" s="274"/>
      <c r="QC23" s="274"/>
      <c r="QD23" s="274"/>
      <c r="QE23" s="274"/>
      <c r="QF23" s="274"/>
      <c r="QG23" s="274"/>
      <c r="QH23" s="274"/>
      <c r="QI23" s="274"/>
      <c r="QJ23" s="274"/>
      <c r="QK23" s="274"/>
      <c r="QL23" s="274"/>
      <c r="QM23" s="274"/>
      <c r="QN23" s="274"/>
      <c r="QO23" s="274"/>
      <c r="QP23" s="274"/>
      <c r="QQ23" s="274"/>
      <c r="QR23" s="274"/>
      <c r="QS23" s="274"/>
      <c r="QT23" s="274"/>
      <c r="QU23" s="274"/>
      <c r="QV23" s="274"/>
      <c r="QW23" s="274"/>
      <c r="QX23" s="274"/>
      <c r="QY23" s="274"/>
      <c r="QZ23" s="324"/>
    </row>
    <row r="24" spans="1:468" s="293" customFormat="1" ht="69" customHeight="1" x14ac:dyDescent="0.2">
      <c r="A24" s="598">
        <v>11</v>
      </c>
      <c r="B24" s="599"/>
      <c r="C24" s="599"/>
      <c r="D24" s="599"/>
      <c r="E24" s="600"/>
      <c r="F24" s="599"/>
      <c r="G24" s="601"/>
      <c r="H24" s="602" t="str">
        <f t="shared" ref="H24" si="52">IF(G24&lt;=0,"",IF(G24&lt;=2,"Muy Baja",IF(G24&lt;=24,"Baja",IF(G24&lt;=500,"Media",IF(G24&lt;=5000,"Alta","Muy Alta")))))</f>
        <v/>
      </c>
      <c r="I24" s="597" t="str">
        <f t="shared" ref="I24" si="53">IF(H24="","",IF(H24="Muy Baja",0.2,IF(H24="Baja",0.4,IF(H24="Media",0.6,IF(H24="Alta",0.8,IF(H24="Muy Alta",1,))))))</f>
        <v/>
      </c>
      <c r="J24" s="599"/>
      <c r="K24" s="597">
        <f>IF(NOT(ISERROR(MATCH(J24,'[2]Tabla Impacto'!$B$221:$B$223,0))),'[2]Tabla Impacto'!$F$223&amp;"Por favor no seleccionar los criterios de impacto(Afectación Económica o presupuestal y Pérdida Reputacional)",J24)</f>
        <v>0</v>
      </c>
      <c r="L24" s="602" t="str">
        <f t="shared" ref="L24" si="54">IF(J24&lt;=0,"",IF(J24&lt;=10,"Leve",IF(J24&lt;=50,"Menor",IF(J24&lt;=100,"Moderado",IF(J24&lt;=500,"Mayor","Catastrófico")))))</f>
        <v/>
      </c>
      <c r="M24" s="597" t="str">
        <f t="shared" ref="M24" si="55">IF(L24="","",IF(L24="Leve",0.2,IF(L24="Menor",0.4,IF(L24="Moderado",0.6,IF(L24="Mayor",0.8,IF(L24="Catastrófico",1,))))))</f>
        <v/>
      </c>
      <c r="N24" s="596" t="str">
        <f t="shared" ref="N24" si="56">IF(OR(AND(H24="Muy Baja",L24="Leve"),AND(H24="Muy Baja",L24="Menor"),AND(H24="Baja",L24="Leve")),"Bajo",IF(OR(AND(H24="Muy baja",L24="Moderado"),AND(H24="Baja",L24="Menor"),AND(H24="Baja",L24="Moderado"),AND(H24="Media",L24="Leve"),AND(H24="Media",L24="Menor"),AND(H24="Media",L24="Moderado"),AND(H24="Alta",L24="Leve"),AND(H24="Alta",L24="Menor")),"Moderado",IF(OR(AND(H24="Muy Baja",L24="Mayor"),AND(H24="Baja",L24="Mayor"),AND(H24="Media",L24="Mayor"),AND(H24="Alta",L24="Moderado"),AND(H24="Alta",L24="Mayor"),AND(H24="Muy Alta",L24="Leve"),AND(H24="Muy Alta",L24="Menor"),AND(H24="Muy Alta",L24="Moderado"),AND(H24="Muy Alta",L24="Mayor")),"Alto",IF(OR(AND(H24="Muy Baja",L24="Catastrófico"),AND(H24="Baja",L24="Catastrófico"),AND(H24="Media",L24="Catastrófico"),AND(H24="Alta",L24="Catastrófico"),AND(H24="Muy Alta",L24="Catastrófico")),"Extremo",""))))</f>
        <v/>
      </c>
      <c r="O24" s="278">
        <v>1</v>
      </c>
      <c r="P24" s="279"/>
      <c r="Q24" s="280" t="str">
        <f t="shared" si="43"/>
        <v/>
      </c>
      <c r="R24" s="281"/>
      <c r="S24" s="281"/>
      <c r="T24" s="282" t="str">
        <f>IF(AND(R24="Preventivo",S24="Automático"),"50%",IF(AND(R24="Preventivo",S24="Manual"),"40%",IF(AND(R24="Detectivo",S24="Automático"),"40%",IF(AND(R24="Detectivo",S24="Manual"),"30%",IF(AND(R24="Correctivo",S24="Automático"),"35%",IF(AND(R24="Correctivo",S24="Manual"),"25%",""))))))</f>
        <v/>
      </c>
      <c r="U24" s="281"/>
      <c r="V24" s="281"/>
      <c r="W24" s="281"/>
      <c r="X24" s="283" t="str">
        <f>IFERROR(IF(Q24="Probabilidad",(I24-(+I24*T24)),IF(Q24="Impacto",I24,"")),"")</f>
        <v/>
      </c>
      <c r="Y24" s="284" t="str">
        <f>IFERROR(IF(X24="","",IF(X24&lt;=0.2,"Muy Baja",IF(X24&lt;=0.4,"Baja",IF(X24&lt;=0.6,"Media",IF(X24&lt;=0.8,"Alta","Muy Alta"))))),"")</f>
        <v/>
      </c>
      <c r="Z24" s="282" t="str">
        <f>+X24</f>
        <v/>
      </c>
      <c r="AA24" s="284" t="str">
        <f>IFERROR(IF(AB24="","",IF(AB24&lt;=0.2,"Leve",IF(AB24&lt;=0.4,"Menor",IF(AB24&lt;=0.6,"Moderado",IF(AB24&lt;=0.8,"Mayor","Catastrófico"))))),"")</f>
        <v/>
      </c>
      <c r="AB24" s="282" t="str">
        <f>IFERROR(IF(Q24="Impacto",(M24-(+M24*T24)),IF(Q24="Probabilidad",M24,"")),"")</f>
        <v/>
      </c>
      <c r="AC24" s="285" t="str">
        <f>IFERROR(IF(OR(AND(Y24="Muy Baja",AA24="Leve"),AND(Y24="Muy Baja",AA24="Menor"),AND(Y24="Baja",AA24="Leve")),"Bajo",IF(OR(AND(Y24="Muy baja",AA24="Moderado"),AND(Y24="Baja",AA24="Menor"),AND(Y24="Baja",AA24="Moderado"),AND(Y24="Media",AA24="Leve"),AND(Y24="Media",AA24="Menor"),AND(Y24="Media",AA24="Moderado"),AND(Y24="Alta",AA24="Leve"),AND(Y24="Alta",AA24="Menor")),"Moderado",IF(OR(AND(Y24="Muy Baja",AA24="Mayor"),AND(Y24="Baja",AA24="Mayor"),AND(Y24="Media",AA24="Mayor"),AND(Y24="Alta",AA24="Moderado"),AND(Y24="Alta",AA24="Mayor"),AND(Y24="Muy Alta",AA24="Leve"),AND(Y24="Muy Alta",AA24="Menor"),AND(Y24="Muy Alta",AA24="Moderado"),AND(Y24="Muy Alta",AA24="Mayor")),"Alto",IF(OR(AND(Y24="Muy Baja",AA24="Catastrófico"),AND(Y24="Baja",AA24="Catastrófico"),AND(Y24="Media",AA24="Catastrófico"),AND(Y24="Alta",AA24="Catastrófico"),AND(Y24="Muy Alta",AA24="Catastrófico")),"Extremo","")))),"")</f>
        <v/>
      </c>
      <c r="AD24" s="281"/>
      <c r="AE24" s="286"/>
      <c r="AF24" s="286"/>
      <c r="AG24" s="287"/>
      <c r="AH24" s="288"/>
      <c r="AI24" s="288"/>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c r="IH24" s="274"/>
      <c r="II24" s="274"/>
      <c r="IJ24" s="274"/>
      <c r="IK24" s="274"/>
      <c r="IL24" s="274"/>
      <c r="IM24" s="274"/>
      <c r="IN24" s="274"/>
      <c r="IO24" s="274"/>
      <c r="IP24" s="274"/>
      <c r="IQ24" s="274"/>
      <c r="IR24" s="274"/>
      <c r="IS24" s="274"/>
      <c r="IT24" s="274"/>
      <c r="IU24" s="274"/>
      <c r="IV24" s="274"/>
      <c r="IW24" s="274"/>
      <c r="IX24" s="274"/>
      <c r="IY24" s="274"/>
      <c r="IZ24" s="274"/>
      <c r="JA24" s="274"/>
      <c r="JB24" s="274"/>
      <c r="JC24" s="274"/>
      <c r="JD24" s="274"/>
      <c r="JE24" s="274"/>
      <c r="JF24" s="274"/>
      <c r="JG24" s="274"/>
      <c r="JH24" s="274"/>
      <c r="JI24" s="274"/>
      <c r="JJ24" s="274"/>
      <c r="JK24" s="274"/>
      <c r="JL24" s="274"/>
      <c r="JM24" s="274"/>
      <c r="JN24" s="274"/>
      <c r="JO24" s="274"/>
      <c r="JP24" s="274"/>
      <c r="JQ24" s="274"/>
      <c r="JR24" s="274"/>
      <c r="JS24" s="274"/>
      <c r="JT24" s="274"/>
      <c r="JU24" s="274"/>
      <c r="JV24" s="274"/>
      <c r="JW24" s="274"/>
      <c r="JX24" s="274"/>
      <c r="JY24" s="274"/>
      <c r="JZ24" s="274"/>
      <c r="KA24" s="274"/>
      <c r="KB24" s="274"/>
      <c r="KC24" s="274"/>
      <c r="KD24" s="274"/>
      <c r="KE24" s="274"/>
      <c r="KF24" s="274"/>
      <c r="KG24" s="274"/>
      <c r="KH24" s="274"/>
      <c r="KI24" s="274"/>
      <c r="KJ24" s="274"/>
      <c r="KK24" s="274"/>
      <c r="KL24" s="274"/>
      <c r="KM24" s="274"/>
      <c r="KN24" s="274"/>
      <c r="KO24" s="274"/>
      <c r="KP24" s="274"/>
      <c r="KQ24" s="274"/>
      <c r="KR24" s="274"/>
      <c r="KS24" s="274"/>
      <c r="KT24" s="274"/>
      <c r="KU24" s="274"/>
      <c r="KV24" s="274"/>
      <c r="KW24" s="274"/>
      <c r="KX24" s="274"/>
      <c r="KY24" s="274"/>
      <c r="KZ24" s="274"/>
      <c r="LA24" s="274"/>
      <c r="LB24" s="274"/>
      <c r="LC24" s="274"/>
      <c r="LD24" s="274"/>
      <c r="LE24" s="274"/>
      <c r="LF24" s="274"/>
      <c r="LG24" s="274"/>
      <c r="LH24" s="274"/>
      <c r="LI24" s="274"/>
      <c r="LJ24" s="274"/>
      <c r="LK24" s="274"/>
      <c r="LL24" s="274"/>
      <c r="LM24" s="274"/>
      <c r="LN24" s="274"/>
      <c r="LO24" s="274"/>
      <c r="LP24" s="274"/>
      <c r="LQ24" s="274"/>
      <c r="LR24" s="274"/>
      <c r="LS24" s="274"/>
      <c r="LT24" s="274"/>
      <c r="LU24" s="274"/>
      <c r="LV24" s="274"/>
      <c r="LW24" s="274"/>
      <c r="LX24" s="274"/>
      <c r="LY24" s="274"/>
      <c r="LZ24" s="274"/>
      <c r="MA24" s="274"/>
      <c r="MB24" s="274"/>
      <c r="MC24" s="274"/>
      <c r="MD24" s="274"/>
      <c r="ME24" s="274"/>
      <c r="MF24" s="274"/>
      <c r="MG24" s="274"/>
      <c r="MH24" s="274"/>
      <c r="MI24" s="274"/>
      <c r="MJ24" s="274"/>
      <c r="MK24" s="274"/>
      <c r="ML24" s="274"/>
      <c r="MM24" s="274"/>
      <c r="MN24" s="274"/>
      <c r="MO24" s="274"/>
      <c r="MP24" s="274"/>
      <c r="MQ24" s="274"/>
      <c r="MR24" s="274"/>
      <c r="MS24" s="274"/>
      <c r="MT24" s="274"/>
      <c r="MU24" s="274"/>
      <c r="MV24" s="274"/>
      <c r="MW24" s="274"/>
      <c r="MX24" s="274"/>
      <c r="MY24" s="274"/>
      <c r="MZ24" s="274"/>
      <c r="NA24" s="274"/>
      <c r="NB24" s="274"/>
      <c r="NC24" s="274"/>
      <c r="ND24" s="274"/>
      <c r="NE24" s="274"/>
      <c r="NF24" s="274"/>
      <c r="NG24" s="274"/>
      <c r="NH24" s="274"/>
      <c r="NI24" s="274"/>
      <c r="NJ24" s="274"/>
      <c r="NK24" s="274"/>
      <c r="NL24" s="274"/>
      <c r="NM24" s="274"/>
      <c r="NN24" s="274"/>
      <c r="NO24" s="274"/>
      <c r="NP24" s="274"/>
      <c r="NQ24" s="274"/>
      <c r="NR24" s="274"/>
      <c r="NS24" s="274"/>
      <c r="NT24" s="274"/>
      <c r="NU24" s="274"/>
      <c r="NV24" s="274"/>
      <c r="NW24" s="274"/>
      <c r="NX24" s="274"/>
      <c r="NY24" s="274"/>
      <c r="NZ24" s="274"/>
      <c r="OA24" s="274"/>
      <c r="OB24" s="274"/>
      <c r="OC24" s="274"/>
      <c r="OD24" s="274"/>
      <c r="OE24" s="274"/>
      <c r="OF24" s="274"/>
      <c r="OG24" s="274"/>
      <c r="OH24" s="274"/>
      <c r="OI24" s="274"/>
      <c r="OJ24" s="274"/>
      <c r="OK24" s="274"/>
      <c r="OL24" s="274"/>
      <c r="OM24" s="274"/>
      <c r="ON24" s="274"/>
      <c r="OO24" s="274"/>
      <c r="OP24" s="274"/>
      <c r="OQ24" s="274"/>
      <c r="OR24" s="274"/>
      <c r="OS24" s="274"/>
      <c r="OT24" s="274"/>
      <c r="OU24" s="274"/>
      <c r="OV24" s="274"/>
      <c r="OW24" s="274"/>
      <c r="OX24" s="274"/>
      <c r="OY24" s="274"/>
      <c r="OZ24" s="274"/>
      <c r="PA24" s="274"/>
      <c r="PB24" s="274"/>
      <c r="PC24" s="274"/>
      <c r="PD24" s="274"/>
      <c r="PE24" s="274"/>
      <c r="PF24" s="274"/>
      <c r="PG24" s="274"/>
      <c r="PH24" s="274"/>
      <c r="PI24" s="274"/>
      <c r="PJ24" s="274"/>
      <c r="PK24" s="274"/>
      <c r="PL24" s="274"/>
      <c r="PM24" s="274"/>
      <c r="PN24" s="274"/>
      <c r="PO24" s="274"/>
      <c r="PP24" s="274"/>
      <c r="PQ24" s="274"/>
      <c r="PR24" s="274"/>
      <c r="PS24" s="274"/>
      <c r="PT24" s="274"/>
      <c r="PU24" s="274"/>
      <c r="PV24" s="274"/>
      <c r="PW24" s="274"/>
      <c r="PX24" s="274"/>
      <c r="PY24" s="274"/>
      <c r="PZ24" s="274"/>
      <c r="QA24" s="274"/>
      <c r="QB24" s="274"/>
      <c r="QC24" s="274"/>
      <c r="QD24" s="274"/>
      <c r="QE24" s="274"/>
      <c r="QF24" s="274"/>
      <c r="QG24" s="274"/>
      <c r="QH24" s="274"/>
      <c r="QI24" s="274"/>
      <c r="QJ24" s="274"/>
      <c r="QK24" s="274"/>
      <c r="QL24" s="274"/>
      <c r="QM24" s="274"/>
      <c r="QN24" s="274"/>
      <c r="QO24" s="274"/>
      <c r="QP24" s="274"/>
      <c r="QQ24" s="274"/>
      <c r="QR24" s="274"/>
      <c r="QS24" s="274"/>
      <c r="QT24" s="274"/>
      <c r="QU24" s="274"/>
      <c r="QV24" s="274"/>
      <c r="QW24" s="274"/>
      <c r="QX24" s="274"/>
      <c r="QY24" s="274"/>
      <c r="QZ24" s="324"/>
    </row>
    <row r="25" spans="1:468" s="293" customFormat="1" ht="69" customHeight="1" x14ac:dyDescent="0.2">
      <c r="A25" s="598"/>
      <c r="B25" s="599"/>
      <c r="C25" s="599"/>
      <c r="D25" s="599"/>
      <c r="E25" s="600"/>
      <c r="F25" s="599"/>
      <c r="G25" s="601"/>
      <c r="H25" s="602"/>
      <c r="I25" s="597"/>
      <c r="J25" s="599"/>
      <c r="K25" s="597">
        <f ca="1">IF(NOT(ISERROR(MATCH(J25,_xlfn.ANCHORARRAY(E28),0))),#REF!&amp;"Por favor no seleccionar los criterios de impacto",J25)</f>
        <v>0</v>
      </c>
      <c r="L25" s="602"/>
      <c r="M25" s="597"/>
      <c r="N25" s="596"/>
      <c r="O25" s="278">
        <v>2</v>
      </c>
      <c r="P25" s="279"/>
      <c r="Q25" s="280" t="str">
        <f t="shared" si="43"/>
        <v/>
      </c>
      <c r="R25" s="281"/>
      <c r="S25" s="281"/>
      <c r="T25" s="282" t="str">
        <f t="shared" ref="T25" si="57">IF(AND(R25="Preventivo",S25="Automático"),"50%",IF(AND(R25="Preventivo",S25="Manual"),"40%",IF(AND(R25="Detectivo",S25="Automático"),"40%",IF(AND(R25="Detectivo",S25="Manual"),"30%",IF(AND(R25="Correctivo",S25="Automático"),"35%",IF(AND(R25="Correctivo",S25="Manual"),"25%",""))))))</f>
        <v/>
      </c>
      <c r="U25" s="281"/>
      <c r="V25" s="281"/>
      <c r="W25" s="281"/>
      <c r="X25" s="283" t="str">
        <f>IFERROR(IF(AND(Q24="Probabilidad",Q25="Probabilidad"),(Z24-(+Z24*T25)),IF(Q25="Probabilidad",(I24-(+I24*T25)),IF(Q25="Impacto",Z24,""))),"")</f>
        <v/>
      </c>
      <c r="Y25" s="284" t="str">
        <f t="shared" si="31"/>
        <v/>
      </c>
      <c r="Z25" s="282" t="str">
        <f t="shared" ref="Z25" si="58">+X25</f>
        <v/>
      </c>
      <c r="AA25" s="284" t="str">
        <f t="shared" si="33"/>
        <v/>
      </c>
      <c r="AB25" s="282" t="str">
        <f>IFERROR(IF(AND(Q24="Impacto",Q25="Impacto"),(AB23-(+AB23*T25)),IF(Q25="Impacto",($M$24-(+$M$24*T25)),IF(Q25="Probabilidad",AB23,""))),"")</f>
        <v/>
      </c>
      <c r="AC25" s="285" t="str">
        <f t="shared" ref="AC25" si="59">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81"/>
      <c r="AE25" s="286"/>
      <c r="AF25" s="286"/>
      <c r="AG25" s="287"/>
      <c r="AH25" s="288"/>
      <c r="AI25" s="288"/>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c r="DA25" s="274"/>
      <c r="DB25" s="274"/>
      <c r="DC25" s="274"/>
      <c r="DD25" s="274"/>
      <c r="DE25" s="274"/>
      <c r="DF25" s="274"/>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4"/>
      <c r="HQ25" s="274"/>
      <c r="HR25" s="274"/>
      <c r="HS25" s="274"/>
      <c r="HT25" s="274"/>
      <c r="HU25" s="274"/>
      <c r="HV25" s="274"/>
      <c r="HW25" s="274"/>
      <c r="HX25" s="274"/>
      <c r="HY25" s="274"/>
      <c r="HZ25" s="274"/>
      <c r="IA25" s="274"/>
      <c r="IB25" s="274"/>
      <c r="IC25" s="274"/>
      <c r="ID25" s="274"/>
      <c r="IE25" s="274"/>
      <c r="IF25" s="274"/>
      <c r="IG25" s="274"/>
      <c r="IH25" s="274"/>
      <c r="II25" s="274"/>
      <c r="IJ25" s="274"/>
      <c r="IK25" s="274"/>
      <c r="IL25" s="274"/>
      <c r="IM25" s="274"/>
      <c r="IN25" s="274"/>
      <c r="IO25" s="274"/>
      <c r="IP25" s="274"/>
      <c r="IQ25" s="274"/>
      <c r="IR25" s="274"/>
      <c r="IS25" s="274"/>
      <c r="IT25" s="274"/>
      <c r="IU25" s="274"/>
      <c r="IV25" s="274"/>
      <c r="IW25" s="274"/>
      <c r="IX25" s="274"/>
      <c r="IY25" s="274"/>
      <c r="IZ25" s="274"/>
      <c r="JA25" s="274"/>
      <c r="JB25" s="274"/>
      <c r="JC25" s="274"/>
      <c r="JD25" s="274"/>
      <c r="JE25" s="274"/>
      <c r="JF25" s="274"/>
      <c r="JG25" s="274"/>
      <c r="JH25" s="274"/>
      <c r="JI25" s="274"/>
      <c r="JJ25" s="274"/>
      <c r="JK25" s="274"/>
      <c r="JL25" s="274"/>
      <c r="JM25" s="274"/>
      <c r="JN25" s="274"/>
      <c r="JO25" s="274"/>
      <c r="JP25" s="274"/>
      <c r="JQ25" s="274"/>
      <c r="JR25" s="274"/>
      <c r="JS25" s="274"/>
      <c r="JT25" s="274"/>
      <c r="JU25" s="274"/>
      <c r="JV25" s="274"/>
      <c r="JW25" s="274"/>
      <c r="JX25" s="274"/>
      <c r="JY25" s="274"/>
      <c r="JZ25" s="274"/>
      <c r="KA25" s="274"/>
      <c r="KB25" s="274"/>
      <c r="KC25" s="274"/>
      <c r="KD25" s="274"/>
      <c r="KE25" s="274"/>
      <c r="KF25" s="274"/>
      <c r="KG25" s="274"/>
      <c r="KH25" s="274"/>
      <c r="KI25" s="274"/>
      <c r="KJ25" s="274"/>
      <c r="KK25" s="274"/>
      <c r="KL25" s="274"/>
      <c r="KM25" s="274"/>
      <c r="KN25" s="274"/>
      <c r="KO25" s="274"/>
      <c r="KP25" s="274"/>
      <c r="KQ25" s="274"/>
      <c r="KR25" s="274"/>
      <c r="KS25" s="274"/>
      <c r="KT25" s="274"/>
      <c r="KU25" s="274"/>
      <c r="KV25" s="274"/>
      <c r="KW25" s="274"/>
      <c r="KX25" s="274"/>
      <c r="KY25" s="274"/>
      <c r="KZ25" s="274"/>
      <c r="LA25" s="274"/>
      <c r="LB25" s="274"/>
      <c r="LC25" s="274"/>
      <c r="LD25" s="274"/>
      <c r="LE25" s="274"/>
      <c r="LF25" s="274"/>
      <c r="LG25" s="274"/>
      <c r="LH25" s="274"/>
      <c r="LI25" s="274"/>
      <c r="LJ25" s="274"/>
      <c r="LK25" s="274"/>
      <c r="LL25" s="274"/>
      <c r="LM25" s="274"/>
      <c r="LN25" s="274"/>
      <c r="LO25" s="274"/>
      <c r="LP25" s="274"/>
      <c r="LQ25" s="274"/>
      <c r="LR25" s="274"/>
      <c r="LS25" s="274"/>
      <c r="LT25" s="274"/>
      <c r="LU25" s="274"/>
      <c r="LV25" s="274"/>
      <c r="LW25" s="274"/>
      <c r="LX25" s="274"/>
      <c r="LY25" s="274"/>
      <c r="LZ25" s="274"/>
      <c r="MA25" s="274"/>
      <c r="MB25" s="274"/>
      <c r="MC25" s="274"/>
      <c r="MD25" s="274"/>
      <c r="ME25" s="274"/>
      <c r="MF25" s="274"/>
      <c r="MG25" s="274"/>
      <c r="MH25" s="274"/>
      <c r="MI25" s="274"/>
      <c r="MJ25" s="274"/>
      <c r="MK25" s="274"/>
      <c r="ML25" s="274"/>
      <c r="MM25" s="274"/>
      <c r="MN25" s="274"/>
      <c r="MO25" s="274"/>
      <c r="MP25" s="274"/>
      <c r="MQ25" s="274"/>
      <c r="MR25" s="274"/>
      <c r="MS25" s="274"/>
      <c r="MT25" s="274"/>
      <c r="MU25" s="274"/>
      <c r="MV25" s="274"/>
      <c r="MW25" s="274"/>
      <c r="MX25" s="274"/>
      <c r="MY25" s="274"/>
      <c r="MZ25" s="274"/>
      <c r="NA25" s="274"/>
      <c r="NB25" s="274"/>
      <c r="NC25" s="274"/>
      <c r="ND25" s="274"/>
      <c r="NE25" s="274"/>
      <c r="NF25" s="274"/>
      <c r="NG25" s="274"/>
      <c r="NH25" s="274"/>
      <c r="NI25" s="274"/>
      <c r="NJ25" s="274"/>
      <c r="NK25" s="274"/>
      <c r="NL25" s="274"/>
      <c r="NM25" s="274"/>
      <c r="NN25" s="274"/>
      <c r="NO25" s="274"/>
      <c r="NP25" s="274"/>
      <c r="NQ25" s="274"/>
      <c r="NR25" s="274"/>
      <c r="NS25" s="274"/>
      <c r="NT25" s="274"/>
      <c r="NU25" s="274"/>
      <c r="NV25" s="274"/>
      <c r="NW25" s="274"/>
      <c r="NX25" s="274"/>
      <c r="NY25" s="274"/>
      <c r="NZ25" s="274"/>
      <c r="OA25" s="274"/>
      <c r="OB25" s="274"/>
      <c r="OC25" s="274"/>
      <c r="OD25" s="274"/>
      <c r="OE25" s="274"/>
      <c r="OF25" s="274"/>
      <c r="OG25" s="274"/>
      <c r="OH25" s="274"/>
      <c r="OI25" s="274"/>
      <c r="OJ25" s="274"/>
      <c r="OK25" s="274"/>
      <c r="OL25" s="274"/>
      <c r="OM25" s="274"/>
      <c r="ON25" s="274"/>
      <c r="OO25" s="274"/>
      <c r="OP25" s="274"/>
      <c r="OQ25" s="274"/>
      <c r="OR25" s="274"/>
      <c r="OS25" s="274"/>
      <c r="OT25" s="274"/>
      <c r="OU25" s="274"/>
      <c r="OV25" s="274"/>
      <c r="OW25" s="274"/>
      <c r="OX25" s="274"/>
      <c r="OY25" s="274"/>
      <c r="OZ25" s="274"/>
      <c r="PA25" s="274"/>
      <c r="PB25" s="274"/>
      <c r="PC25" s="274"/>
      <c r="PD25" s="274"/>
      <c r="PE25" s="274"/>
      <c r="PF25" s="274"/>
      <c r="PG25" s="274"/>
      <c r="PH25" s="274"/>
      <c r="PI25" s="274"/>
      <c r="PJ25" s="274"/>
      <c r="PK25" s="274"/>
      <c r="PL25" s="274"/>
      <c r="PM25" s="274"/>
      <c r="PN25" s="274"/>
      <c r="PO25" s="274"/>
      <c r="PP25" s="274"/>
      <c r="PQ25" s="274"/>
      <c r="PR25" s="274"/>
      <c r="PS25" s="274"/>
      <c r="PT25" s="274"/>
      <c r="PU25" s="274"/>
      <c r="PV25" s="274"/>
      <c r="PW25" s="274"/>
      <c r="PX25" s="274"/>
      <c r="PY25" s="274"/>
      <c r="PZ25" s="274"/>
      <c r="QA25" s="274"/>
      <c r="QB25" s="274"/>
      <c r="QC25" s="274"/>
      <c r="QD25" s="274"/>
      <c r="QE25" s="274"/>
      <c r="QF25" s="274"/>
      <c r="QG25" s="274"/>
      <c r="QH25" s="274"/>
      <c r="QI25" s="274"/>
      <c r="QJ25" s="274"/>
      <c r="QK25" s="274"/>
      <c r="QL25" s="274"/>
      <c r="QM25" s="274"/>
      <c r="QN25" s="274"/>
      <c r="QO25" s="274"/>
      <c r="QP25" s="274"/>
      <c r="QQ25" s="274"/>
      <c r="QR25" s="274"/>
      <c r="QS25" s="274"/>
      <c r="QT25" s="274"/>
      <c r="QU25" s="274"/>
      <c r="QV25" s="274"/>
      <c r="QW25" s="274"/>
      <c r="QX25" s="274"/>
      <c r="QY25" s="274"/>
      <c r="QZ25" s="324"/>
    </row>
    <row r="26" spans="1:468" s="293" customFormat="1" ht="69" customHeight="1" x14ac:dyDescent="0.2">
      <c r="A26" s="598">
        <v>10</v>
      </c>
      <c r="B26" s="599"/>
      <c r="C26" s="599"/>
      <c r="D26" s="599"/>
      <c r="E26" s="600"/>
      <c r="F26" s="599"/>
      <c r="G26" s="601"/>
      <c r="H26" s="602" t="str">
        <f t="shared" ref="H26" si="60">IF(G26&lt;=0,"",IF(G26&lt;=2,"Muy Baja",IF(G26&lt;=24,"Baja",IF(G26&lt;=500,"Media",IF(G26&lt;=5000,"Alta","Muy Alta")))))</f>
        <v/>
      </c>
      <c r="I26" s="597" t="str">
        <f t="shared" ref="I26" si="61">IF(H26="","",IF(H26="Muy Baja",0.2,IF(H26="Baja",0.4,IF(H26="Media",0.6,IF(H26="Alta",0.8,IF(H26="Muy Alta",1,))))))</f>
        <v/>
      </c>
      <c r="J26" s="599"/>
      <c r="K26" s="597">
        <f>IF(NOT(ISERROR(MATCH(J26,'[2]Tabla Impacto'!$B$221:$B$223,0))),'[2]Tabla Impacto'!$F$223&amp;"Por favor no seleccionar los criterios de impacto(Afectación Económica o presupuestal y Pérdida Reputacional)",J26)</f>
        <v>0</v>
      </c>
      <c r="L26" s="602" t="str">
        <f t="shared" ref="L26" si="62">IF(J26&lt;=0,"",IF(J26&lt;=10,"Leve",IF(J26&lt;=50,"Menor",IF(J26&lt;=100,"Moderado",IF(J26&lt;=500,"Mayor","Catastrófico")))))</f>
        <v/>
      </c>
      <c r="M26" s="597" t="str">
        <f t="shared" ref="M26" si="63">IF(L26="","",IF(L26="Leve",0.2,IF(L26="Menor",0.4,IF(L26="Moderado",0.6,IF(L26="Mayor",0.8,IF(L26="Catastrófico",1,))))))</f>
        <v/>
      </c>
      <c r="N26" s="596" t="str">
        <f t="shared" ref="N26" si="64">IF(OR(AND(H26="Muy Baja",L26="Leve"),AND(H26="Muy Baja",L26="Menor"),AND(H26="Baja",L26="Leve")),"Bajo",IF(OR(AND(H26="Muy baja",L26="Moderado"),AND(H26="Baja",L26="Menor"),AND(H26="Baja",L26="Moderado"),AND(H26="Media",L26="Leve"),AND(H26="Media",L26="Menor"),AND(H26="Media",L26="Moderado"),AND(H26="Alta",L26="Leve"),AND(H26="Alta",L26="Menor")),"Moderado",IF(OR(AND(H26="Muy Baja",L26="Mayor"),AND(H26="Baja",L26="Mayor"),AND(H26="Media",L26="Mayor"),AND(H26="Alta",L26="Moderado"),AND(H26="Alta",L26="Mayor"),AND(H26="Muy Alta",L26="Leve"),AND(H26="Muy Alta",L26="Menor"),AND(H26="Muy Alta",L26="Moderado"),AND(H26="Muy Alta",L26="Mayor")),"Alto",IF(OR(AND(H26="Muy Baja",L26="Catastrófico"),AND(H26="Baja",L26="Catastrófico"),AND(H26="Media",L26="Catastrófico"),AND(H26="Alta",L26="Catastrófico"),AND(H26="Muy Alta",L26="Catastrófico")),"Extremo",""))))</f>
        <v/>
      </c>
      <c r="O26" s="278">
        <v>1</v>
      </c>
      <c r="P26" s="279"/>
      <c r="Q26" s="280" t="str">
        <f t="shared" si="43"/>
        <v/>
      </c>
      <c r="R26" s="281"/>
      <c r="S26" s="281"/>
      <c r="T26" s="282" t="str">
        <f>IF(AND(R26="Preventivo",S26="Automático"),"50%",IF(AND(R26="Preventivo",S26="Manual"),"40%",IF(AND(R26="Detectivo",S26="Automático"),"40%",IF(AND(R26="Detectivo",S26="Manual"),"30%",IF(AND(R26="Correctivo",S26="Automático"),"35%",IF(AND(R26="Correctivo",S26="Manual"),"25%",""))))))</f>
        <v/>
      </c>
      <c r="U26" s="281"/>
      <c r="V26" s="281"/>
      <c r="W26" s="281"/>
      <c r="X26" s="283" t="str">
        <f>IFERROR(IF(Q26="Probabilidad",(I26-(+I26*T26)),IF(Q26="Impacto",I26,"")),"")</f>
        <v/>
      </c>
      <c r="Y26" s="284" t="str">
        <f>IFERROR(IF(X26="","",IF(X26&lt;=0.2,"Muy Baja",IF(X26&lt;=0.4,"Baja",IF(X26&lt;=0.6,"Media",IF(X26&lt;=0.8,"Alta","Muy Alta"))))),"")</f>
        <v/>
      </c>
      <c r="Z26" s="282" t="str">
        <f>+X26</f>
        <v/>
      </c>
      <c r="AA26" s="284" t="str">
        <f>IFERROR(IF(AB26="","",IF(AB26&lt;=0.2,"Leve",IF(AB26&lt;=0.4,"Menor",IF(AB26&lt;=0.6,"Moderado",IF(AB26&lt;=0.8,"Mayor","Catastrófico"))))),"")</f>
        <v/>
      </c>
      <c r="AB26" s="282" t="str">
        <f>IFERROR(IF(Q26="Impacto",(M26-(+M26*T26)),IF(Q26="Probabilidad",M26,"")),"")</f>
        <v/>
      </c>
      <c r="AC26" s="285" t="str">
        <f>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81"/>
      <c r="AE26" s="286"/>
      <c r="AF26" s="286"/>
      <c r="AG26" s="287"/>
      <c r="AH26" s="288"/>
      <c r="AI26" s="288"/>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c r="DF26" s="274"/>
      <c r="DG26" s="274"/>
      <c r="DH26" s="274"/>
      <c r="DI26" s="274"/>
      <c r="DJ26" s="274"/>
      <c r="DK26" s="274"/>
      <c r="DL26" s="274"/>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c r="FH26" s="274"/>
      <c r="FI26" s="274"/>
      <c r="FJ26" s="274"/>
      <c r="FK26" s="274"/>
      <c r="FL26" s="274"/>
      <c r="FM26" s="274"/>
      <c r="FN26" s="274"/>
      <c r="FO26" s="274"/>
      <c r="FP26" s="274"/>
      <c r="FQ26" s="274"/>
      <c r="FR26" s="274"/>
      <c r="FS26" s="274"/>
      <c r="FT26" s="274"/>
      <c r="FU26" s="274"/>
      <c r="FV26" s="274"/>
      <c r="FW26" s="274"/>
      <c r="FX26" s="274"/>
      <c r="FY26" s="274"/>
      <c r="FZ26" s="274"/>
      <c r="GA26" s="274"/>
      <c r="GB26" s="274"/>
      <c r="GC26" s="274"/>
      <c r="GD26" s="274"/>
      <c r="GE26" s="274"/>
      <c r="GF26" s="274"/>
      <c r="GG26" s="274"/>
      <c r="GH26" s="274"/>
      <c r="GI26" s="274"/>
      <c r="GJ26" s="274"/>
      <c r="GK26" s="274"/>
      <c r="GL26" s="274"/>
      <c r="GM26" s="274"/>
      <c r="GN26" s="274"/>
      <c r="GO26" s="274"/>
      <c r="GP26" s="274"/>
      <c r="GQ26" s="274"/>
      <c r="GR26" s="274"/>
      <c r="GS26" s="274"/>
      <c r="GT26" s="274"/>
      <c r="GU26" s="274"/>
      <c r="GV26" s="274"/>
      <c r="GW26" s="274"/>
      <c r="GX26" s="274"/>
      <c r="GY26" s="274"/>
      <c r="GZ26" s="274"/>
      <c r="HA26" s="274"/>
      <c r="HB26" s="274"/>
      <c r="HC26" s="274"/>
      <c r="HD26" s="274"/>
      <c r="HE26" s="274"/>
      <c r="HF26" s="274"/>
      <c r="HG26" s="274"/>
      <c r="HH26" s="274"/>
      <c r="HI26" s="274"/>
      <c r="HJ26" s="274"/>
      <c r="HK26" s="274"/>
      <c r="HL26" s="274"/>
      <c r="HM26" s="274"/>
      <c r="HN26" s="274"/>
      <c r="HO26" s="274"/>
      <c r="HP26" s="274"/>
      <c r="HQ26" s="274"/>
      <c r="HR26" s="274"/>
      <c r="HS26" s="274"/>
      <c r="HT26" s="274"/>
      <c r="HU26" s="274"/>
      <c r="HV26" s="274"/>
      <c r="HW26" s="274"/>
      <c r="HX26" s="274"/>
      <c r="HY26" s="274"/>
      <c r="HZ26" s="274"/>
      <c r="IA26" s="274"/>
      <c r="IB26" s="274"/>
      <c r="IC26" s="274"/>
      <c r="ID26" s="274"/>
      <c r="IE26" s="274"/>
      <c r="IF26" s="274"/>
      <c r="IG26" s="274"/>
      <c r="IH26" s="274"/>
      <c r="II26" s="274"/>
      <c r="IJ26" s="274"/>
      <c r="IK26" s="274"/>
      <c r="IL26" s="274"/>
      <c r="IM26" s="274"/>
      <c r="IN26" s="274"/>
      <c r="IO26" s="274"/>
      <c r="IP26" s="274"/>
      <c r="IQ26" s="274"/>
      <c r="IR26" s="274"/>
      <c r="IS26" s="274"/>
      <c r="IT26" s="274"/>
      <c r="IU26" s="274"/>
      <c r="IV26" s="274"/>
      <c r="IW26" s="274"/>
      <c r="IX26" s="274"/>
      <c r="IY26" s="274"/>
      <c r="IZ26" s="274"/>
      <c r="JA26" s="274"/>
      <c r="JB26" s="274"/>
      <c r="JC26" s="274"/>
      <c r="JD26" s="274"/>
      <c r="JE26" s="274"/>
      <c r="JF26" s="274"/>
      <c r="JG26" s="274"/>
      <c r="JH26" s="274"/>
      <c r="JI26" s="274"/>
      <c r="JJ26" s="274"/>
      <c r="JK26" s="274"/>
      <c r="JL26" s="274"/>
      <c r="JM26" s="274"/>
      <c r="JN26" s="274"/>
      <c r="JO26" s="274"/>
      <c r="JP26" s="274"/>
      <c r="JQ26" s="274"/>
      <c r="JR26" s="274"/>
      <c r="JS26" s="274"/>
      <c r="JT26" s="274"/>
      <c r="JU26" s="274"/>
      <c r="JV26" s="274"/>
      <c r="JW26" s="274"/>
      <c r="JX26" s="274"/>
      <c r="JY26" s="274"/>
      <c r="JZ26" s="274"/>
      <c r="KA26" s="274"/>
      <c r="KB26" s="274"/>
      <c r="KC26" s="274"/>
      <c r="KD26" s="274"/>
      <c r="KE26" s="274"/>
      <c r="KF26" s="274"/>
      <c r="KG26" s="274"/>
      <c r="KH26" s="274"/>
      <c r="KI26" s="274"/>
      <c r="KJ26" s="274"/>
      <c r="KK26" s="274"/>
      <c r="KL26" s="274"/>
      <c r="KM26" s="274"/>
      <c r="KN26" s="274"/>
      <c r="KO26" s="274"/>
      <c r="KP26" s="274"/>
      <c r="KQ26" s="274"/>
      <c r="KR26" s="274"/>
      <c r="KS26" s="274"/>
      <c r="KT26" s="274"/>
      <c r="KU26" s="274"/>
      <c r="KV26" s="274"/>
      <c r="KW26" s="274"/>
      <c r="KX26" s="274"/>
      <c r="KY26" s="274"/>
      <c r="KZ26" s="274"/>
      <c r="LA26" s="274"/>
      <c r="LB26" s="274"/>
      <c r="LC26" s="274"/>
      <c r="LD26" s="274"/>
      <c r="LE26" s="274"/>
      <c r="LF26" s="274"/>
      <c r="LG26" s="274"/>
      <c r="LH26" s="274"/>
      <c r="LI26" s="274"/>
      <c r="LJ26" s="274"/>
      <c r="LK26" s="274"/>
      <c r="LL26" s="274"/>
      <c r="LM26" s="274"/>
      <c r="LN26" s="274"/>
      <c r="LO26" s="274"/>
      <c r="LP26" s="274"/>
      <c r="LQ26" s="274"/>
      <c r="LR26" s="274"/>
      <c r="LS26" s="274"/>
      <c r="LT26" s="274"/>
      <c r="LU26" s="274"/>
      <c r="LV26" s="274"/>
      <c r="LW26" s="274"/>
      <c r="LX26" s="274"/>
      <c r="LY26" s="274"/>
      <c r="LZ26" s="274"/>
      <c r="MA26" s="274"/>
      <c r="MB26" s="274"/>
      <c r="MC26" s="274"/>
      <c r="MD26" s="274"/>
      <c r="ME26" s="274"/>
      <c r="MF26" s="274"/>
      <c r="MG26" s="274"/>
      <c r="MH26" s="274"/>
      <c r="MI26" s="274"/>
      <c r="MJ26" s="274"/>
      <c r="MK26" s="274"/>
      <c r="ML26" s="274"/>
      <c r="MM26" s="274"/>
      <c r="MN26" s="274"/>
      <c r="MO26" s="274"/>
      <c r="MP26" s="274"/>
      <c r="MQ26" s="274"/>
      <c r="MR26" s="274"/>
      <c r="MS26" s="274"/>
      <c r="MT26" s="274"/>
      <c r="MU26" s="274"/>
      <c r="MV26" s="274"/>
      <c r="MW26" s="274"/>
      <c r="MX26" s="274"/>
      <c r="MY26" s="274"/>
      <c r="MZ26" s="274"/>
      <c r="NA26" s="274"/>
      <c r="NB26" s="274"/>
      <c r="NC26" s="274"/>
      <c r="ND26" s="274"/>
      <c r="NE26" s="274"/>
      <c r="NF26" s="274"/>
      <c r="NG26" s="274"/>
      <c r="NH26" s="274"/>
      <c r="NI26" s="274"/>
      <c r="NJ26" s="274"/>
      <c r="NK26" s="274"/>
      <c r="NL26" s="274"/>
      <c r="NM26" s="274"/>
      <c r="NN26" s="274"/>
      <c r="NO26" s="274"/>
      <c r="NP26" s="274"/>
      <c r="NQ26" s="274"/>
      <c r="NR26" s="274"/>
      <c r="NS26" s="274"/>
      <c r="NT26" s="274"/>
      <c r="NU26" s="274"/>
      <c r="NV26" s="274"/>
      <c r="NW26" s="274"/>
      <c r="NX26" s="274"/>
      <c r="NY26" s="274"/>
      <c r="NZ26" s="274"/>
      <c r="OA26" s="274"/>
      <c r="OB26" s="274"/>
      <c r="OC26" s="274"/>
      <c r="OD26" s="274"/>
      <c r="OE26" s="274"/>
      <c r="OF26" s="274"/>
      <c r="OG26" s="274"/>
      <c r="OH26" s="274"/>
      <c r="OI26" s="274"/>
      <c r="OJ26" s="274"/>
      <c r="OK26" s="274"/>
      <c r="OL26" s="274"/>
      <c r="OM26" s="274"/>
      <c r="ON26" s="274"/>
      <c r="OO26" s="274"/>
      <c r="OP26" s="274"/>
      <c r="OQ26" s="274"/>
      <c r="OR26" s="274"/>
      <c r="OS26" s="274"/>
      <c r="OT26" s="274"/>
      <c r="OU26" s="274"/>
      <c r="OV26" s="274"/>
      <c r="OW26" s="274"/>
      <c r="OX26" s="274"/>
      <c r="OY26" s="274"/>
      <c r="OZ26" s="274"/>
      <c r="PA26" s="274"/>
      <c r="PB26" s="274"/>
      <c r="PC26" s="274"/>
      <c r="PD26" s="274"/>
      <c r="PE26" s="274"/>
      <c r="PF26" s="274"/>
      <c r="PG26" s="274"/>
      <c r="PH26" s="274"/>
      <c r="PI26" s="274"/>
      <c r="PJ26" s="274"/>
      <c r="PK26" s="274"/>
      <c r="PL26" s="274"/>
      <c r="PM26" s="274"/>
      <c r="PN26" s="274"/>
      <c r="PO26" s="274"/>
      <c r="PP26" s="274"/>
      <c r="PQ26" s="274"/>
      <c r="PR26" s="274"/>
      <c r="PS26" s="274"/>
      <c r="PT26" s="274"/>
      <c r="PU26" s="274"/>
      <c r="PV26" s="274"/>
      <c r="PW26" s="274"/>
      <c r="PX26" s="274"/>
      <c r="PY26" s="274"/>
      <c r="PZ26" s="274"/>
      <c r="QA26" s="274"/>
      <c r="QB26" s="274"/>
      <c r="QC26" s="274"/>
      <c r="QD26" s="274"/>
      <c r="QE26" s="274"/>
      <c r="QF26" s="274"/>
      <c r="QG26" s="274"/>
      <c r="QH26" s="274"/>
      <c r="QI26" s="274"/>
      <c r="QJ26" s="274"/>
      <c r="QK26" s="274"/>
      <c r="QL26" s="274"/>
      <c r="QM26" s="274"/>
      <c r="QN26" s="274"/>
      <c r="QO26" s="274"/>
      <c r="QP26" s="274"/>
      <c r="QQ26" s="274"/>
      <c r="QR26" s="274"/>
      <c r="QS26" s="274"/>
      <c r="QT26" s="274"/>
      <c r="QU26" s="274"/>
      <c r="QV26" s="274"/>
      <c r="QW26" s="274"/>
      <c r="QX26" s="274"/>
      <c r="QY26" s="274"/>
      <c r="QZ26" s="324"/>
    </row>
    <row r="27" spans="1:468" s="293" customFormat="1" ht="69" customHeight="1" x14ac:dyDescent="0.2">
      <c r="A27" s="598"/>
      <c r="B27" s="599"/>
      <c r="C27" s="599"/>
      <c r="D27" s="599"/>
      <c r="E27" s="600"/>
      <c r="F27" s="599"/>
      <c r="G27" s="601"/>
      <c r="H27" s="602"/>
      <c r="I27" s="597"/>
      <c r="J27" s="599"/>
      <c r="K27" s="597">
        <f ca="1">IF(NOT(ISERROR(MATCH(J27,_xlfn.ANCHORARRAY(E30),0))),#REF!&amp;"Por favor no seleccionar los criterios de impacto",J27)</f>
        <v>0</v>
      </c>
      <c r="L27" s="602"/>
      <c r="M27" s="597"/>
      <c r="N27" s="596"/>
      <c r="O27" s="278">
        <v>2</v>
      </c>
      <c r="P27" s="279"/>
      <c r="Q27" s="280" t="str">
        <f t="shared" si="43"/>
        <v/>
      </c>
      <c r="R27" s="281"/>
      <c r="S27" s="281"/>
      <c r="T27" s="282" t="str">
        <f t="shared" ref="T27" si="65">IF(AND(R27="Preventivo",S27="Automático"),"50%",IF(AND(R27="Preventivo",S27="Manual"),"40%",IF(AND(R27="Detectivo",S27="Automático"),"40%",IF(AND(R27="Detectivo",S27="Manual"),"30%",IF(AND(R27="Correctivo",S27="Automático"),"35%",IF(AND(R27="Correctivo",S27="Manual"),"25%",""))))))</f>
        <v/>
      </c>
      <c r="U27" s="281"/>
      <c r="V27" s="281"/>
      <c r="W27" s="281"/>
      <c r="X27" s="283" t="str">
        <f>IFERROR(IF(AND(Q26="Probabilidad",Q27="Probabilidad"),(Z26-(+Z26*T27)),IF(Q27="Probabilidad",(I26-(+I26*T27)),IF(Q27="Impacto",Z26,""))),"")</f>
        <v/>
      </c>
      <c r="Y27" s="284" t="str">
        <f t="shared" si="31"/>
        <v/>
      </c>
      <c r="Z27" s="282" t="str">
        <f t="shared" ref="Z27" si="66">+X27</f>
        <v/>
      </c>
      <c r="AA27" s="284" t="str">
        <f t="shared" si="33"/>
        <v/>
      </c>
      <c r="AB27" s="282" t="str">
        <f>IFERROR(IF(AND(Q26="Impacto",Q27="Impacto"),(AB24-(+AB24*T27)),IF(Q27="Impacto",($M$26-(+$M$26*T27)),IF(Q27="Probabilidad",AB24,""))),"")</f>
        <v/>
      </c>
      <c r="AC27" s="285" t="str">
        <f t="shared" ref="AC27" si="67">IFERROR(IF(OR(AND(Y27="Muy Baja",AA27="Leve"),AND(Y27="Muy Baja",AA27="Menor"),AND(Y27="Baja",AA27="Leve")),"Bajo",IF(OR(AND(Y27="Muy baja",AA27="Moderado"),AND(Y27="Baja",AA27="Menor"),AND(Y27="Baja",AA27="Moderado"),AND(Y27="Media",AA27="Leve"),AND(Y27="Media",AA27="Menor"),AND(Y27="Media",AA27="Moderado"),AND(Y27="Alta",AA27="Leve"),AND(Y27="Alta",AA27="Menor")),"Moderado",IF(OR(AND(Y27="Muy Baja",AA27="Mayor"),AND(Y27="Baja",AA27="Mayor"),AND(Y27="Media",AA27="Mayor"),AND(Y27="Alta",AA27="Moderado"),AND(Y27="Alta",AA27="Mayor"),AND(Y27="Muy Alta",AA27="Leve"),AND(Y27="Muy Alta",AA27="Menor"),AND(Y27="Muy Alta",AA27="Moderado"),AND(Y27="Muy Alta",AA27="Mayor")),"Alto",IF(OR(AND(Y27="Muy Baja",AA27="Catastrófico"),AND(Y27="Baja",AA27="Catastrófico"),AND(Y27="Media",AA27="Catastrófico"),AND(Y27="Alta",AA27="Catastrófico"),AND(Y27="Muy Alta",AA27="Catastrófico")),"Extremo","")))),"")</f>
        <v/>
      </c>
      <c r="AD27" s="281"/>
      <c r="AE27" s="286"/>
      <c r="AF27" s="286"/>
      <c r="AG27" s="287"/>
      <c r="AH27" s="288"/>
      <c r="AI27" s="288"/>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274"/>
      <c r="FD27" s="274"/>
      <c r="FE27" s="274"/>
      <c r="FF27" s="274"/>
      <c r="FG27" s="274"/>
      <c r="FH27" s="274"/>
      <c r="FI27" s="274"/>
      <c r="FJ27" s="274"/>
      <c r="FK27" s="274"/>
      <c r="FL27" s="274"/>
      <c r="FM27" s="274"/>
      <c r="FN27" s="274"/>
      <c r="FO27" s="274"/>
      <c r="FP27" s="274"/>
      <c r="FQ27" s="274"/>
      <c r="FR27" s="274"/>
      <c r="FS27" s="274"/>
      <c r="FT27" s="274"/>
      <c r="FU27" s="274"/>
      <c r="FV27" s="274"/>
      <c r="FW27" s="274"/>
      <c r="FX27" s="274"/>
      <c r="FY27" s="274"/>
      <c r="FZ27" s="274"/>
      <c r="GA27" s="274"/>
      <c r="GB27" s="274"/>
      <c r="GC27" s="274"/>
      <c r="GD27" s="274"/>
      <c r="GE27" s="274"/>
      <c r="GF27" s="274"/>
      <c r="GG27" s="274"/>
      <c r="GH27" s="274"/>
      <c r="GI27" s="274"/>
      <c r="GJ27" s="274"/>
      <c r="GK27" s="274"/>
      <c r="GL27" s="274"/>
      <c r="GM27" s="274"/>
      <c r="GN27" s="274"/>
      <c r="GO27" s="274"/>
      <c r="GP27" s="274"/>
      <c r="GQ27" s="274"/>
      <c r="GR27" s="274"/>
      <c r="GS27" s="274"/>
      <c r="GT27" s="274"/>
      <c r="GU27" s="274"/>
      <c r="GV27" s="274"/>
      <c r="GW27" s="274"/>
      <c r="GX27" s="274"/>
      <c r="GY27" s="274"/>
      <c r="GZ27" s="274"/>
      <c r="HA27" s="274"/>
      <c r="HB27" s="274"/>
      <c r="HC27" s="274"/>
      <c r="HD27" s="274"/>
      <c r="HE27" s="274"/>
      <c r="HF27" s="274"/>
      <c r="HG27" s="274"/>
      <c r="HH27" s="274"/>
      <c r="HI27" s="274"/>
      <c r="HJ27" s="274"/>
      <c r="HK27" s="274"/>
      <c r="HL27" s="274"/>
      <c r="HM27" s="274"/>
      <c r="HN27" s="274"/>
      <c r="HO27" s="274"/>
      <c r="HP27" s="274"/>
      <c r="HQ27" s="274"/>
      <c r="HR27" s="274"/>
      <c r="HS27" s="274"/>
      <c r="HT27" s="274"/>
      <c r="HU27" s="274"/>
      <c r="HV27" s="274"/>
      <c r="HW27" s="274"/>
      <c r="HX27" s="274"/>
      <c r="HY27" s="274"/>
      <c r="HZ27" s="274"/>
      <c r="IA27" s="274"/>
      <c r="IB27" s="274"/>
      <c r="IC27" s="274"/>
      <c r="ID27" s="274"/>
      <c r="IE27" s="274"/>
      <c r="IF27" s="274"/>
      <c r="IG27" s="274"/>
      <c r="IH27" s="274"/>
      <c r="II27" s="274"/>
      <c r="IJ27" s="274"/>
      <c r="IK27" s="274"/>
      <c r="IL27" s="274"/>
      <c r="IM27" s="274"/>
      <c r="IN27" s="274"/>
      <c r="IO27" s="274"/>
      <c r="IP27" s="274"/>
      <c r="IQ27" s="274"/>
      <c r="IR27" s="274"/>
      <c r="IS27" s="274"/>
      <c r="IT27" s="274"/>
      <c r="IU27" s="274"/>
      <c r="IV27" s="274"/>
      <c r="IW27" s="274"/>
      <c r="IX27" s="274"/>
      <c r="IY27" s="274"/>
      <c r="IZ27" s="274"/>
      <c r="JA27" s="274"/>
      <c r="JB27" s="274"/>
      <c r="JC27" s="274"/>
      <c r="JD27" s="274"/>
      <c r="JE27" s="274"/>
      <c r="JF27" s="274"/>
      <c r="JG27" s="274"/>
      <c r="JH27" s="274"/>
      <c r="JI27" s="274"/>
      <c r="JJ27" s="274"/>
      <c r="JK27" s="274"/>
      <c r="JL27" s="274"/>
      <c r="JM27" s="274"/>
      <c r="JN27" s="274"/>
      <c r="JO27" s="274"/>
      <c r="JP27" s="274"/>
      <c r="JQ27" s="274"/>
      <c r="JR27" s="274"/>
      <c r="JS27" s="274"/>
      <c r="JT27" s="274"/>
      <c r="JU27" s="274"/>
      <c r="JV27" s="274"/>
      <c r="JW27" s="274"/>
      <c r="JX27" s="274"/>
      <c r="JY27" s="274"/>
      <c r="JZ27" s="274"/>
      <c r="KA27" s="274"/>
      <c r="KB27" s="274"/>
      <c r="KC27" s="274"/>
      <c r="KD27" s="274"/>
      <c r="KE27" s="274"/>
      <c r="KF27" s="274"/>
      <c r="KG27" s="274"/>
      <c r="KH27" s="274"/>
      <c r="KI27" s="274"/>
      <c r="KJ27" s="274"/>
      <c r="KK27" s="274"/>
      <c r="KL27" s="274"/>
      <c r="KM27" s="274"/>
      <c r="KN27" s="274"/>
      <c r="KO27" s="274"/>
      <c r="KP27" s="274"/>
      <c r="KQ27" s="274"/>
      <c r="KR27" s="274"/>
      <c r="KS27" s="274"/>
      <c r="KT27" s="274"/>
      <c r="KU27" s="274"/>
      <c r="KV27" s="274"/>
      <c r="KW27" s="274"/>
      <c r="KX27" s="274"/>
      <c r="KY27" s="274"/>
      <c r="KZ27" s="274"/>
      <c r="LA27" s="274"/>
      <c r="LB27" s="274"/>
      <c r="LC27" s="274"/>
      <c r="LD27" s="274"/>
      <c r="LE27" s="274"/>
      <c r="LF27" s="274"/>
      <c r="LG27" s="274"/>
      <c r="LH27" s="274"/>
      <c r="LI27" s="274"/>
      <c r="LJ27" s="274"/>
      <c r="LK27" s="274"/>
      <c r="LL27" s="274"/>
      <c r="LM27" s="274"/>
      <c r="LN27" s="274"/>
      <c r="LO27" s="274"/>
      <c r="LP27" s="274"/>
      <c r="LQ27" s="274"/>
      <c r="LR27" s="274"/>
      <c r="LS27" s="274"/>
      <c r="LT27" s="274"/>
      <c r="LU27" s="274"/>
      <c r="LV27" s="274"/>
      <c r="LW27" s="274"/>
      <c r="LX27" s="274"/>
      <c r="LY27" s="274"/>
      <c r="LZ27" s="274"/>
      <c r="MA27" s="274"/>
      <c r="MB27" s="274"/>
      <c r="MC27" s="274"/>
      <c r="MD27" s="274"/>
      <c r="ME27" s="274"/>
      <c r="MF27" s="274"/>
      <c r="MG27" s="274"/>
      <c r="MH27" s="274"/>
      <c r="MI27" s="274"/>
      <c r="MJ27" s="274"/>
      <c r="MK27" s="274"/>
      <c r="ML27" s="274"/>
      <c r="MM27" s="274"/>
      <c r="MN27" s="274"/>
      <c r="MO27" s="274"/>
      <c r="MP27" s="274"/>
      <c r="MQ27" s="274"/>
      <c r="MR27" s="274"/>
      <c r="MS27" s="274"/>
      <c r="MT27" s="274"/>
      <c r="MU27" s="274"/>
      <c r="MV27" s="274"/>
      <c r="MW27" s="274"/>
      <c r="MX27" s="274"/>
      <c r="MY27" s="274"/>
      <c r="MZ27" s="274"/>
      <c r="NA27" s="274"/>
      <c r="NB27" s="274"/>
      <c r="NC27" s="274"/>
      <c r="ND27" s="274"/>
      <c r="NE27" s="274"/>
      <c r="NF27" s="274"/>
      <c r="NG27" s="274"/>
      <c r="NH27" s="274"/>
      <c r="NI27" s="274"/>
      <c r="NJ27" s="274"/>
      <c r="NK27" s="274"/>
      <c r="NL27" s="274"/>
      <c r="NM27" s="274"/>
      <c r="NN27" s="274"/>
      <c r="NO27" s="274"/>
      <c r="NP27" s="274"/>
      <c r="NQ27" s="274"/>
      <c r="NR27" s="274"/>
      <c r="NS27" s="274"/>
      <c r="NT27" s="274"/>
      <c r="NU27" s="274"/>
      <c r="NV27" s="274"/>
      <c r="NW27" s="274"/>
      <c r="NX27" s="274"/>
      <c r="NY27" s="274"/>
      <c r="NZ27" s="274"/>
      <c r="OA27" s="274"/>
      <c r="OB27" s="274"/>
      <c r="OC27" s="274"/>
      <c r="OD27" s="274"/>
      <c r="OE27" s="274"/>
      <c r="OF27" s="274"/>
      <c r="OG27" s="274"/>
      <c r="OH27" s="274"/>
      <c r="OI27" s="274"/>
      <c r="OJ27" s="274"/>
      <c r="OK27" s="274"/>
      <c r="OL27" s="274"/>
      <c r="OM27" s="274"/>
      <c r="ON27" s="274"/>
      <c r="OO27" s="274"/>
      <c r="OP27" s="274"/>
      <c r="OQ27" s="274"/>
      <c r="OR27" s="274"/>
      <c r="OS27" s="274"/>
      <c r="OT27" s="274"/>
      <c r="OU27" s="274"/>
      <c r="OV27" s="274"/>
      <c r="OW27" s="274"/>
      <c r="OX27" s="274"/>
      <c r="OY27" s="274"/>
      <c r="OZ27" s="274"/>
      <c r="PA27" s="274"/>
      <c r="PB27" s="274"/>
      <c r="PC27" s="274"/>
      <c r="PD27" s="274"/>
      <c r="PE27" s="274"/>
      <c r="PF27" s="274"/>
      <c r="PG27" s="274"/>
      <c r="PH27" s="274"/>
      <c r="PI27" s="274"/>
      <c r="PJ27" s="274"/>
      <c r="PK27" s="274"/>
      <c r="PL27" s="274"/>
      <c r="PM27" s="274"/>
      <c r="PN27" s="274"/>
      <c r="PO27" s="274"/>
      <c r="PP27" s="274"/>
      <c r="PQ27" s="274"/>
      <c r="PR27" s="274"/>
      <c r="PS27" s="274"/>
      <c r="PT27" s="274"/>
      <c r="PU27" s="274"/>
      <c r="PV27" s="274"/>
      <c r="PW27" s="274"/>
      <c r="PX27" s="274"/>
      <c r="PY27" s="274"/>
      <c r="PZ27" s="274"/>
      <c r="QA27" s="274"/>
      <c r="QB27" s="274"/>
      <c r="QC27" s="274"/>
      <c r="QD27" s="274"/>
      <c r="QE27" s="274"/>
      <c r="QF27" s="274"/>
      <c r="QG27" s="274"/>
      <c r="QH27" s="274"/>
      <c r="QI27" s="274"/>
      <c r="QJ27" s="274"/>
      <c r="QK27" s="274"/>
      <c r="QL27" s="274"/>
      <c r="QM27" s="274"/>
      <c r="QN27" s="274"/>
      <c r="QO27" s="274"/>
      <c r="QP27" s="274"/>
      <c r="QQ27" s="274"/>
      <c r="QR27" s="274"/>
      <c r="QS27" s="274"/>
      <c r="QT27" s="274"/>
      <c r="QU27" s="274"/>
      <c r="QV27" s="274"/>
      <c r="QW27" s="274"/>
      <c r="QX27" s="274"/>
      <c r="QY27" s="274"/>
      <c r="QZ27" s="324"/>
    </row>
    <row r="28" spans="1:468" x14ac:dyDescent="0.3">
      <c r="P28" s="1"/>
    </row>
    <row r="29" spans="1:468" x14ac:dyDescent="0.3">
      <c r="A29" s="1"/>
      <c r="B29" s="24"/>
      <c r="C29" s="1"/>
      <c r="D29" s="1"/>
      <c r="F29" s="1"/>
      <c r="P29" s="1"/>
    </row>
    <row r="30" spans="1:468" x14ac:dyDescent="0.3">
      <c r="P30" s="1"/>
    </row>
    <row r="31" spans="1:468" x14ac:dyDescent="0.3">
      <c r="P31" s="1"/>
    </row>
    <row r="32" spans="1:468" x14ac:dyDescent="0.3">
      <c r="P32" s="1"/>
    </row>
    <row r="33" spans="16:16" x14ac:dyDescent="0.3">
      <c r="P33" s="1"/>
    </row>
    <row r="34" spans="16:16" x14ac:dyDescent="0.3">
      <c r="P34" s="1"/>
    </row>
    <row r="35" spans="16:16" x14ac:dyDescent="0.3">
      <c r="P35" s="1"/>
    </row>
    <row r="36" spans="16:16" x14ac:dyDescent="0.3">
      <c r="P36" s="1"/>
    </row>
    <row r="37" spans="16:16" x14ac:dyDescent="0.3">
      <c r="P37" s="1"/>
    </row>
    <row r="38" spans="16:16" x14ac:dyDescent="0.3">
      <c r="P38" s="1"/>
    </row>
    <row r="39" spans="16:16" x14ac:dyDescent="0.3">
      <c r="P39" s="1"/>
    </row>
    <row r="40" spans="16:16" x14ac:dyDescent="0.3">
      <c r="P40" s="1"/>
    </row>
    <row r="41" spans="16:16" x14ac:dyDescent="0.3">
      <c r="P41" s="1"/>
    </row>
    <row r="42" spans="16:16" x14ac:dyDescent="0.3">
      <c r="P42" s="1"/>
    </row>
    <row r="43" spans="16:16" x14ac:dyDescent="0.3">
      <c r="P43" s="1"/>
    </row>
    <row r="44" spans="16:16" x14ac:dyDescent="0.3">
      <c r="P44" s="1"/>
    </row>
    <row r="45" spans="16:16" x14ac:dyDescent="0.3">
      <c r="P45" s="1"/>
    </row>
    <row r="46" spans="16:16" x14ac:dyDescent="0.3">
      <c r="P46" s="1"/>
    </row>
    <row r="47" spans="16:16" x14ac:dyDescent="0.3">
      <c r="P47" s="1"/>
    </row>
    <row r="48" spans="16:16" x14ac:dyDescent="0.3">
      <c r="P48" s="1"/>
    </row>
    <row r="49" spans="16:16" x14ac:dyDescent="0.3">
      <c r="P49" s="1"/>
    </row>
    <row r="50" spans="16:16" x14ac:dyDescent="0.3">
      <c r="P50" s="1"/>
    </row>
    <row r="51" spans="16:16" x14ac:dyDescent="0.3">
      <c r="P51" s="1"/>
    </row>
    <row r="52" spans="16:16" x14ac:dyDescent="0.3">
      <c r="P52" s="1"/>
    </row>
    <row r="53" spans="16:16" x14ac:dyDescent="0.3">
      <c r="P53" s="1"/>
    </row>
    <row r="54" spans="16:16" x14ac:dyDescent="0.3">
      <c r="P54" s="1"/>
    </row>
    <row r="55" spans="16:16" x14ac:dyDescent="0.3">
      <c r="P55" s="1"/>
    </row>
    <row r="56" spans="16:16" x14ac:dyDescent="0.3">
      <c r="P56" s="1"/>
    </row>
    <row r="57" spans="16:16" x14ac:dyDescent="0.3">
      <c r="P57" s="1"/>
    </row>
    <row r="58" spans="16:16" x14ac:dyDescent="0.3">
      <c r="P58" s="1"/>
    </row>
    <row r="59" spans="16:16" x14ac:dyDescent="0.3">
      <c r="P59" s="1"/>
    </row>
    <row r="60" spans="16:16" x14ac:dyDescent="0.3">
      <c r="P60" s="1"/>
    </row>
    <row r="61" spans="16:16" x14ac:dyDescent="0.3">
      <c r="P61" s="1"/>
    </row>
    <row r="62" spans="16:16" x14ac:dyDescent="0.3">
      <c r="P62" s="1"/>
    </row>
    <row r="63" spans="16:16" x14ac:dyDescent="0.3">
      <c r="P63" s="1"/>
    </row>
    <row r="64" spans="16:16" x14ac:dyDescent="0.3">
      <c r="P64" s="1"/>
    </row>
    <row r="65" spans="16:16" x14ac:dyDescent="0.3">
      <c r="P65" s="1"/>
    </row>
    <row r="66" spans="16:16" x14ac:dyDescent="0.3">
      <c r="P66" s="1"/>
    </row>
    <row r="67" spans="16:16" x14ac:dyDescent="0.3">
      <c r="P67" s="1"/>
    </row>
    <row r="68" spans="16:16" x14ac:dyDescent="0.3">
      <c r="P68" s="1"/>
    </row>
    <row r="69" spans="16:16" x14ac:dyDescent="0.3">
      <c r="P69" s="1"/>
    </row>
    <row r="70" spans="16:16" x14ac:dyDescent="0.3">
      <c r="P70" s="1"/>
    </row>
    <row r="71" spans="16:16" x14ac:dyDescent="0.3">
      <c r="P71" s="1"/>
    </row>
    <row r="72" spans="16:16" x14ac:dyDescent="0.3">
      <c r="P72" s="1"/>
    </row>
    <row r="73" spans="16:16" x14ac:dyDescent="0.3">
      <c r="P73" s="1"/>
    </row>
    <row r="74" spans="16:16" x14ac:dyDescent="0.3">
      <c r="P74" s="1"/>
    </row>
    <row r="75" spans="16:16" x14ac:dyDescent="0.3">
      <c r="P75" s="1"/>
    </row>
    <row r="76" spans="16:16" x14ac:dyDescent="0.3">
      <c r="P76" s="1"/>
    </row>
    <row r="77" spans="16:16" x14ac:dyDescent="0.3">
      <c r="P77" s="1"/>
    </row>
    <row r="78" spans="16:16" x14ac:dyDescent="0.3">
      <c r="P78" s="1"/>
    </row>
    <row r="79" spans="16:16" x14ac:dyDescent="0.3">
      <c r="P79" s="1"/>
    </row>
    <row r="80" spans="16:16" x14ac:dyDescent="0.3">
      <c r="P80" s="1"/>
    </row>
    <row r="81" spans="16:16" x14ac:dyDescent="0.3">
      <c r="P81" s="1"/>
    </row>
    <row r="82" spans="16:16" x14ac:dyDescent="0.3">
      <c r="P82" s="1"/>
    </row>
    <row r="83" spans="16:16" x14ac:dyDescent="0.3">
      <c r="P83" s="1"/>
    </row>
    <row r="84" spans="16:16" x14ac:dyDescent="0.3">
      <c r="P84" s="1"/>
    </row>
    <row r="85" spans="16:16" x14ac:dyDescent="0.3">
      <c r="P85" s="1"/>
    </row>
    <row r="86" spans="16:16" x14ac:dyDescent="0.3">
      <c r="P86" s="1"/>
    </row>
    <row r="87" spans="16:16" x14ac:dyDescent="0.3">
      <c r="P87" s="1"/>
    </row>
    <row r="88" spans="16:16" x14ac:dyDescent="0.3">
      <c r="P88" s="1"/>
    </row>
    <row r="89" spans="16:16" x14ac:dyDescent="0.3">
      <c r="P89" s="1"/>
    </row>
    <row r="90" spans="16:16" x14ac:dyDescent="0.3">
      <c r="P90" s="1"/>
    </row>
    <row r="91" spans="16:16" x14ac:dyDescent="0.3">
      <c r="P91" s="1"/>
    </row>
    <row r="92" spans="16:16" x14ac:dyDescent="0.3">
      <c r="P92" s="1"/>
    </row>
    <row r="93" spans="16:16" x14ac:dyDescent="0.3">
      <c r="P93" s="1"/>
    </row>
    <row r="94" spans="16:16" x14ac:dyDescent="0.3">
      <c r="P94" s="1"/>
    </row>
    <row r="95" spans="16:16" x14ac:dyDescent="0.3">
      <c r="P95" s="1"/>
    </row>
    <row r="96" spans="16:16" x14ac:dyDescent="0.3">
      <c r="P96" s="1"/>
    </row>
    <row r="97" spans="5:9" x14ac:dyDescent="0.3">
      <c r="E97" s="609" t="s">
        <v>469</v>
      </c>
      <c r="F97" s="609"/>
      <c r="G97" s="609"/>
      <c r="H97" s="609"/>
      <c r="I97" s="609"/>
    </row>
    <row r="98" spans="5:9" x14ac:dyDescent="0.3">
      <c r="G98" s="295" t="s">
        <v>13</v>
      </c>
      <c r="H98" s="295" t="s">
        <v>498</v>
      </c>
    </row>
    <row r="99" spans="5:9" x14ac:dyDescent="0.3">
      <c r="E99" s="1" t="s">
        <v>470</v>
      </c>
      <c r="G99" s="1" t="s">
        <v>14</v>
      </c>
      <c r="H99" s="1" t="s">
        <v>491</v>
      </c>
    </row>
    <row r="100" spans="5:9" x14ac:dyDescent="0.3">
      <c r="E100" t="s">
        <v>471</v>
      </c>
      <c r="G100" s="1" t="s">
        <v>15</v>
      </c>
      <c r="H100" s="1" t="s">
        <v>9</v>
      </c>
    </row>
    <row r="101" spans="5:9" x14ac:dyDescent="0.3">
      <c r="E101" s="1" t="s">
        <v>472</v>
      </c>
      <c r="G101" s="1" t="s">
        <v>16</v>
      </c>
    </row>
    <row r="102" spans="5:9" x14ac:dyDescent="0.3">
      <c r="E102" s="1" t="s">
        <v>473</v>
      </c>
    </row>
    <row r="103" spans="5:9" x14ac:dyDescent="0.3">
      <c r="E103" s="1" t="s">
        <v>474</v>
      </c>
      <c r="G103" s="295" t="s">
        <v>18</v>
      </c>
      <c r="H103" s="295" t="s">
        <v>495</v>
      </c>
    </row>
    <row r="104" spans="5:9" x14ac:dyDescent="0.3">
      <c r="E104" s="1" t="s">
        <v>475</v>
      </c>
      <c r="G104" s="1" t="s">
        <v>493</v>
      </c>
      <c r="H104" s="1" t="s">
        <v>22</v>
      </c>
    </row>
    <row r="105" spans="5:9" x14ac:dyDescent="0.3">
      <c r="E105" s="1" t="s">
        <v>476</v>
      </c>
      <c r="G105" s="1" t="s">
        <v>494</v>
      </c>
      <c r="H105" s="1" t="s">
        <v>23</v>
      </c>
    </row>
    <row r="108" spans="5:9" x14ac:dyDescent="0.3">
      <c r="E108" s="295" t="s">
        <v>39</v>
      </c>
      <c r="G108" s="295" t="s">
        <v>496</v>
      </c>
      <c r="H108" s="295" t="s">
        <v>29</v>
      </c>
    </row>
    <row r="109" spans="5:9" x14ac:dyDescent="0.3">
      <c r="E109" s="1" t="s">
        <v>40</v>
      </c>
      <c r="G109" s="1" t="s">
        <v>497</v>
      </c>
      <c r="H109" s="1" t="s">
        <v>30</v>
      </c>
    </row>
    <row r="110" spans="5:9" x14ac:dyDescent="0.3">
      <c r="E110" s="140" t="s">
        <v>41</v>
      </c>
      <c r="G110" s="1" t="s">
        <v>27</v>
      </c>
      <c r="H110" s="1" t="s">
        <v>32</v>
      </c>
    </row>
    <row r="111" spans="5:9" x14ac:dyDescent="0.3">
      <c r="H111" s="1" t="s">
        <v>31</v>
      </c>
    </row>
    <row r="116" spans="5:5" x14ac:dyDescent="0.3">
      <c r="E116" s="333">
        <v>0.2</v>
      </c>
    </row>
    <row r="117" spans="5:5" x14ac:dyDescent="0.3">
      <c r="E117" s="333">
        <v>0.4</v>
      </c>
    </row>
    <row r="118" spans="5:5" x14ac:dyDescent="0.3">
      <c r="E118" s="333">
        <v>0.6</v>
      </c>
    </row>
    <row r="119" spans="5:5" x14ac:dyDescent="0.3">
      <c r="E119" s="333">
        <v>0.8</v>
      </c>
    </row>
    <row r="120" spans="5:5" x14ac:dyDescent="0.3">
      <c r="E120" s="333">
        <v>1</v>
      </c>
    </row>
  </sheetData>
  <dataConsolidate/>
  <mergeCells count="166">
    <mergeCell ref="AI16:AI17"/>
    <mergeCell ref="F18:F19"/>
    <mergeCell ref="G16:G17"/>
    <mergeCell ref="H16:H17"/>
    <mergeCell ref="J16:J17"/>
    <mergeCell ref="N18:N19"/>
    <mergeCell ref="K18:K19"/>
    <mergeCell ref="L18:L19"/>
    <mergeCell ref="Z16:Z17"/>
    <mergeCell ref="AA16:AA17"/>
    <mergeCell ref="AB16:AB17"/>
    <mergeCell ref="AC16:AC17"/>
    <mergeCell ref="Q16:Q17"/>
    <mergeCell ref="R16:R17"/>
    <mergeCell ref="S16:S17"/>
    <mergeCell ref="T16:T17"/>
    <mergeCell ref="U16:U17"/>
    <mergeCell ref="V16:V17"/>
    <mergeCell ref="W16:W17"/>
    <mergeCell ref="G18:G19"/>
    <mergeCell ref="H18:H19"/>
    <mergeCell ref="I18:I19"/>
    <mergeCell ref="Y16:Y17"/>
    <mergeCell ref="AE16:AE17"/>
    <mergeCell ref="AF16:AF17"/>
    <mergeCell ref="AG16:AG17"/>
    <mergeCell ref="AH16:AH17"/>
    <mergeCell ref="P16:P17"/>
    <mergeCell ref="O16:O17"/>
    <mergeCell ref="L21:L22"/>
    <mergeCell ref="M21:M22"/>
    <mergeCell ref="N21:N22"/>
    <mergeCell ref="M18:M19"/>
    <mergeCell ref="X16:X17"/>
    <mergeCell ref="I26:I27"/>
    <mergeCell ref="J26:J27"/>
    <mergeCell ref="K26:K27"/>
    <mergeCell ref="L26:L27"/>
    <mergeCell ref="M26:M27"/>
    <mergeCell ref="N26:N27"/>
    <mergeCell ref="M24:M25"/>
    <mergeCell ref="N24:N25"/>
    <mergeCell ref="I24:I25"/>
    <mergeCell ref="J24:J25"/>
    <mergeCell ref="K24:K25"/>
    <mergeCell ref="L24:L25"/>
    <mergeCell ref="A26:A27"/>
    <mergeCell ref="B26:B27"/>
    <mergeCell ref="C26:C27"/>
    <mergeCell ref="D26:D27"/>
    <mergeCell ref="E26:E27"/>
    <mergeCell ref="F26:F27"/>
    <mergeCell ref="G26:G27"/>
    <mergeCell ref="H26:H27"/>
    <mergeCell ref="G24:G25"/>
    <mergeCell ref="H24:H25"/>
    <mergeCell ref="A24:A25"/>
    <mergeCell ref="B24:B25"/>
    <mergeCell ref="C24:C25"/>
    <mergeCell ref="D24:D25"/>
    <mergeCell ref="E24:E25"/>
    <mergeCell ref="F24:F25"/>
    <mergeCell ref="F21:F22"/>
    <mergeCell ref="A21:A22"/>
    <mergeCell ref="B21:B22"/>
    <mergeCell ref="C21:C22"/>
    <mergeCell ref="D21:D22"/>
    <mergeCell ref="E21:E22"/>
    <mergeCell ref="G21:G22"/>
    <mergeCell ref="H21:H22"/>
    <mergeCell ref="K21:K22"/>
    <mergeCell ref="I21:I22"/>
    <mergeCell ref="J21:J22"/>
    <mergeCell ref="I12:I14"/>
    <mergeCell ref="J8:J9"/>
    <mergeCell ref="G12:G14"/>
    <mergeCell ref="F12:F14"/>
    <mergeCell ref="A18:A19"/>
    <mergeCell ref="B18:B19"/>
    <mergeCell ref="C18:C19"/>
    <mergeCell ref="D18:D19"/>
    <mergeCell ref="E18:E19"/>
    <mergeCell ref="E12:E14"/>
    <mergeCell ref="D12:D14"/>
    <mergeCell ref="H12:H14"/>
    <mergeCell ref="J18:J19"/>
    <mergeCell ref="AA8:AA9"/>
    <mergeCell ref="AG8:AG9"/>
    <mergeCell ref="P8:P9"/>
    <mergeCell ref="Q8:Q9"/>
    <mergeCell ref="R8:W8"/>
    <mergeCell ref="AF8:AF9"/>
    <mergeCell ref="Y8:Y9"/>
    <mergeCell ref="Z8:Z9"/>
    <mergeCell ref="AI8:AI9"/>
    <mergeCell ref="AH8:AH9"/>
    <mergeCell ref="AE8:AE9"/>
    <mergeCell ref="X8:X9"/>
    <mergeCell ref="A3:AI4"/>
    <mergeCell ref="A5:B5"/>
    <mergeCell ref="C5:N5"/>
    <mergeCell ref="O5:Q5"/>
    <mergeCell ref="A6:B6"/>
    <mergeCell ref="C6:N6"/>
    <mergeCell ref="L8:L9"/>
    <mergeCell ref="M8:M9"/>
    <mergeCell ref="N8:N9"/>
    <mergeCell ref="O8:O9"/>
    <mergeCell ref="A8:A9"/>
    <mergeCell ref="B8:B9"/>
    <mergeCell ref="C8:C9"/>
    <mergeCell ref="D8:D9"/>
    <mergeCell ref="E8:E9"/>
    <mergeCell ref="F8:F9"/>
    <mergeCell ref="G8:G9"/>
    <mergeCell ref="O7:W7"/>
    <mergeCell ref="X7:AD7"/>
    <mergeCell ref="AE7:AG7"/>
    <mergeCell ref="AH7:AI7"/>
    <mergeCell ref="AB8:AB9"/>
    <mergeCell ref="AC8:AC9"/>
    <mergeCell ref="AD8:AD9"/>
    <mergeCell ref="E97:I97"/>
    <mergeCell ref="A7:G7"/>
    <mergeCell ref="H7:N7"/>
    <mergeCell ref="I16:I17"/>
    <mergeCell ref="K16:K17"/>
    <mergeCell ref="L16:L17"/>
    <mergeCell ref="M16:M17"/>
    <mergeCell ref="N16:N17"/>
    <mergeCell ref="A16:A17"/>
    <mergeCell ref="B16:B17"/>
    <mergeCell ref="C16:C17"/>
    <mergeCell ref="D16:D17"/>
    <mergeCell ref="E16:E17"/>
    <mergeCell ref="F16:F17"/>
    <mergeCell ref="B12:B14"/>
    <mergeCell ref="C12:C14"/>
    <mergeCell ref="A12:A14"/>
    <mergeCell ref="H8:H9"/>
    <mergeCell ref="I8:I9"/>
    <mergeCell ref="N12:N14"/>
    <mergeCell ref="M12:M14"/>
    <mergeCell ref="L12:L14"/>
    <mergeCell ref="J12:J14"/>
    <mergeCell ref="K8:K9"/>
    <mergeCell ref="O12:O14"/>
    <mergeCell ref="P12:P14"/>
    <mergeCell ref="Q12:Q14"/>
    <mergeCell ref="R12:R14"/>
    <mergeCell ref="S12:S14"/>
    <mergeCell ref="T12:T14"/>
    <mergeCell ref="U12:U14"/>
    <mergeCell ref="V12:V14"/>
    <mergeCell ref="W12:W14"/>
    <mergeCell ref="AH12:AH14"/>
    <mergeCell ref="AI12:AI14"/>
    <mergeCell ref="X12:X14"/>
    <mergeCell ref="Y12:Y14"/>
    <mergeCell ref="Z12:Z14"/>
    <mergeCell ref="AA12:AA14"/>
    <mergeCell ref="AB12:AB14"/>
    <mergeCell ref="AC12:AC14"/>
    <mergeCell ref="AD12:AD14"/>
    <mergeCell ref="AF12:AF14"/>
    <mergeCell ref="AG12:AG14"/>
  </mergeCells>
  <conditionalFormatting sqref="Y24:Y25 H16 H18 H20:H21 H23:H24 H26 H10 Y10">
    <cfRule type="cellIs" dxfId="565" priority="323" operator="equal">
      <formula>"Muy Alta"</formula>
    </cfRule>
    <cfRule type="cellIs" dxfId="564" priority="324" operator="equal">
      <formula>"Alta"</formula>
    </cfRule>
    <cfRule type="cellIs" dxfId="563" priority="325" operator="equal">
      <formula>"Media"</formula>
    </cfRule>
    <cfRule type="cellIs" dxfId="562" priority="326" operator="equal">
      <formula>"Baja"</formula>
    </cfRule>
    <cfRule type="cellIs" dxfId="561" priority="327" operator="equal">
      <formula>"Muy Baja"</formula>
    </cfRule>
  </conditionalFormatting>
  <conditionalFormatting sqref="L10 AA24:AA25 L16 L23:L24 L26 L18 L20:L21 AA10">
    <cfRule type="cellIs" dxfId="560" priority="318" operator="equal">
      <formula>"Catastrófico"</formula>
    </cfRule>
    <cfRule type="cellIs" dxfId="559" priority="319" operator="equal">
      <formula>"Mayor"</formula>
    </cfRule>
    <cfRule type="cellIs" dxfId="558" priority="320" operator="equal">
      <formula>"Moderado"</formula>
    </cfRule>
    <cfRule type="cellIs" dxfId="557" priority="321" operator="equal">
      <formula>"Menor"</formula>
    </cfRule>
    <cfRule type="cellIs" dxfId="556" priority="322" operator="equal">
      <formula>"Leve"</formula>
    </cfRule>
  </conditionalFormatting>
  <conditionalFormatting sqref="N10 AC24:AC25 N16 N18 N20:N21 N23:N24 N26 AC10">
    <cfRule type="cellIs" dxfId="555" priority="314" operator="equal">
      <formula>"Extremo"</formula>
    </cfRule>
    <cfRule type="cellIs" dxfId="554" priority="315" operator="equal">
      <formula>"Alto"</formula>
    </cfRule>
    <cfRule type="cellIs" dxfId="553" priority="316" operator="equal">
      <formula>"Moderado"</formula>
    </cfRule>
    <cfRule type="cellIs" dxfId="552" priority="317" operator="equal">
      <formula>"Bajo"</formula>
    </cfRule>
  </conditionalFormatting>
  <conditionalFormatting sqref="Y16">
    <cfRule type="cellIs" dxfId="551" priority="245" operator="equal">
      <formula>"Muy Alta"</formula>
    </cfRule>
    <cfRule type="cellIs" dxfId="550" priority="246" operator="equal">
      <formula>"Alta"</formula>
    </cfRule>
    <cfRule type="cellIs" dxfId="549" priority="247" operator="equal">
      <formula>"Media"</formula>
    </cfRule>
    <cfRule type="cellIs" dxfId="548" priority="248" operator="equal">
      <formula>"Baja"</formula>
    </cfRule>
    <cfRule type="cellIs" dxfId="547" priority="249" operator="equal">
      <formula>"Muy Baja"</formula>
    </cfRule>
  </conditionalFormatting>
  <conditionalFormatting sqref="AA16">
    <cfRule type="cellIs" dxfId="546" priority="240" operator="equal">
      <formula>"Catastrófico"</formula>
    </cfRule>
    <cfRule type="cellIs" dxfId="545" priority="241" operator="equal">
      <formula>"Mayor"</formula>
    </cfRule>
    <cfRule type="cellIs" dxfId="544" priority="242" operator="equal">
      <formula>"Moderado"</formula>
    </cfRule>
    <cfRule type="cellIs" dxfId="543" priority="243" operator="equal">
      <formula>"Menor"</formula>
    </cfRule>
    <cfRule type="cellIs" dxfId="542" priority="244" operator="equal">
      <formula>"Leve"</formula>
    </cfRule>
  </conditionalFormatting>
  <conditionalFormatting sqref="AC16">
    <cfRule type="cellIs" dxfId="541" priority="236" operator="equal">
      <formula>"Extremo"</formula>
    </cfRule>
    <cfRule type="cellIs" dxfId="540" priority="237" operator="equal">
      <formula>"Alto"</formula>
    </cfRule>
    <cfRule type="cellIs" dxfId="539" priority="238" operator="equal">
      <formula>"Moderado"</formula>
    </cfRule>
    <cfRule type="cellIs" dxfId="538" priority="239" operator="equal">
      <formula>"Bajo"</formula>
    </cfRule>
  </conditionalFormatting>
  <conditionalFormatting sqref="Y18:Y19">
    <cfRule type="cellIs" dxfId="537" priority="222" operator="equal">
      <formula>"Muy Alta"</formula>
    </cfRule>
    <cfRule type="cellIs" dxfId="536" priority="223" operator="equal">
      <formula>"Alta"</formula>
    </cfRule>
    <cfRule type="cellIs" dxfId="535" priority="224" operator="equal">
      <formula>"Media"</formula>
    </cfRule>
    <cfRule type="cellIs" dxfId="534" priority="225" operator="equal">
      <formula>"Baja"</formula>
    </cfRule>
    <cfRule type="cellIs" dxfId="533" priority="226" operator="equal">
      <formula>"Muy Baja"</formula>
    </cfRule>
  </conditionalFormatting>
  <conditionalFormatting sqref="AA18:AA19">
    <cfRule type="cellIs" dxfId="532" priority="217" operator="equal">
      <formula>"Catastrófico"</formula>
    </cfRule>
    <cfRule type="cellIs" dxfId="531" priority="218" operator="equal">
      <formula>"Mayor"</formula>
    </cfRule>
    <cfRule type="cellIs" dxfId="530" priority="219" operator="equal">
      <formula>"Moderado"</formula>
    </cfRule>
    <cfRule type="cellIs" dxfId="529" priority="220" operator="equal">
      <formula>"Menor"</formula>
    </cfRule>
    <cfRule type="cellIs" dxfId="528" priority="221" operator="equal">
      <formula>"Leve"</formula>
    </cfRule>
  </conditionalFormatting>
  <conditionalFormatting sqref="AC18:AC19">
    <cfRule type="cellIs" dxfId="527" priority="213" operator="equal">
      <formula>"Extremo"</formula>
    </cfRule>
    <cfRule type="cellIs" dxfId="526" priority="214" operator="equal">
      <formula>"Alto"</formula>
    </cfRule>
    <cfRule type="cellIs" dxfId="525" priority="215" operator="equal">
      <formula>"Moderado"</formula>
    </cfRule>
    <cfRule type="cellIs" dxfId="524" priority="216" operator="equal">
      <formula>"Bajo"</formula>
    </cfRule>
  </conditionalFormatting>
  <conditionalFormatting sqref="Y20">
    <cfRule type="cellIs" dxfId="523" priority="199" operator="equal">
      <formula>"Muy Alta"</formula>
    </cfRule>
    <cfRule type="cellIs" dxfId="522" priority="200" operator="equal">
      <formula>"Alta"</formula>
    </cfRule>
    <cfRule type="cellIs" dxfId="521" priority="201" operator="equal">
      <formula>"Media"</formula>
    </cfRule>
    <cfRule type="cellIs" dxfId="520" priority="202" operator="equal">
      <formula>"Baja"</formula>
    </cfRule>
    <cfRule type="cellIs" dxfId="519" priority="203" operator="equal">
      <formula>"Muy Baja"</formula>
    </cfRule>
  </conditionalFormatting>
  <conditionalFormatting sqref="AA20">
    <cfRule type="cellIs" dxfId="518" priority="194" operator="equal">
      <formula>"Catastrófico"</formula>
    </cfRule>
    <cfRule type="cellIs" dxfId="517" priority="195" operator="equal">
      <formula>"Mayor"</formula>
    </cfRule>
    <cfRule type="cellIs" dxfId="516" priority="196" operator="equal">
      <formula>"Moderado"</formula>
    </cfRule>
    <cfRule type="cellIs" dxfId="515" priority="197" operator="equal">
      <formula>"Menor"</formula>
    </cfRule>
    <cfRule type="cellIs" dxfId="514" priority="198" operator="equal">
      <formula>"Leve"</formula>
    </cfRule>
  </conditionalFormatting>
  <conditionalFormatting sqref="AC20">
    <cfRule type="cellIs" dxfId="513" priority="190" operator="equal">
      <formula>"Extremo"</formula>
    </cfRule>
    <cfRule type="cellIs" dxfId="512" priority="191" operator="equal">
      <formula>"Alto"</formula>
    </cfRule>
    <cfRule type="cellIs" dxfId="511" priority="192" operator="equal">
      <formula>"Moderado"</formula>
    </cfRule>
    <cfRule type="cellIs" dxfId="510" priority="193" operator="equal">
      <formula>"Bajo"</formula>
    </cfRule>
  </conditionalFormatting>
  <conditionalFormatting sqref="Y21:Y22">
    <cfRule type="cellIs" dxfId="509" priority="176" operator="equal">
      <formula>"Muy Alta"</formula>
    </cfRule>
    <cfRule type="cellIs" dxfId="508" priority="177" operator="equal">
      <formula>"Alta"</formula>
    </cfRule>
    <cfRule type="cellIs" dxfId="507" priority="178" operator="equal">
      <formula>"Media"</formula>
    </cfRule>
    <cfRule type="cellIs" dxfId="506" priority="179" operator="equal">
      <formula>"Baja"</formula>
    </cfRule>
    <cfRule type="cellIs" dxfId="505" priority="180" operator="equal">
      <formula>"Muy Baja"</formula>
    </cfRule>
  </conditionalFormatting>
  <conditionalFormatting sqref="AA21:AA22">
    <cfRule type="cellIs" dxfId="504" priority="171" operator="equal">
      <formula>"Catastrófico"</formula>
    </cfRule>
    <cfRule type="cellIs" dxfId="503" priority="172" operator="equal">
      <formula>"Mayor"</formula>
    </cfRule>
    <cfRule type="cellIs" dxfId="502" priority="173" operator="equal">
      <formula>"Moderado"</formula>
    </cfRule>
    <cfRule type="cellIs" dxfId="501" priority="174" operator="equal">
      <formula>"Menor"</formula>
    </cfRule>
    <cfRule type="cellIs" dxfId="500" priority="175" operator="equal">
      <formula>"Leve"</formula>
    </cfRule>
  </conditionalFormatting>
  <conditionalFormatting sqref="AC21:AC22">
    <cfRule type="cellIs" dxfId="499" priority="167" operator="equal">
      <formula>"Extremo"</formula>
    </cfRule>
    <cfRule type="cellIs" dxfId="498" priority="168" operator="equal">
      <formula>"Alto"</formula>
    </cfRule>
    <cfRule type="cellIs" dxfId="497" priority="169" operator="equal">
      <formula>"Moderado"</formula>
    </cfRule>
    <cfRule type="cellIs" dxfId="496" priority="170" operator="equal">
      <formula>"Bajo"</formula>
    </cfRule>
  </conditionalFormatting>
  <conditionalFormatting sqref="Y23">
    <cfRule type="cellIs" dxfId="495" priority="153" operator="equal">
      <formula>"Muy Alta"</formula>
    </cfRule>
    <cfRule type="cellIs" dxfId="494" priority="154" operator="equal">
      <formula>"Alta"</formula>
    </cfRule>
    <cfRule type="cellIs" dxfId="493" priority="155" operator="equal">
      <formula>"Media"</formula>
    </cfRule>
    <cfRule type="cellIs" dxfId="492" priority="156" operator="equal">
      <formula>"Baja"</formula>
    </cfRule>
    <cfRule type="cellIs" dxfId="491" priority="157" operator="equal">
      <formula>"Muy Baja"</formula>
    </cfRule>
  </conditionalFormatting>
  <conditionalFormatting sqref="AA23">
    <cfRule type="cellIs" dxfId="490" priority="148" operator="equal">
      <formula>"Catastrófico"</formula>
    </cfRule>
    <cfRule type="cellIs" dxfId="489" priority="149" operator="equal">
      <formula>"Mayor"</formula>
    </cfRule>
    <cfRule type="cellIs" dxfId="488" priority="150" operator="equal">
      <formula>"Moderado"</formula>
    </cfRule>
    <cfRule type="cellIs" dxfId="487" priority="151" operator="equal">
      <formula>"Menor"</formula>
    </cfRule>
    <cfRule type="cellIs" dxfId="486" priority="152" operator="equal">
      <formula>"Leve"</formula>
    </cfRule>
  </conditionalFormatting>
  <conditionalFormatting sqref="AC23">
    <cfRule type="cellIs" dxfId="485" priority="144" operator="equal">
      <formula>"Extremo"</formula>
    </cfRule>
    <cfRule type="cellIs" dxfId="484" priority="145" operator="equal">
      <formula>"Alto"</formula>
    </cfRule>
    <cfRule type="cellIs" dxfId="483" priority="146" operator="equal">
      <formula>"Moderado"</formula>
    </cfRule>
    <cfRule type="cellIs" dxfId="482" priority="147" operator="equal">
      <formula>"Bajo"</formula>
    </cfRule>
  </conditionalFormatting>
  <conditionalFormatting sqref="Y26:Y27">
    <cfRule type="cellIs" dxfId="481" priority="107" operator="equal">
      <formula>"Muy Alta"</formula>
    </cfRule>
    <cfRule type="cellIs" dxfId="480" priority="108" operator="equal">
      <formula>"Alta"</formula>
    </cfRule>
    <cfRule type="cellIs" dxfId="479" priority="109" operator="equal">
      <formula>"Media"</formula>
    </cfRule>
    <cfRule type="cellIs" dxfId="478" priority="110" operator="equal">
      <formula>"Baja"</formula>
    </cfRule>
    <cfRule type="cellIs" dxfId="477" priority="111" operator="equal">
      <formula>"Muy Baja"</formula>
    </cfRule>
  </conditionalFormatting>
  <conditionalFormatting sqref="AA26:AA27">
    <cfRule type="cellIs" dxfId="476" priority="102" operator="equal">
      <formula>"Catastrófico"</formula>
    </cfRule>
    <cfRule type="cellIs" dxfId="475" priority="103" operator="equal">
      <formula>"Mayor"</formula>
    </cfRule>
    <cfRule type="cellIs" dxfId="474" priority="104" operator="equal">
      <formula>"Moderado"</formula>
    </cfRule>
    <cfRule type="cellIs" dxfId="473" priority="105" operator="equal">
      <formula>"Menor"</formula>
    </cfRule>
    <cfRule type="cellIs" dxfId="472" priority="106" operator="equal">
      <formula>"Leve"</formula>
    </cfRule>
  </conditionalFormatting>
  <conditionalFormatting sqref="AC26:AC27">
    <cfRule type="cellIs" dxfId="471" priority="98" operator="equal">
      <formula>"Extremo"</formula>
    </cfRule>
    <cfRule type="cellIs" dxfId="470" priority="99" operator="equal">
      <formula>"Alto"</formula>
    </cfRule>
    <cfRule type="cellIs" dxfId="469" priority="100" operator="equal">
      <formula>"Moderado"</formula>
    </cfRule>
    <cfRule type="cellIs" dxfId="468" priority="101" operator="equal">
      <formula>"Bajo"</formula>
    </cfRule>
  </conditionalFormatting>
  <conditionalFormatting sqref="K10 K16:K27">
    <cfRule type="containsText" dxfId="467" priority="97" operator="containsText" text="❌">
      <formula>NOT(ISERROR(SEARCH("❌",K10)))</formula>
    </cfRule>
  </conditionalFormatting>
  <conditionalFormatting sqref="H11">
    <cfRule type="cellIs" dxfId="466" priority="83" operator="equal">
      <formula>"Muy Alta"</formula>
    </cfRule>
    <cfRule type="cellIs" dxfId="465" priority="84" operator="equal">
      <formula>"Alta"</formula>
    </cfRule>
    <cfRule type="cellIs" dxfId="464" priority="85" operator="equal">
      <formula>"Media"</formula>
    </cfRule>
    <cfRule type="cellIs" dxfId="463" priority="86" operator="equal">
      <formula>"Baja"</formula>
    </cfRule>
    <cfRule type="cellIs" dxfId="462" priority="87" operator="equal">
      <formula>"Muy Baja"</formula>
    </cfRule>
  </conditionalFormatting>
  <conditionalFormatting sqref="L11">
    <cfRule type="cellIs" dxfId="461" priority="78" operator="equal">
      <formula>"Catastrófico"</formula>
    </cfRule>
    <cfRule type="cellIs" dxfId="460" priority="79" operator="equal">
      <formula>"Mayor"</formula>
    </cfRule>
    <cfRule type="cellIs" dxfId="459" priority="80" operator="equal">
      <formula>"Moderado"</formula>
    </cfRule>
    <cfRule type="cellIs" dxfId="458" priority="81" operator="equal">
      <formula>"Menor"</formula>
    </cfRule>
    <cfRule type="cellIs" dxfId="457" priority="82" operator="equal">
      <formula>"Leve"</formula>
    </cfRule>
  </conditionalFormatting>
  <conditionalFormatting sqref="N11">
    <cfRule type="cellIs" dxfId="456" priority="74" operator="equal">
      <formula>"Extremo"</formula>
    </cfRule>
    <cfRule type="cellIs" dxfId="455" priority="75" operator="equal">
      <formula>"Alto"</formula>
    </cfRule>
    <cfRule type="cellIs" dxfId="454" priority="76" operator="equal">
      <formula>"Moderado"</formula>
    </cfRule>
    <cfRule type="cellIs" dxfId="453" priority="77" operator="equal">
      <formula>"Bajo"</formula>
    </cfRule>
  </conditionalFormatting>
  <conditionalFormatting sqref="K11">
    <cfRule type="containsText" dxfId="452" priority="73" operator="containsText" text="❌">
      <formula>NOT(ISERROR(SEARCH("❌",K11)))</formula>
    </cfRule>
  </conditionalFormatting>
  <conditionalFormatting sqref="Y11">
    <cfRule type="cellIs" dxfId="451" priority="68" operator="equal">
      <formula>"Muy Alta"</formula>
    </cfRule>
    <cfRule type="cellIs" dxfId="450" priority="69" operator="equal">
      <formula>"Alta"</formula>
    </cfRule>
    <cfRule type="cellIs" dxfId="449" priority="70" operator="equal">
      <formula>"Media"</formula>
    </cfRule>
    <cfRule type="cellIs" dxfId="448" priority="71" operator="equal">
      <formula>"Baja"</formula>
    </cfRule>
    <cfRule type="cellIs" dxfId="447" priority="72" operator="equal">
      <formula>"Muy Baja"</formula>
    </cfRule>
  </conditionalFormatting>
  <conditionalFormatting sqref="AA11">
    <cfRule type="cellIs" dxfId="446" priority="63" operator="equal">
      <formula>"Catastrófico"</formula>
    </cfRule>
    <cfRule type="cellIs" dxfId="445" priority="64" operator="equal">
      <formula>"Mayor"</formula>
    </cfRule>
    <cfRule type="cellIs" dxfId="444" priority="65" operator="equal">
      <formula>"Moderado"</formula>
    </cfRule>
    <cfRule type="cellIs" dxfId="443" priority="66" operator="equal">
      <formula>"Menor"</formula>
    </cfRule>
    <cfRule type="cellIs" dxfId="442" priority="67" operator="equal">
      <formula>"Leve"</formula>
    </cfRule>
  </conditionalFormatting>
  <conditionalFormatting sqref="AC11">
    <cfRule type="cellIs" dxfId="441" priority="59" operator="equal">
      <formula>"Extremo"</formula>
    </cfRule>
    <cfRule type="cellIs" dxfId="440" priority="60" operator="equal">
      <formula>"Alto"</formula>
    </cfRule>
    <cfRule type="cellIs" dxfId="439" priority="61" operator="equal">
      <formula>"Moderado"</formula>
    </cfRule>
    <cfRule type="cellIs" dxfId="438" priority="62" operator="equal">
      <formula>"Bajo"</formula>
    </cfRule>
  </conditionalFormatting>
  <conditionalFormatting sqref="H12:H13">
    <cfRule type="cellIs" dxfId="437" priority="54" operator="equal">
      <formula>"Muy Alta"</formula>
    </cfRule>
    <cfRule type="cellIs" dxfId="436" priority="55" operator="equal">
      <formula>"Alta"</formula>
    </cfRule>
    <cfRule type="cellIs" dxfId="435" priority="56" operator="equal">
      <formula>"Media"</formula>
    </cfRule>
    <cfRule type="cellIs" dxfId="434" priority="57" operator="equal">
      <formula>"Baja"</formula>
    </cfRule>
    <cfRule type="cellIs" dxfId="433" priority="58" operator="equal">
      <formula>"Muy Baja"</formula>
    </cfRule>
  </conditionalFormatting>
  <conditionalFormatting sqref="K12:K14">
    <cfRule type="containsText" dxfId="432" priority="53" operator="containsText" text="❌">
      <formula>NOT(ISERROR(SEARCH("❌",K12)))</formula>
    </cfRule>
  </conditionalFormatting>
  <conditionalFormatting sqref="L12:L13">
    <cfRule type="cellIs" dxfId="431" priority="48" operator="equal">
      <formula>"Catastrófico"</formula>
    </cfRule>
    <cfRule type="cellIs" dxfId="430" priority="49" operator="equal">
      <formula>"Mayor"</formula>
    </cfRule>
    <cfRule type="cellIs" dxfId="429" priority="50" operator="equal">
      <formula>"Moderado"</formula>
    </cfRule>
    <cfRule type="cellIs" dxfId="428" priority="51" operator="equal">
      <formula>"Menor"</formula>
    </cfRule>
    <cfRule type="cellIs" dxfId="427" priority="52" operator="equal">
      <formula>"Leve"</formula>
    </cfRule>
  </conditionalFormatting>
  <conditionalFormatting sqref="N12:N13">
    <cfRule type="cellIs" dxfId="426" priority="44" operator="equal">
      <formula>"Extremo"</formula>
    </cfRule>
    <cfRule type="cellIs" dxfId="425" priority="45" operator="equal">
      <formula>"Alto"</formula>
    </cfRule>
    <cfRule type="cellIs" dxfId="424" priority="46" operator="equal">
      <formula>"Moderado"</formula>
    </cfRule>
    <cfRule type="cellIs" dxfId="423" priority="47" operator="equal">
      <formula>"Bajo"</formula>
    </cfRule>
  </conditionalFormatting>
  <conditionalFormatting sqref="Y12:Y13">
    <cfRule type="cellIs" dxfId="422" priority="39" operator="equal">
      <formula>"Muy Alta"</formula>
    </cfRule>
    <cfRule type="cellIs" dxfId="421" priority="40" operator="equal">
      <formula>"Alta"</formula>
    </cfRule>
    <cfRule type="cellIs" dxfId="420" priority="41" operator="equal">
      <formula>"Media"</formula>
    </cfRule>
    <cfRule type="cellIs" dxfId="419" priority="42" operator="equal">
      <formula>"Baja"</formula>
    </cfRule>
    <cfRule type="cellIs" dxfId="418" priority="43" operator="equal">
      <formula>"Muy Baja"</formula>
    </cfRule>
  </conditionalFormatting>
  <conditionalFormatting sqref="AA12:AA13">
    <cfRule type="cellIs" dxfId="417" priority="34" operator="equal">
      <formula>"Catastrófico"</formula>
    </cfRule>
    <cfRule type="cellIs" dxfId="416" priority="35" operator="equal">
      <formula>"Mayor"</formula>
    </cfRule>
    <cfRule type="cellIs" dxfId="415" priority="36" operator="equal">
      <formula>"Moderado"</formula>
    </cfRule>
    <cfRule type="cellIs" dxfId="414" priority="37" operator="equal">
      <formula>"Menor"</formula>
    </cfRule>
    <cfRule type="cellIs" dxfId="413" priority="38" operator="equal">
      <formula>"Leve"</formula>
    </cfRule>
  </conditionalFormatting>
  <conditionalFormatting sqref="AC12:AC13">
    <cfRule type="cellIs" dxfId="412" priority="30" operator="equal">
      <formula>"Extremo"</formula>
    </cfRule>
    <cfRule type="cellIs" dxfId="411" priority="31" operator="equal">
      <formula>"Alto"</formula>
    </cfRule>
    <cfRule type="cellIs" dxfId="410" priority="32" operator="equal">
      <formula>"Moderado"</formula>
    </cfRule>
    <cfRule type="cellIs" dxfId="409" priority="33" operator="equal">
      <formula>"Bajo"</formula>
    </cfRule>
  </conditionalFormatting>
  <conditionalFormatting sqref="H15">
    <cfRule type="cellIs" dxfId="408" priority="25" operator="equal">
      <formula>"Muy Alta"</formula>
    </cfRule>
    <cfRule type="cellIs" dxfId="407" priority="26" operator="equal">
      <formula>"Alta"</formula>
    </cfRule>
    <cfRule type="cellIs" dxfId="406" priority="27" operator="equal">
      <formula>"Media"</formula>
    </cfRule>
    <cfRule type="cellIs" dxfId="405" priority="28" operator="equal">
      <formula>"Baja"</formula>
    </cfRule>
    <cfRule type="cellIs" dxfId="404" priority="29" operator="equal">
      <formula>"Muy Baja"</formula>
    </cfRule>
  </conditionalFormatting>
  <conditionalFormatting sqref="K15">
    <cfRule type="containsText" dxfId="403" priority="24" operator="containsText" text="❌">
      <formula>NOT(ISERROR(SEARCH("❌",K15)))</formula>
    </cfRule>
  </conditionalFormatting>
  <conditionalFormatting sqref="L15">
    <cfRule type="cellIs" dxfId="402" priority="19" operator="equal">
      <formula>"Catastrófico"</formula>
    </cfRule>
    <cfRule type="cellIs" dxfId="401" priority="20" operator="equal">
      <formula>"Mayor"</formula>
    </cfRule>
    <cfRule type="cellIs" dxfId="400" priority="21" operator="equal">
      <formula>"Moderado"</formula>
    </cfRule>
    <cfRule type="cellIs" dxfId="399" priority="22" operator="equal">
      <formula>"Menor"</formula>
    </cfRule>
    <cfRule type="cellIs" dxfId="398" priority="23" operator="equal">
      <formula>"Leve"</formula>
    </cfRule>
  </conditionalFormatting>
  <conditionalFormatting sqref="N15">
    <cfRule type="cellIs" dxfId="397" priority="15" operator="equal">
      <formula>"Extremo"</formula>
    </cfRule>
    <cfRule type="cellIs" dxfId="396" priority="16" operator="equal">
      <formula>"Alto"</formula>
    </cfRule>
    <cfRule type="cellIs" dxfId="395" priority="17" operator="equal">
      <formula>"Moderado"</formula>
    </cfRule>
    <cfRule type="cellIs" dxfId="394" priority="18" operator="equal">
      <formula>"Bajo"</formula>
    </cfRule>
  </conditionalFormatting>
  <conditionalFormatting sqref="Y15">
    <cfRule type="cellIs" dxfId="393" priority="10" operator="equal">
      <formula>"Muy Alta"</formula>
    </cfRule>
    <cfRule type="cellIs" dxfId="392" priority="11" operator="equal">
      <formula>"Alta"</formula>
    </cfRule>
    <cfRule type="cellIs" dxfId="391" priority="12" operator="equal">
      <formula>"Media"</formula>
    </cfRule>
    <cfRule type="cellIs" dxfId="390" priority="13" operator="equal">
      <formula>"Baja"</formula>
    </cfRule>
    <cfRule type="cellIs" dxfId="389" priority="14" operator="equal">
      <formula>"Muy Baja"</formula>
    </cfRule>
  </conditionalFormatting>
  <conditionalFormatting sqref="AA15">
    <cfRule type="cellIs" dxfId="388" priority="5" operator="equal">
      <formula>"Catastrófico"</formula>
    </cfRule>
    <cfRule type="cellIs" dxfId="387" priority="6" operator="equal">
      <formula>"Mayor"</formula>
    </cfRule>
    <cfRule type="cellIs" dxfId="386" priority="7" operator="equal">
      <formula>"Moderado"</formula>
    </cfRule>
    <cfRule type="cellIs" dxfId="385" priority="8" operator="equal">
      <formula>"Menor"</formula>
    </cfRule>
    <cfRule type="cellIs" dxfId="384" priority="9" operator="equal">
      <formula>"Leve"</formula>
    </cfRule>
  </conditionalFormatting>
  <conditionalFormatting sqref="AC15">
    <cfRule type="cellIs" dxfId="383" priority="1" operator="equal">
      <formula>"Extremo"</formula>
    </cfRule>
    <cfRule type="cellIs" dxfId="382" priority="2" operator="equal">
      <formula>"Alto"</formula>
    </cfRule>
    <cfRule type="cellIs" dxfId="381" priority="3" operator="equal">
      <formula>"Moderado"</formula>
    </cfRule>
    <cfRule type="cellIs" dxfId="380" priority="4" operator="equal">
      <formula>"Bajo"</formula>
    </cfRule>
  </conditionalFormatting>
  <dataValidations count="24">
    <dataValidation type="list" allowBlank="1" showInputMessage="1" showErrorMessage="1" sqref="F10 F16:F27" xr:uid="{F945A0BB-1439-4C4C-83CC-101C749B4F09}">
      <formula1>$E$99:$E$105</formula1>
    </dataValidation>
    <dataValidation type="list" allowBlank="1" showInputMessage="1" showErrorMessage="1" sqref="J20 J10" xr:uid="{29EF57DE-69F1-4A69-8CE2-BD7A0CF5DEE1}">
      <formula1>$E$116:$E$120</formula1>
    </dataValidation>
    <dataValidation type="list" allowBlank="1" showInputMessage="1" showErrorMessage="1" sqref="AD16 AD18:AD27" xr:uid="{CFB6B5C3-1C18-4CC0-A565-6F2F53107BAF}">
      <formula1>$H$109:$H$113</formula1>
    </dataValidation>
    <dataValidation type="list" allowBlank="1" showInputMessage="1" showErrorMessage="1" sqref="R10 R15:R16 R18:R27" xr:uid="{5238F813-F181-46AB-97D8-2D23943123D0}">
      <formula1>$G$99:$G$101</formula1>
    </dataValidation>
    <dataValidation type="list" allowBlank="1" showInputMessage="1" showErrorMessage="1" sqref="S10 S16 S18:S27" xr:uid="{09C3A630-8469-44A0-8AE1-349719692903}">
      <formula1>$H$99:$H$100</formula1>
    </dataValidation>
    <dataValidation type="list" allowBlank="1" showInputMessage="1" showErrorMessage="1" sqref="U10 U16 U18:U27" xr:uid="{B056BDCF-B14A-4653-B972-5E6589ED96DF}">
      <formula1>$G$104:$G$105</formula1>
    </dataValidation>
    <dataValidation type="list" allowBlank="1" showInputMessage="1" showErrorMessage="1" sqref="V10 V16 V18:V27" xr:uid="{83134365-4E4D-4D1F-85DE-C54C27FC0A34}">
      <formula1>$H$104:$H$105</formula1>
    </dataValidation>
    <dataValidation type="list" allowBlank="1" showInputMessage="1" showErrorMessage="1" sqref="W10 W16 W18:W27" xr:uid="{ADD1DA7C-008F-4861-8DAA-59B3EA41944F}">
      <formula1>$G$109:$G$110</formula1>
    </dataValidation>
    <dataValidation type="list" allowBlank="1" showInputMessage="1" showErrorMessage="1" sqref="F11" xr:uid="{F1CAAAAE-11DF-411D-8C9F-772F76D57728}">
      <formula1>$E$100:$E$106</formula1>
    </dataValidation>
    <dataValidation type="list" allowBlank="1" showInputMessage="1" showErrorMessage="1" sqref="R11" xr:uid="{5F8A5FFC-3F61-4B9B-BF34-B9F8E2479912}">
      <formula1>$G$100:$G$102</formula1>
    </dataValidation>
    <dataValidation type="list" allowBlank="1" showInputMessage="1" showErrorMessage="1" sqref="S11" xr:uid="{F7E37EA7-47E2-4C5F-BA7D-214E03469395}">
      <formula1>$H$100:$H$101</formula1>
    </dataValidation>
    <dataValidation type="list" allowBlank="1" showInputMessage="1" showErrorMessage="1" sqref="U11" xr:uid="{4568F826-5D4D-466F-86E6-E189104C4303}">
      <formula1>$G$105:$G$106</formula1>
    </dataValidation>
    <dataValidation type="list" allowBlank="1" showInputMessage="1" showErrorMessage="1" sqref="W11 U12:U13" xr:uid="{F7CCF826-3B1C-4F93-BA5A-B8C85FBEEBFA}">
      <formula1>$G$110:$G$111</formula1>
    </dataValidation>
    <dataValidation type="list" allowBlank="1" showInputMessage="1" showErrorMessage="1" sqref="V11 S12:S13" xr:uid="{EAC58E3A-50D5-4D03-AF95-B85A9ED8FA7E}">
      <formula1>$H$105:$H$106</formula1>
    </dataValidation>
    <dataValidation type="list" allowBlank="1" showInputMessage="1" showErrorMessage="1" sqref="F12:F13 F15" xr:uid="{299AD56F-AFE5-47EE-8ACD-424D668C1C0F}">
      <formula1>$E$105:$E$111</formula1>
    </dataValidation>
    <dataValidation type="list" allowBlank="1" showInputMessage="1" showErrorMessage="1" sqref="J12:J13 J15" xr:uid="{F4B08C00-CA89-4100-A4F4-8A3538B909CF}">
      <formula1>$E$122:$E$126</formula1>
    </dataValidation>
    <dataValidation type="list" allowBlank="1" showInputMessage="1" showErrorMessage="1" sqref="W12:W13" xr:uid="{95CB48A1-4FA2-47A0-A0B1-DB49E176BE81}">
      <formula1>$G$115:$G$116</formula1>
    </dataValidation>
    <dataValidation type="list" allowBlank="1" showInputMessage="1" showErrorMessage="1" sqref="V12:V13" xr:uid="{3CBE813E-B344-42E6-82FC-B08821B33D61}">
      <formula1>$H$110:$H$111</formula1>
    </dataValidation>
    <dataValidation type="list" allowBlank="1" showInputMessage="1" showErrorMessage="1" sqref="R12:R13" xr:uid="{0EC6D28C-177C-49E7-998A-17FA959276AC}">
      <formula1>$G$105:$G$107</formula1>
    </dataValidation>
    <dataValidation type="list" allowBlank="1" showInputMessage="1" showErrorMessage="1" sqref="W15" xr:uid="{198F5177-25D0-46D2-8AD8-5A3FCA6E903E}">
      <formula1>$G$116:$G$117</formula1>
    </dataValidation>
    <dataValidation type="list" allowBlank="1" showInputMessage="1" showErrorMessage="1" sqref="V15" xr:uid="{6E6C65DE-92FC-4B1D-9B09-44E0F1797CE4}">
      <formula1>$H$111:$H$112</formula1>
    </dataValidation>
    <dataValidation type="list" allowBlank="1" showInputMessage="1" showErrorMessage="1" sqref="U15" xr:uid="{25DC0226-2599-49C0-A6CA-6DE5D7EC1291}">
      <formula1>$G$111:$G$112</formula1>
    </dataValidation>
    <dataValidation type="list" allowBlank="1" showInputMessage="1" showErrorMessage="1" sqref="S15" xr:uid="{C3181BB0-3F9B-4593-874E-5D8EEF4CC4B6}">
      <formula1>$H$106:$H$107</formula1>
    </dataValidation>
    <dataValidation type="list" allowBlank="1" showInputMessage="1" showErrorMessage="1" sqref="AD10:AD15" xr:uid="{3A15CD01-5B38-47A1-A208-B4560E241C1A}">
      <formula1>$H$109:$H$111</formula1>
    </dataValidation>
  </dataValidation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36CA7-DA29-4112-B6D1-D21F24550EC8}">
  <sheetPr>
    <tabColor rgb="FFFF0000"/>
  </sheetPr>
  <dimension ref="B1:CS302"/>
  <sheetViews>
    <sheetView topLeftCell="W24" zoomScale="80" zoomScaleNormal="80" workbookViewId="0">
      <selection activeCell="AF24" sqref="AF24"/>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33"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20.75" customHeight="1" x14ac:dyDescent="0.25"/>
    <row r="2" spans="2:97" ht="54.75" customHeight="1" x14ac:dyDescent="0.25"/>
    <row r="3" spans="2:97" ht="68.25" customHeight="1" x14ac:dyDescent="0.25">
      <c r="B3" s="142"/>
    </row>
    <row r="4" spans="2:97" x14ac:dyDescent="0.25">
      <c r="D4" s="322"/>
      <c r="E4" s="322"/>
      <c r="F4" s="322"/>
      <c r="G4" s="322"/>
      <c r="H4" s="322"/>
      <c r="I4" s="762"/>
      <c r="J4" s="762"/>
      <c r="K4" s="762"/>
      <c r="L4" s="762"/>
      <c r="M4" s="762"/>
      <c r="N4" s="762"/>
      <c r="O4" s="762"/>
      <c r="P4" s="762"/>
      <c r="Q4" s="762"/>
      <c r="R4" s="762"/>
      <c r="S4" s="762"/>
      <c r="T4" s="762"/>
      <c r="U4" s="762"/>
      <c r="V4" s="762"/>
      <c r="W4" s="762"/>
      <c r="X4" s="762"/>
      <c r="Y4" s="762"/>
      <c r="Z4" s="762"/>
      <c r="AA4" s="762"/>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580" t="s">
        <v>507</v>
      </c>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1"/>
      <c r="AN6" s="581"/>
      <c r="AO6" s="581"/>
      <c r="AP6" s="581"/>
      <c r="AQ6" s="582"/>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7"/>
      <c r="D7" s="585"/>
      <c r="E7" s="585"/>
      <c r="F7" s="585"/>
      <c r="G7" s="585"/>
      <c r="H7" s="585"/>
      <c r="I7" s="585"/>
      <c r="J7" s="585"/>
      <c r="K7" s="585"/>
      <c r="L7" s="585"/>
      <c r="M7" s="585"/>
      <c r="N7" s="585"/>
      <c r="O7" s="585"/>
      <c r="P7" s="585"/>
      <c r="Q7" s="585"/>
      <c r="R7" s="585"/>
      <c r="S7" s="585"/>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805" t="s">
        <v>43</v>
      </c>
      <c r="D8" s="806"/>
      <c r="E8" s="807"/>
      <c r="F8" s="808"/>
      <c r="G8" s="809" t="str">
        <f>'Datos del proceso'!A10</f>
        <v>TRANSFORMACIÓN CULTURAL PARA LA REVITALIZACIÓN DEL CENTRO</v>
      </c>
      <c r="H8" s="810"/>
      <c r="I8" s="810"/>
      <c r="J8" s="810"/>
      <c r="K8" s="810"/>
      <c r="L8" s="810"/>
      <c r="M8" s="810"/>
      <c r="N8" s="810"/>
      <c r="O8" s="810"/>
      <c r="P8" s="810"/>
      <c r="Q8" s="810"/>
      <c r="R8" s="810"/>
      <c r="S8" s="811"/>
      <c r="T8" s="812"/>
      <c r="U8" s="813"/>
      <c r="V8" s="813"/>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805" t="s">
        <v>130</v>
      </c>
      <c r="D9" s="806"/>
      <c r="E9" s="807"/>
      <c r="F9" s="808"/>
      <c r="G9" s="809"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810"/>
      <c r="I9" s="810"/>
      <c r="J9" s="810"/>
      <c r="K9" s="810"/>
      <c r="L9" s="810"/>
      <c r="M9" s="810"/>
      <c r="N9" s="810"/>
      <c r="O9" s="810"/>
      <c r="P9" s="810"/>
      <c r="Q9" s="810"/>
      <c r="R9" s="810"/>
      <c r="S9" s="811"/>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801"/>
      <c r="E10" s="801"/>
      <c r="F10" s="801"/>
      <c r="G10" s="369"/>
      <c r="I10" s="802"/>
      <c r="J10" s="802"/>
      <c r="K10" s="802"/>
      <c r="L10" s="802"/>
      <c r="M10" s="802"/>
      <c r="N10" s="802"/>
      <c r="O10" s="802"/>
      <c r="P10" s="802"/>
      <c r="Q10" s="802"/>
      <c r="R10" s="802"/>
      <c r="S10" s="802"/>
      <c r="T10" s="802"/>
      <c r="U10" s="802"/>
      <c r="V10" s="802"/>
      <c r="W10" s="802"/>
      <c r="X10" s="802"/>
      <c r="Y10" s="802"/>
      <c r="Z10" s="802"/>
      <c r="AA10" s="802"/>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86" t="s">
        <v>508</v>
      </c>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803"/>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78" t="s">
        <v>338</v>
      </c>
      <c r="D14" s="578"/>
      <c r="E14" s="606" t="s">
        <v>339</v>
      </c>
      <c r="F14" s="608"/>
      <c r="G14" s="606" t="s">
        <v>340</v>
      </c>
      <c r="H14" s="608"/>
      <c r="I14" s="606" t="s">
        <v>341</v>
      </c>
      <c r="J14" s="608"/>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68.25" customHeight="1" x14ac:dyDescent="0.25">
      <c r="C15" s="791" t="s">
        <v>585</v>
      </c>
      <c r="D15" s="792"/>
      <c r="E15" s="791" t="s">
        <v>586</v>
      </c>
      <c r="F15" s="792"/>
      <c r="G15" s="791" t="s">
        <v>587</v>
      </c>
      <c r="H15" s="792"/>
      <c r="I15" s="791" t="s">
        <v>588</v>
      </c>
      <c r="J15" s="792"/>
      <c r="K15" s="771" t="s">
        <v>578</v>
      </c>
      <c r="L15" s="798" t="s">
        <v>668</v>
      </c>
      <c r="M15" s="775" t="s">
        <v>558</v>
      </c>
      <c r="N15" s="456" t="s">
        <v>660</v>
      </c>
      <c r="O15" s="804" t="s">
        <v>589</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ht="77.25" customHeight="1" x14ac:dyDescent="0.25">
      <c r="C16" s="793"/>
      <c r="D16" s="794"/>
      <c r="E16" s="793"/>
      <c r="F16" s="794"/>
      <c r="G16" s="793"/>
      <c r="H16" s="794"/>
      <c r="I16" s="793"/>
      <c r="J16" s="794"/>
      <c r="K16" s="797"/>
      <c r="L16" s="799"/>
      <c r="M16" s="776"/>
      <c r="N16" s="458" t="s">
        <v>661</v>
      </c>
      <c r="O16" s="804"/>
      <c r="P16" s="163"/>
      <c r="Q16" s="163"/>
      <c r="S16" s="163"/>
      <c r="T16" s="160"/>
      <c r="U16" s="160"/>
      <c r="V16" s="163"/>
      <c r="W16" s="160"/>
      <c r="X16" s="160"/>
      <c r="Y16" s="160"/>
      <c r="Z16" s="160"/>
      <c r="AA16" s="160"/>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ht="78" customHeight="1" x14ac:dyDescent="0.25">
      <c r="C17" s="795"/>
      <c r="D17" s="796"/>
      <c r="E17" s="795"/>
      <c r="F17" s="796"/>
      <c r="G17" s="795"/>
      <c r="H17" s="796"/>
      <c r="I17" s="795"/>
      <c r="J17" s="796"/>
      <c r="K17" s="772"/>
      <c r="L17" s="800"/>
      <c r="M17" s="802"/>
      <c r="N17" s="456" t="s">
        <v>590</v>
      </c>
      <c r="O17" s="804"/>
      <c r="S17" s="183"/>
      <c r="T17" s="157"/>
      <c r="U17" s="157"/>
      <c r="V17" s="163"/>
      <c r="Y17" s="184"/>
      <c r="Z17" s="184"/>
      <c r="AA17" s="184"/>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3:97" x14ac:dyDescent="0.25">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row>
    <row r="19" spans="3:97" ht="27.75" x14ac:dyDescent="0.25">
      <c r="C19" s="785" t="s">
        <v>510</v>
      </c>
      <c r="D19" s="786"/>
      <c r="E19" s="786"/>
      <c r="F19" s="786"/>
      <c r="G19" s="786"/>
      <c r="H19" s="786"/>
      <c r="I19" s="786"/>
      <c r="J19" s="786"/>
      <c r="K19" s="786"/>
      <c r="L19" s="786"/>
      <c r="M19" s="786"/>
      <c r="N19" s="786"/>
      <c r="O19" s="786"/>
      <c r="P19" s="786"/>
      <c r="Q19" s="786"/>
      <c r="R19" s="786"/>
      <c r="S19" s="786"/>
      <c r="T19" s="786"/>
      <c r="U19" s="786"/>
      <c r="V19" s="786"/>
      <c r="W19" s="786"/>
      <c r="X19" s="786"/>
      <c r="Y19" s="786"/>
      <c r="Z19" s="786"/>
      <c r="AA19" s="786"/>
      <c r="AB19" s="786"/>
      <c r="AC19" s="786"/>
      <c r="AD19" s="786"/>
      <c r="AE19" s="786"/>
      <c r="AF19" s="786"/>
      <c r="AG19" s="78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R19" s="146"/>
      <c r="CS19" s="146"/>
    </row>
    <row r="20" spans="3:97" ht="6" customHeight="1" x14ac:dyDescent="0.25">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H20" s="146"/>
      <c r="CI20" s="146"/>
      <c r="CJ20" s="146"/>
      <c r="CK20" s="146"/>
      <c r="CL20" s="146"/>
      <c r="CM20" s="146"/>
      <c r="CN20" s="146"/>
      <c r="CR20" s="146"/>
      <c r="CS20" s="146"/>
    </row>
    <row r="21" spans="3:97" ht="41.25" customHeight="1" x14ac:dyDescent="0.25">
      <c r="C21" s="787" t="s">
        <v>222</v>
      </c>
      <c r="D21" s="787"/>
      <c r="E21" s="787"/>
      <c r="F21" s="787"/>
      <c r="G21" s="787"/>
      <c r="H21" s="787"/>
      <c r="I21" s="787"/>
      <c r="J21" s="788" t="s">
        <v>141</v>
      </c>
      <c r="K21" s="789"/>
      <c r="L21" s="789"/>
      <c r="M21" s="789"/>
      <c r="N21" s="789"/>
      <c r="O21" s="789"/>
      <c r="P21" s="789"/>
      <c r="Q21" s="789"/>
      <c r="R21" s="790"/>
      <c r="S21" s="788" t="s">
        <v>142</v>
      </c>
      <c r="T21" s="789"/>
      <c r="U21" s="789"/>
      <c r="V21" s="789"/>
      <c r="W21" s="789"/>
      <c r="X21" s="789"/>
      <c r="Y21" s="790"/>
      <c r="Z21" s="577" t="s">
        <v>34</v>
      </c>
      <c r="AA21" s="577"/>
      <c r="AB21" s="577"/>
      <c r="AC21" s="577"/>
      <c r="AD21" s="577"/>
      <c r="AE21" s="577"/>
      <c r="AF21" s="577"/>
      <c r="AG21" s="577"/>
      <c r="AH21" s="146"/>
      <c r="AI21" s="154"/>
      <c r="AJ21" s="154"/>
      <c r="AK21" s="154"/>
      <c r="AL21" s="154"/>
      <c r="AM21" s="154"/>
      <c r="AN21" s="154"/>
      <c r="AO21" s="146"/>
      <c r="AP21" s="146"/>
      <c r="AQ21" s="155"/>
      <c r="AR21" s="155"/>
      <c r="AS21" s="155"/>
      <c r="AT21" s="155"/>
      <c r="AU21" s="155"/>
      <c r="AV21" s="155"/>
      <c r="AW21" s="155"/>
      <c r="AX21" s="155"/>
      <c r="AY21" s="155"/>
      <c r="AZ21" s="155"/>
      <c r="BA21" s="155"/>
      <c r="BB21" s="146"/>
      <c r="BC21" s="146"/>
      <c r="BD21" s="146"/>
      <c r="BE21" s="146"/>
      <c r="BF21" s="146"/>
      <c r="BG21" s="146"/>
      <c r="BH21" s="146"/>
      <c r="BI21" s="146"/>
      <c r="BJ21" s="146"/>
      <c r="BK21" s="146"/>
      <c r="BL21" s="146"/>
      <c r="BM21" s="146"/>
      <c r="BN21" s="146"/>
      <c r="BO21" s="146"/>
      <c r="BP21" s="146"/>
      <c r="BQ21" s="146"/>
      <c r="BR21" s="146"/>
      <c r="BS21" s="146"/>
      <c r="BT21" s="146"/>
      <c r="BU21" s="146"/>
      <c r="BV21" s="146"/>
      <c r="BW21" s="146"/>
      <c r="BX21" s="146"/>
      <c r="BY21" s="146"/>
      <c r="BZ21" s="146"/>
      <c r="CA21" s="146"/>
      <c r="CB21" s="146"/>
      <c r="CC21" s="146"/>
      <c r="CD21" s="146"/>
      <c r="CE21" s="146"/>
      <c r="CF21" s="146"/>
      <c r="CG21" s="146"/>
      <c r="CK21" s="146"/>
      <c r="CL21" s="146"/>
    </row>
    <row r="22" spans="3:97" ht="25.5" customHeight="1" x14ac:dyDescent="0.25">
      <c r="C22" s="787"/>
      <c r="D22" s="787"/>
      <c r="E22" s="787"/>
      <c r="F22" s="787"/>
      <c r="G22" s="787"/>
      <c r="H22" s="787"/>
      <c r="I22" s="787"/>
      <c r="J22" s="595" t="s">
        <v>11</v>
      </c>
      <c r="K22" s="578" t="s">
        <v>163</v>
      </c>
      <c r="L22" s="578" t="s">
        <v>503</v>
      </c>
      <c r="M22" s="578" t="s">
        <v>8</v>
      </c>
      <c r="N22" s="578"/>
      <c r="O22" s="578"/>
      <c r="P22" s="578"/>
      <c r="Q22" s="578"/>
      <c r="R22" s="578"/>
      <c r="S22" s="595" t="s">
        <v>502</v>
      </c>
      <c r="T22" s="595" t="s">
        <v>485</v>
      </c>
      <c r="U22" s="595" t="s">
        <v>488</v>
      </c>
      <c r="V22" s="595" t="s">
        <v>486</v>
      </c>
      <c r="W22" s="595" t="s">
        <v>481</v>
      </c>
      <c r="X22" s="595" t="s">
        <v>489</v>
      </c>
      <c r="Y22" s="595" t="s">
        <v>29</v>
      </c>
      <c r="Z22" s="578" t="s">
        <v>34</v>
      </c>
      <c r="AA22" s="590" t="s">
        <v>496</v>
      </c>
      <c r="AB22" s="578" t="s">
        <v>35</v>
      </c>
      <c r="AC22" s="578" t="s">
        <v>236</v>
      </c>
      <c r="AD22" s="590" t="s">
        <v>506</v>
      </c>
      <c r="AE22" s="579" t="s">
        <v>38</v>
      </c>
      <c r="AF22" s="579" t="s">
        <v>37</v>
      </c>
      <c r="AG22" s="579" t="s">
        <v>39</v>
      </c>
      <c r="AH22" s="155"/>
      <c r="AI22" s="156"/>
      <c r="AJ22" s="156"/>
      <c r="AK22" s="156"/>
      <c r="AL22" s="156"/>
      <c r="AM22" s="156"/>
      <c r="AN22" s="156"/>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89.25" customHeight="1" x14ac:dyDescent="0.25">
      <c r="C23" s="349" t="s">
        <v>478</v>
      </c>
      <c r="D23" s="352" t="s">
        <v>480</v>
      </c>
      <c r="E23" s="368" t="s">
        <v>481</v>
      </c>
      <c r="F23" s="353" t="s">
        <v>238</v>
      </c>
      <c r="G23" s="368" t="s">
        <v>481</v>
      </c>
      <c r="H23" s="787" t="s">
        <v>239</v>
      </c>
      <c r="I23" s="787"/>
      <c r="J23" s="783"/>
      <c r="K23" s="590"/>
      <c r="L23" s="590"/>
      <c r="M23" s="294" t="s">
        <v>490</v>
      </c>
      <c r="N23" s="294" t="s">
        <v>492</v>
      </c>
      <c r="O23" s="294" t="s">
        <v>487</v>
      </c>
      <c r="P23" s="294" t="s">
        <v>499</v>
      </c>
      <c r="Q23" s="294" t="s">
        <v>500</v>
      </c>
      <c r="R23" s="294" t="s">
        <v>501</v>
      </c>
      <c r="S23" s="783"/>
      <c r="T23" s="783"/>
      <c r="U23" s="783"/>
      <c r="V23" s="783"/>
      <c r="W23" s="783"/>
      <c r="X23" s="783"/>
      <c r="Y23" s="783"/>
      <c r="Z23" s="590"/>
      <c r="AA23" s="774"/>
      <c r="AB23" s="590"/>
      <c r="AC23" s="590"/>
      <c r="AD23" s="774"/>
      <c r="AE23" s="579"/>
      <c r="AF23" s="579"/>
      <c r="AG23" s="579"/>
      <c r="AH23" s="155"/>
      <c r="AI23" s="160"/>
      <c r="AJ23" s="156"/>
      <c r="AK23" s="160"/>
      <c r="AL23" s="156"/>
      <c r="AM23" s="160"/>
      <c r="AN23" s="156"/>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236.25" customHeight="1" x14ac:dyDescent="0.25">
      <c r="C24" s="775">
        <v>255</v>
      </c>
      <c r="D24" s="710" t="str">
        <f>IF(C24&lt;=0,"",IF(C24&lt;=2,"Muy Baja",IF(C24&lt;=24,"Baja",IF(C24&lt;=500,"Media",IF(C24&lt;=5000,"Alta","Muy Alta")))))</f>
        <v>Media</v>
      </c>
      <c r="E24" s="777">
        <f>IF(D24="","",IF(D24="Muy Baja",0.2,IF(D24="Baja",0.4,IF(D24="Media",0.6,IF(D24="Alta",0.8,IF(D24="Muy Alta",1,))))))</f>
        <v>0.6</v>
      </c>
      <c r="F24" s="615" t="str">
        <f>IF(H58="Si","Catastrófico",IF(H62&lt;=5,"Moderado",IF(H62&lt;=11,"Mayor","Catastrófico")))</f>
        <v>Mayor</v>
      </c>
      <c r="G24" s="780">
        <f>IF(F24="","",IF(F24="Leve",0.2,IF(F24="Menor",0.4,IF(F24="Moderado",0.6,IF(F24="Mayor",0.8,IF(F24="Catastrófico",1,))))))</f>
        <v>0.8</v>
      </c>
      <c r="H24" s="615" t="str">
        <f>IF(OR(AND(D24="Muy Baja",F24="Leve"),AND(D24="Muy Baja",F24="Menor"),AND(D24="Baja",F24="Leve")),"Bajo",IF(OR(AND(D24="Muy baja",F24="Moderado"),AND(D24="Baja",F24="Menor"),AND(D24="Baja",F24="Moderado"),AND(D24="Media",F24="Leve"),AND(D24="Media",F24="Menor"),AND(D24="Media",F24="Moderado"),AND(D24="Alta",F24="Leve"),AND(D24="Alta",F24="Menor")),"Moderado",IF(OR(AND(D24="Muy Baja",F24="Mayor"),AND(D24="Baja",F24="Mayor"),AND(D24="Media",F24="Mayor"),AND(D24="Alta",F24="Moderado"),AND(D24="Alta",F24="Mayor"),AND(D24="Muy Alta",F24="Leve"),AND(D24="Muy Alta",F24="Menor"),AND(D24="Muy Alta",F24="Moderado"),AND(D24="Muy Alta",F24="Mayor")),"Alto",IF(OR(AND(D24="Muy Baja",F24="Catastrófico"),AND(D24="Baja",F24="Catastrófico"),AND(D24="Media",F24="Catastrófico"),AND(D24="Alta",F24="Catastrófico"),AND(D24="Muy Alta",F24="Catastrófico")),"Extremo",""))))</f>
        <v>Alto</v>
      </c>
      <c r="I24" s="615"/>
      <c r="J24" s="278">
        <v>1</v>
      </c>
      <c r="K24" s="457" t="s">
        <v>662</v>
      </c>
      <c r="L24" s="280" t="str">
        <f>IF(OR(M24="Preventivo",M24="Detectivo"),"Probabilidad",IF(M24="Correctivo","Impacto",""))</f>
        <v>Probabilidad</v>
      </c>
      <c r="M24" s="281" t="s">
        <v>14</v>
      </c>
      <c r="N24" s="281" t="s">
        <v>9</v>
      </c>
      <c r="O24" s="282" t="str">
        <f>IF(AND(M24="Preventivo",N24="Automático"),"50%",IF(AND(M24="Preventivo",N24="Manual"),"40%",IF(AND(M24="Detectivo",N24="Automático"),"40%",IF(AND(M24="Detectivo",N24="Manual"),"30%",IF(AND(M24="Correctivo",N24="Automático"),"35%",IF(AND(M24="Correctivo",N24="Manual"),"25%",""))))))</f>
        <v>40%</v>
      </c>
      <c r="P24" s="281" t="s">
        <v>493</v>
      </c>
      <c r="Q24" s="281" t="s">
        <v>22</v>
      </c>
      <c r="R24" s="281" t="s">
        <v>497</v>
      </c>
      <c r="S24" s="283">
        <f>IFERROR(IF(L24="Probabilidad",(E24-(+E24*O24)),IF(L24="Impacto",E24,"")),"")</f>
        <v>0.36</v>
      </c>
      <c r="T24" s="284" t="str">
        <f>IFERROR(IF(S24="","",IF(S24&lt;=0.2,"Muy Baja",IF(S24&lt;=0.4,"Baja",IF(S24&lt;=0.6,"Media",IF(S24&lt;=0.8,"Alta","Muy Alta"))))),"")</f>
        <v>Baja</v>
      </c>
      <c r="U24" s="282">
        <f>+S24</f>
        <v>0.36</v>
      </c>
      <c r="V24" s="284" t="str">
        <f>IFERROR(IF(W24="","",IF(W24&lt;=0.2,"Leve",IF(W24&lt;=0.4,"Menor",IF(W24&lt;=0.6,"Moderado",IF(W24&lt;=0.8,"Mayor","Catastrófico"))))),"")</f>
        <v>Mayor</v>
      </c>
      <c r="W24" s="282">
        <f>IFERROR(IF(L24="Impacto",(G24-(+G24*O24)),IF(L24="Probabilidad",G24,"")),"")</f>
        <v>0.8</v>
      </c>
      <c r="X24" s="285" t="str">
        <f>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281" t="s">
        <v>30</v>
      </c>
      <c r="Z24" s="1258" t="s">
        <v>664</v>
      </c>
      <c r="AA24" s="1259" t="s">
        <v>665</v>
      </c>
      <c r="AB24" s="1259" t="s">
        <v>579</v>
      </c>
      <c r="AC24" s="402">
        <v>44958</v>
      </c>
      <c r="AD24" s="402">
        <v>45260</v>
      </c>
      <c r="AE24" s="399"/>
      <c r="AF24" s="286"/>
      <c r="AG24" s="287"/>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183.75" customHeight="1" x14ac:dyDescent="0.25">
      <c r="C25" s="776"/>
      <c r="D25" s="711"/>
      <c r="E25" s="778"/>
      <c r="F25" s="615"/>
      <c r="G25" s="781"/>
      <c r="H25" s="615"/>
      <c r="I25" s="615"/>
      <c r="J25" s="278">
        <v>2</v>
      </c>
      <c r="K25" s="457" t="s">
        <v>663</v>
      </c>
      <c r="L25" s="280" t="str">
        <f>IF(OR(M25="Preventivo",M25="Detectivo"),"Probabilidad",IF(M25="Correctivo","Impacto",""))</f>
        <v>Probabilidad</v>
      </c>
      <c r="M25" s="281" t="s">
        <v>14</v>
      </c>
      <c r="N25" s="281" t="s">
        <v>9</v>
      </c>
      <c r="O25" s="282" t="str">
        <f>IF(AND(M25="Preventivo",N25="Automático"),"50%",IF(AND(M25="Preventivo",N25="Manual"),"40%",IF(AND(M25="Detectivo",N25="Automático"),"40%",IF(AND(M25="Detectivo",N25="Manual"),"30%",IF(AND(M25="Correctivo",N25="Automático"),"35%",IF(AND(M25="Correctivo",N25="Manual"),"25%",""))))))</f>
        <v>40%</v>
      </c>
      <c r="P25" s="281" t="s">
        <v>493</v>
      </c>
      <c r="Q25" s="281" t="s">
        <v>22</v>
      </c>
      <c r="R25" s="281" t="s">
        <v>497</v>
      </c>
      <c r="S25" s="283">
        <f>IFERROR(IF(L25="Probabilidad",(E24-(+E24*O25)),IF(L25="Impacto",E24,"")),"")</f>
        <v>0.36</v>
      </c>
      <c r="T25" s="284" t="str">
        <f>IFERROR(IF(S25="","",IF(S25&lt;=0.2,"Muy Baja",IF(S25&lt;=0.4,"Baja",IF(S25&lt;=0.6,"Media",IF(S25&lt;=0.8,"Alta","Muy Alta"))))),"")</f>
        <v>Baja</v>
      </c>
      <c r="U25" s="282">
        <f>+S25</f>
        <v>0.36</v>
      </c>
      <c r="V25" s="284" t="str">
        <f>IFERROR(IF(W25="","",IF(W25&lt;=0.2,"Leve",IF(W25&lt;=0.4,"Menor",IF(W25&lt;=0.6,"Moderado",IF(W25&lt;=0.8,"Mayor","Catastrófico"))))),"")</f>
        <v>Mayor</v>
      </c>
      <c r="W25" s="282">
        <f>IFERROR(IF(L25="Impacto",(G24-(+G24*O25)),IF(L25="Probabilidad",G24,"")),"")</f>
        <v>0.8</v>
      </c>
      <c r="X25" s="285" t="str">
        <f>IFERROR(IF(OR(AND(T25="Muy Baja",V25="Leve"),AND(T25="Muy Baja",V25="Menor"),AND(T25="Baja",V25="Leve")),"Bajo",IF(OR(AND(T25="Muy baja",V25="Moderado"),AND(T25="Baja",V25="Menor"),AND(T25="Baja",V25="Moderado"),AND(T25="Media",V25="Leve"),AND(T25="Media",V25="Menor"),AND(T25="Media",V25="Moderado"),AND(T25="Alta",V25="Leve"),AND(T25="Alta",V25="Menor")),"Moderado",IF(OR(AND(T25="Muy Baja",V25="Mayor"),AND(T25="Baja",V25="Mayor"),AND(T25="Media",V25="Mayor"),AND(T25="Alta",V25="Moderado"),AND(T25="Alta",V25="Mayor"),AND(T25="Muy Alta",V25="Leve"),AND(T25="Muy Alta",V25="Menor"),AND(T25="Muy Alta",V25="Moderado"),AND(T25="Muy Alta",V25="Mayor")),"Alto",IF(OR(AND(T25="Muy Baja",V25="Catastrófico"),AND(T25="Baja",V25="Catastrófico"),AND(T25="Media",V25="Catastrófico"),AND(T25="Alta",V25="Catastrófico"),AND(T25="Muy Alta",V25="Catastrófico")),"Extremo","")))),"")</f>
        <v>Alto</v>
      </c>
      <c r="Y25" s="281" t="s">
        <v>30</v>
      </c>
      <c r="Z25" s="1258" t="s">
        <v>666</v>
      </c>
      <c r="AA25" s="1259" t="s">
        <v>667</v>
      </c>
      <c r="AB25" s="1259" t="s">
        <v>579</v>
      </c>
      <c r="AC25" s="402">
        <v>44958</v>
      </c>
      <c r="AD25" s="402">
        <v>45260</v>
      </c>
      <c r="AE25" s="399"/>
      <c r="AF25" s="286"/>
      <c r="AG25" s="287"/>
      <c r="AH25" s="155"/>
      <c r="AO25" s="155"/>
      <c r="AP25" s="155"/>
      <c r="AQ25" s="157"/>
      <c r="AR25" s="157"/>
      <c r="AS25" s="157"/>
      <c r="AT25" s="157"/>
      <c r="AU25" s="157"/>
      <c r="AV25" s="157"/>
      <c r="AW25" s="157"/>
      <c r="AX25" s="157"/>
      <c r="AY25" s="157"/>
      <c r="AZ25" s="157"/>
      <c r="BA25" s="157"/>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30.75" customHeight="1" x14ac:dyDescent="0.25">
      <c r="C26" s="776"/>
      <c r="D26" s="711"/>
      <c r="E26" s="779"/>
      <c r="F26" s="615"/>
      <c r="G26" s="782"/>
      <c r="H26" s="615"/>
      <c r="I26" s="620"/>
      <c r="J26" s="784" t="s">
        <v>575</v>
      </c>
      <c r="K26" s="315"/>
      <c r="L26" s="315"/>
      <c r="M26" s="315"/>
      <c r="N26" s="315"/>
      <c r="O26" s="315"/>
      <c r="P26" s="315"/>
      <c r="Q26" s="315"/>
      <c r="R26" s="384" t="s">
        <v>577</v>
      </c>
      <c r="S26" s="376">
        <f>(($S$24*$O$25))</f>
        <v>0.14399999999999999</v>
      </c>
      <c r="T26" s="284"/>
      <c r="U26" s="282"/>
      <c r="V26" s="284"/>
      <c r="W26" s="282"/>
      <c r="X26" s="285"/>
      <c r="Y26" s="281"/>
      <c r="Z26" s="175"/>
      <c r="AA26" s="286"/>
      <c r="AB26" s="403"/>
      <c r="AC26" s="402"/>
      <c r="AD26" s="402"/>
      <c r="AE26" s="400"/>
      <c r="AF26" s="175"/>
      <c r="AG26" s="175"/>
      <c r="AH26" s="155"/>
      <c r="AO26" s="155"/>
      <c r="AP26" s="155"/>
      <c r="AQ26" s="157"/>
      <c r="AR26" s="157"/>
      <c r="AS26" s="157"/>
      <c r="AT26" s="157"/>
      <c r="AU26" s="157"/>
      <c r="AV26" s="157"/>
      <c r="AW26" s="157"/>
      <c r="AX26" s="157"/>
      <c r="AY26" s="157"/>
      <c r="AZ26" s="157"/>
      <c r="BA26" s="157"/>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ht="84" customHeight="1" x14ac:dyDescent="0.25">
      <c r="C27" s="182" t="s">
        <v>513</v>
      </c>
      <c r="D27" s="304">
        <f>VLOOKUP(D24,D81:F85,2,0)</f>
        <v>0</v>
      </c>
      <c r="E27" s="304"/>
      <c r="F27" s="304">
        <f>VLOOKUP(F24,D89:F93,2,0)</f>
        <v>0</v>
      </c>
      <c r="G27" s="370"/>
      <c r="J27" s="784"/>
      <c r="K27" s="315"/>
      <c r="L27" s="315"/>
      <c r="M27" s="315"/>
      <c r="N27" s="315"/>
      <c r="O27" s="315"/>
      <c r="P27" s="315"/>
      <c r="Q27" s="315"/>
      <c r="R27" s="384" t="s">
        <v>577</v>
      </c>
      <c r="S27" s="376">
        <f>(($S$24-$S$26))</f>
        <v>0.216</v>
      </c>
      <c r="T27" s="284" t="str">
        <f>IFERROR(IF(S27="","",IF(S27&lt;=0.2,"Muy Baja",IF(S27&lt;=0.4,"Baja",IF(S27&lt;=0.6,"Media",IF(S27&lt;=0.8,"Alta","Muy Alta"))))),"")</f>
        <v>Baja</v>
      </c>
      <c r="U27" s="282">
        <f t="shared" ref="U27" si="0">+S27</f>
        <v>0.216</v>
      </c>
      <c r="V27" s="284" t="str">
        <f t="shared" ref="V27" si="1">IFERROR(IF(W27="","",IF(W27&lt;=0.2,"Leve",IF(W27&lt;=0.4,"Menor",IF(W27&lt;=0.6,"Moderado",IF(W27&lt;=0.8,"Mayor","Catastrófico"))))),"")</f>
        <v>Mayor</v>
      </c>
      <c r="W27" s="282">
        <f>IFERROR(IF(L25="Impacto",(G24-(+G24*O25)),IF(L25="Probabilidad",G24,"")),"")</f>
        <v>0.8</v>
      </c>
      <c r="X27" s="285" t="str">
        <f t="shared" ref="X27" si="2">IFERROR(IF(OR(AND(T27="Muy Baja",V27="Leve"),AND(T27="Muy Baja",V27="Menor"),AND(T27="Baja",V27="Leve")),"Bajo",IF(OR(AND(T27="Muy baja",V27="Moderado"),AND(T27="Baja",V27="Menor"),AND(T27="Baja",V27="Moderado"),AND(T27="Media",V27="Leve"),AND(T27="Media",V27="Menor"),AND(T27="Media",V27="Moderado"),AND(T27="Alta",V27="Leve"),AND(T27="Alta",V27="Menor")),"Moderado",IF(OR(AND(T27="Muy Baja",V27="Mayor"),AND(T27="Baja",V27="Mayor"),AND(T27="Media",V27="Mayor"),AND(T27="Alta",V27="Moderado"),AND(T27="Alta",V27="Mayor"),AND(T27="Muy Alta",V27="Leve"),AND(T27="Muy Alta",V27="Menor"),AND(T27="Muy Alta",V27="Moderado"),AND(T27="Muy Alta",V27="Mayor")),"Alto",IF(OR(AND(T27="Muy Baja",V27="Catastrófico"),AND(T27="Baja",V27="Catastrófico"),AND(T27="Media",V27="Catastrófico"),AND(T27="Alta",V27="Catastrófico"),AND(T27="Muy Alta",V27="Catastrófico")),"Extremo","")))),"")</f>
        <v>Alto</v>
      </c>
      <c r="Y27" s="158"/>
      <c r="Z27" s="158"/>
      <c r="AA27" s="158"/>
      <c r="AB27" s="147"/>
      <c r="AC27" s="147"/>
      <c r="AD27" s="147"/>
      <c r="AE27" s="316"/>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ht="27.75" customHeight="1" x14ac:dyDescent="0.25">
      <c r="F28" s="167"/>
      <c r="G28" s="167"/>
      <c r="J28" s="157"/>
      <c r="K28" s="377"/>
      <c r="L28" s="377"/>
      <c r="M28" s="377"/>
      <c r="N28" s="377"/>
      <c r="O28" s="377"/>
      <c r="P28" s="377"/>
      <c r="Q28" s="377"/>
      <c r="R28" s="377"/>
      <c r="S28" s="322"/>
      <c r="T28" s="146"/>
      <c r="U28" s="146"/>
      <c r="V28" s="146"/>
      <c r="W28" s="146"/>
      <c r="X28" s="146"/>
      <c r="Y28" s="146"/>
      <c r="Z28" s="146"/>
      <c r="AA28" s="146"/>
      <c r="AB28" s="401"/>
      <c r="AC28" s="401"/>
      <c r="AD28" s="401"/>
      <c r="AE28" s="147"/>
      <c r="AF28" s="175"/>
      <c r="AG28" s="17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row>
    <row r="29" spans="3:97" x14ac:dyDescent="0.25">
      <c r="F29" s="168"/>
      <c r="G29" s="168"/>
      <c r="J29" s="157"/>
      <c r="K29" s="377"/>
      <c r="L29" s="377"/>
      <c r="M29" s="377"/>
      <c r="N29" s="377"/>
      <c r="O29" s="377"/>
      <c r="P29" s="377"/>
      <c r="Q29" s="377"/>
      <c r="R29" s="377"/>
      <c r="S29" s="322"/>
      <c r="T29" s="146"/>
      <c r="U29" s="146"/>
      <c r="V29" s="146"/>
      <c r="W29" s="146"/>
      <c r="X29" s="146"/>
      <c r="Y29" s="146"/>
      <c r="Z29" s="146"/>
      <c r="AA29" s="146"/>
      <c r="AB29" s="147"/>
      <c r="AC29" s="147"/>
      <c r="AD29" s="147"/>
      <c r="AE29" s="147"/>
      <c r="AF29" s="175"/>
      <c r="AG29" s="17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row>
    <row r="30" spans="3:97" x14ac:dyDescent="0.25">
      <c r="J30" s="157"/>
      <c r="K30" s="377"/>
      <c r="L30" s="377"/>
      <c r="M30" s="377"/>
      <c r="N30" s="377"/>
      <c r="O30" s="377"/>
      <c r="P30" s="377"/>
      <c r="Q30" s="377"/>
      <c r="R30" s="377"/>
      <c r="S30" s="322"/>
      <c r="AB30" s="147"/>
      <c r="AC30" s="147"/>
      <c r="AD30" s="147"/>
      <c r="AE30" s="147"/>
      <c r="AF30" s="175"/>
      <c r="AG30" s="175"/>
    </row>
    <row r="31" spans="3:97" x14ac:dyDescent="0.25">
      <c r="J31" s="758"/>
      <c r="K31" s="763"/>
      <c r="L31" s="763"/>
      <c r="M31" s="758"/>
      <c r="N31" s="758"/>
      <c r="O31" s="763"/>
      <c r="P31" s="763"/>
      <c r="Q31" s="763"/>
      <c r="R31" s="322"/>
      <c r="S31" s="322"/>
    </row>
    <row r="32" spans="3:97" ht="15" customHeight="1" x14ac:dyDescent="0.25">
      <c r="J32" s="758"/>
      <c r="K32" s="763"/>
      <c r="L32" s="763"/>
      <c r="M32" s="758"/>
      <c r="N32" s="758"/>
      <c r="O32" s="763"/>
      <c r="P32" s="763"/>
      <c r="Q32" s="763"/>
      <c r="R32" s="322"/>
      <c r="S32" s="322"/>
    </row>
    <row r="33" spans="4:23" ht="15" customHeight="1" x14ac:dyDescent="0.25">
      <c r="J33" s="758"/>
      <c r="K33" s="763"/>
      <c r="L33" s="763"/>
      <c r="M33" s="758"/>
      <c r="N33" s="758"/>
      <c r="O33" s="763"/>
      <c r="P33" s="763"/>
      <c r="Q33" s="763"/>
      <c r="R33" s="322"/>
      <c r="S33" s="322"/>
    </row>
    <row r="34" spans="4:23" x14ac:dyDescent="0.25">
      <c r="J34" s="758"/>
      <c r="K34" s="763"/>
      <c r="L34" s="763"/>
      <c r="M34" s="758"/>
      <c r="N34" s="758"/>
      <c r="O34" s="763"/>
      <c r="P34" s="763"/>
      <c r="Q34" s="763"/>
      <c r="R34" s="322"/>
      <c r="S34" s="322"/>
    </row>
    <row r="36" spans="4:23" ht="15" customHeight="1" x14ac:dyDescent="0.25"/>
    <row r="38" spans="4:23" ht="15" customHeight="1" x14ac:dyDescent="0.25">
      <c r="S38" s="766"/>
      <c r="T38" s="766"/>
      <c r="U38" s="766"/>
      <c r="V38" s="766"/>
      <c r="W38" s="766"/>
    </row>
    <row r="39" spans="4:23" ht="15" customHeight="1" x14ac:dyDescent="0.25">
      <c r="D39" s="767" t="s">
        <v>247</v>
      </c>
      <c r="E39" s="767"/>
      <c r="F39" s="767"/>
      <c r="G39" s="767"/>
      <c r="H39" s="767"/>
      <c r="J39" s="768"/>
      <c r="K39" s="768"/>
      <c r="L39" s="768"/>
      <c r="M39" s="768"/>
      <c r="N39" s="768"/>
      <c r="O39" s="768"/>
      <c r="P39" s="768"/>
      <c r="Q39" s="768"/>
      <c r="S39" s="766"/>
      <c r="T39" s="766"/>
      <c r="U39" s="766"/>
      <c r="V39" s="766"/>
      <c r="W39" s="766"/>
    </row>
    <row r="40" spans="4:23" x14ac:dyDescent="0.25">
      <c r="D40" s="146"/>
      <c r="E40" s="146"/>
      <c r="F40" s="146"/>
      <c r="G40" s="146"/>
      <c r="H40" s="146"/>
    </row>
    <row r="41" spans="4:23" ht="15" customHeight="1" x14ac:dyDescent="0.25">
      <c r="D41" s="769" t="s">
        <v>204</v>
      </c>
      <c r="E41" s="152"/>
      <c r="F41" s="771" t="s">
        <v>248</v>
      </c>
      <c r="G41" s="356"/>
      <c r="H41" s="153" t="s">
        <v>249</v>
      </c>
      <c r="L41" s="773"/>
      <c r="M41" s="773"/>
      <c r="N41" s="773"/>
      <c r="O41" s="773"/>
      <c r="P41" s="773"/>
      <c r="Q41" s="773"/>
      <c r="S41" s="614"/>
      <c r="T41" s="614"/>
      <c r="U41" s="614"/>
      <c r="V41" s="614"/>
      <c r="W41" s="614"/>
    </row>
    <row r="42" spans="4:23" x14ac:dyDescent="0.25">
      <c r="D42" s="770"/>
      <c r="E42" s="355"/>
      <c r="F42" s="772"/>
      <c r="G42" s="357"/>
      <c r="H42" s="350" t="s">
        <v>257</v>
      </c>
      <c r="J42" s="177"/>
      <c r="K42" s="177"/>
      <c r="L42" s="163"/>
      <c r="M42" s="163"/>
      <c r="N42" s="163"/>
      <c r="O42" s="163"/>
      <c r="P42" s="163"/>
      <c r="Q42" s="163"/>
      <c r="S42" s="614"/>
      <c r="T42" s="614"/>
      <c r="U42" s="614"/>
      <c r="V42" s="614"/>
      <c r="W42" s="614"/>
    </row>
    <row r="43" spans="4:23" ht="42.75" customHeight="1" x14ac:dyDescent="0.25">
      <c r="D43" s="362">
        <v>1</v>
      </c>
      <c r="E43" s="362"/>
      <c r="F43" s="361" t="s">
        <v>262</v>
      </c>
      <c r="G43" s="361"/>
      <c r="H43" s="360" t="s">
        <v>377</v>
      </c>
      <c r="J43" s="762"/>
      <c r="K43" s="761"/>
      <c r="L43" s="758"/>
      <c r="M43" s="763"/>
      <c r="N43" s="758"/>
      <c r="O43" s="763"/>
      <c r="P43" s="758"/>
      <c r="Q43" s="763"/>
      <c r="S43" s="614"/>
      <c r="T43" s="614"/>
      <c r="U43" s="614"/>
      <c r="V43" s="614"/>
      <c r="W43" s="614"/>
    </row>
    <row r="44" spans="4:23" ht="43.5" customHeight="1" x14ac:dyDescent="0.25">
      <c r="D44" s="362">
        <v>2</v>
      </c>
      <c r="E44" s="362"/>
      <c r="F44" s="361" t="s">
        <v>266</v>
      </c>
      <c r="G44" s="361"/>
      <c r="H44" s="360" t="s">
        <v>377</v>
      </c>
      <c r="J44" s="762"/>
      <c r="K44" s="761"/>
      <c r="L44" s="758"/>
      <c r="M44" s="763"/>
      <c r="N44" s="758"/>
      <c r="O44" s="763"/>
      <c r="P44" s="758"/>
      <c r="Q44" s="763"/>
      <c r="S44" s="149"/>
      <c r="T44" s="149"/>
      <c r="U44" s="149"/>
      <c r="V44" s="149"/>
      <c r="W44" s="149"/>
    </row>
    <row r="45" spans="4:23" ht="30" x14ac:dyDescent="0.25">
      <c r="D45" s="362">
        <v>3</v>
      </c>
      <c r="E45" s="362"/>
      <c r="F45" s="361" t="s">
        <v>269</v>
      </c>
      <c r="G45" s="361"/>
      <c r="H45" s="360" t="s">
        <v>377</v>
      </c>
      <c r="J45" s="762"/>
      <c r="K45" s="386"/>
      <c r="L45" s="358"/>
      <c r="M45" s="385"/>
      <c r="N45" s="358"/>
      <c r="O45" s="385"/>
      <c r="P45" s="358"/>
      <c r="Q45" s="385"/>
      <c r="S45" s="149"/>
      <c r="T45" s="149"/>
      <c r="U45" s="149"/>
      <c r="V45" s="149"/>
      <c r="W45" s="149"/>
    </row>
    <row r="46" spans="4:23" ht="46.5" customHeight="1" x14ac:dyDescent="0.25">
      <c r="D46" s="362">
        <v>4</v>
      </c>
      <c r="E46" s="362"/>
      <c r="F46" s="361" t="s">
        <v>273</v>
      </c>
      <c r="G46" s="361"/>
      <c r="H46" s="360" t="s">
        <v>378</v>
      </c>
      <c r="J46" s="765"/>
      <c r="K46" s="761"/>
      <c r="L46" s="762"/>
      <c r="M46" s="763"/>
      <c r="N46" s="762"/>
      <c r="O46" s="763"/>
      <c r="P46" s="762"/>
      <c r="Q46" s="763"/>
      <c r="S46" s="149"/>
      <c r="T46" s="149"/>
      <c r="U46" s="149"/>
      <c r="V46" s="149"/>
      <c r="W46" s="149"/>
    </row>
    <row r="47" spans="4:23" ht="46.5" customHeight="1" x14ac:dyDescent="0.25">
      <c r="D47" s="362">
        <v>5</v>
      </c>
      <c r="E47" s="362"/>
      <c r="F47" s="361" t="s">
        <v>278</v>
      </c>
      <c r="G47" s="361"/>
      <c r="H47" s="360" t="s">
        <v>377</v>
      </c>
      <c r="J47" s="765"/>
      <c r="K47" s="761"/>
      <c r="L47" s="762"/>
      <c r="M47" s="763"/>
      <c r="N47" s="762"/>
      <c r="O47" s="763"/>
      <c r="P47" s="762"/>
      <c r="Q47" s="763"/>
      <c r="S47" s="149"/>
      <c r="T47" s="149"/>
      <c r="U47" s="149"/>
      <c r="V47" s="149"/>
      <c r="W47" s="149"/>
    </row>
    <row r="48" spans="4:23" ht="41.25" customHeight="1" x14ac:dyDescent="0.25">
      <c r="D48" s="362">
        <v>6</v>
      </c>
      <c r="E48" s="362"/>
      <c r="F48" s="361" t="s">
        <v>279</v>
      </c>
      <c r="G48" s="361"/>
      <c r="H48" s="360" t="s">
        <v>377</v>
      </c>
      <c r="J48" s="765"/>
      <c r="K48" s="761"/>
      <c r="L48" s="758"/>
      <c r="M48" s="763"/>
      <c r="N48" s="758"/>
      <c r="O48" s="763"/>
      <c r="P48" s="758"/>
      <c r="Q48" s="763"/>
      <c r="S48" s="149"/>
      <c r="T48" s="149"/>
      <c r="U48" s="149"/>
      <c r="V48" s="149"/>
      <c r="W48" s="149"/>
    </row>
    <row r="49" spans="4:25" ht="41.25" customHeight="1" x14ac:dyDescent="0.25">
      <c r="D49" s="362">
        <v>7</v>
      </c>
      <c r="E49" s="362"/>
      <c r="F49" s="361" t="s">
        <v>284</v>
      </c>
      <c r="G49" s="361"/>
      <c r="H49" s="360" t="s">
        <v>378</v>
      </c>
      <c r="J49" s="765"/>
      <c r="K49" s="761"/>
      <c r="L49" s="758"/>
      <c r="M49" s="763"/>
      <c r="N49" s="758"/>
      <c r="O49" s="763"/>
      <c r="P49" s="758"/>
      <c r="Q49" s="763"/>
      <c r="S49" s="149"/>
      <c r="T49" s="149"/>
      <c r="U49" s="149"/>
      <c r="V49" s="149"/>
      <c r="W49" s="149"/>
    </row>
    <row r="50" spans="4:25" ht="50.25" customHeight="1" x14ac:dyDescent="0.25">
      <c r="D50" s="362">
        <v>8</v>
      </c>
      <c r="E50" s="362"/>
      <c r="F50" s="361" t="s">
        <v>511</v>
      </c>
      <c r="G50" s="361"/>
      <c r="H50" s="360" t="s">
        <v>378</v>
      </c>
      <c r="J50" s="765"/>
      <c r="K50" s="761"/>
      <c r="L50" s="758"/>
      <c r="M50" s="763"/>
      <c r="N50" s="758"/>
      <c r="O50" s="763"/>
      <c r="P50" s="758"/>
      <c r="Q50" s="763"/>
      <c r="S50" s="149"/>
      <c r="T50" s="149"/>
      <c r="U50" s="149"/>
      <c r="V50" s="149"/>
      <c r="W50" s="149"/>
    </row>
    <row r="51" spans="4:25" ht="42" customHeight="1" x14ac:dyDescent="0.25">
      <c r="D51" s="362">
        <v>9</v>
      </c>
      <c r="E51" s="362"/>
      <c r="F51" s="361" t="s">
        <v>285</v>
      </c>
      <c r="G51" s="361"/>
      <c r="H51" s="360" t="s">
        <v>378</v>
      </c>
      <c r="J51" s="765"/>
      <c r="K51" s="761"/>
      <c r="L51" s="758"/>
      <c r="M51" s="763"/>
      <c r="N51" s="758"/>
      <c r="O51" s="763"/>
      <c r="P51" s="758"/>
      <c r="Q51" s="763"/>
      <c r="S51" s="149"/>
      <c r="T51" s="149"/>
      <c r="U51" s="149"/>
      <c r="V51" s="149"/>
      <c r="W51" s="149"/>
    </row>
    <row r="52" spans="4:25" ht="42" customHeight="1" x14ac:dyDescent="0.25">
      <c r="D52" s="362">
        <v>10</v>
      </c>
      <c r="E52" s="362"/>
      <c r="F52" s="361" t="s">
        <v>289</v>
      </c>
      <c r="G52" s="361"/>
      <c r="H52" s="360" t="s">
        <v>377</v>
      </c>
      <c r="J52" s="765"/>
      <c r="K52" s="761"/>
      <c r="L52" s="758"/>
      <c r="M52" s="763"/>
      <c r="N52" s="758"/>
      <c r="O52" s="763"/>
      <c r="P52" s="758"/>
      <c r="Q52" s="763"/>
      <c r="X52" s="359"/>
    </row>
    <row r="53" spans="4:25" ht="48.75" customHeight="1" x14ac:dyDescent="0.25">
      <c r="D53" s="362">
        <v>11</v>
      </c>
      <c r="E53" s="362"/>
      <c r="F53" s="361" t="s">
        <v>290</v>
      </c>
      <c r="G53" s="361"/>
      <c r="H53" s="360" t="s">
        <v>377</v>
      </c>
      <c r="J53" s="764"/>
      <c r="K53" s="761"/>
      <c r="L53" s="758"/>
      <c r="M53" s="763"/>
      <c r="N53" s="758"/>
      <c r="O53" s="763"/>
      <c r="P53" s="758"/>
      <c r="Q53" s="763"/>
      <c r="S53" s="758"/>
      <c r="T53" s="758"/>
      <c r="U53" s="758"/>
      <c r="V53" s="760"/>
      <c r="W53" s="359"/>
      <c r="X53" s="359"/>
      <c r="Y53" s="163"/>
    </row>
    <row r="54" spans="4:25" ht="21" customHeight="1" x14ac:dyDescent="0.25">
      <c r="D54" s="362">
        <v>12</v>
      </c>
      <c r="E54" s="362"/>
      <c r="F54" s="361" t="s">
        <v>296</v>
      </c>
      <c r="G54" s="361"/>
      <c r="H54" s="360" t="s">
        <v>377</v>
      </c>
      <c r="J54" s="764"/>
      <c r="K54" s="761"/>
      <c r="L54" s="758"/>
      <c r="M54" s="763"/>
      <c r="N54" s="758"/>
      <c r="O54" s="763"/>
      <c r="P54" s="758"/>
      <c r="Q54" s="763"/>
      <c r="S54" s="758"/>
      <c r="T54" s="758"/>
      <c r="U54" s="758"/>
      <c r="V54" s="760"/>
      <c r="W54" s="359"/>
      <c r="X54" s="359"/>
      <c r="Y54" s="163"/>
    </row>
    <row r="55" spans="4:25" ht="27.75" customHeight="1" x14ac:dyDescent="0.25">
      <c r="D55" s="362">
        <v>13</v>
      </c>
      <c r="E55" s="362"/>
      <c r="F55" s="361" t="s">
        <v>297</v>
      </c>
      <c r="G55" s="361"/>
      <c r="H55" s="360" t="s">
        <v>377</v>
      </c>
      <c r="J55" s="764"/>
      <c r="K55" s="761"/>
      <c r="L55" s="758"/>
      <c r="M55" s="763"/>
      <c r="N55" s="758"/>
      <c r="O55" s="763"/>
      <c r="P55" s="758"/>
      <c r="Q55" s="763"/>
      <c r="S55" s="758"/>
      <c r="T55" s="758"/>
      <c r="U55" s="758"/>
      <c r="V55" s="760"/>
      <c r="W55" s="359"/>
      <c r="Y55" s="163"/>
    </row>
    <row r="56" spans="4:25" ht="48" customHeight="1" x14ac:dyDescent="0.25">
      <c r="D56" s="362">
        <v>14</v>
      </c>
      <c r="E56" s="362"/>
      <c r="F56" s="361" t="s">
        <v>298</v>
      </c>
      <c r="G56" s="361"/>
      <c r="H56" s="360" t="s">
        <v>378</v>
      </c>
      <c r="J56" s="758"/>
      <c r="K56" s="761"/>
      <c r="L56" s="762"/>
      <c r="M56" s="763"/>
      <c r="N56" s="762"/>
      <c r="O56" s="763"/>
      <c r="P56" s="762"/>
      <c r="Q56" s="763"/>
      <c r="Y56" s="163"/>
    </row>
    <row r="57" spans="4:25" ht="48" customHeight="1" x14ac:dyDescent="0.25">
      <c r="D57" s="362">
        <v>15</v>
      </c>
      <c r="E57" s="362"/>
      <c r="F57" s="361" t="s">
        <v>302</v>
      </c>
      <c r="G57" s="361"/>
      <c r="H57" s="360" t="s">
        <v>377</v>
      </c>
      <c r="J57" s="758"/>
      <c r="K57" s="761"/>
      <c r="L57" s="762"/>
      <c r="M57" s="763"/>
      <c r="N57" s="762"/>
      <c r="O57" s="763"/>
      <c r="P57" s="762"/>
      <c r="Q57" s="763"/>
      <c r="Y57" s="163"/>
    </row>
    <row r="58" spans="4:25" ht="63" customHeight="1" x14ac:dyDescent="0.25">
      <c r="D58" s="164">
        <v>16</v>
      </c>
      <c r="E58" s="164"/>
      <c r="F58" s="297" t="s">
        <v>303</v>
      </c>
      <c r="G58" s="297"/>
      <c r="H58" s="360" t="s">
        <v>378</v>
      </c>
      <c r="K58" s="177"/>
      <c r="L58" s="177"/>
      <c r="M58" s="385"/>
      <c r="N58" s="163"/>
      <c r="O58" s="385"/>
      <c r="P58" s="163"/>
      <c r="Q58" s="385"/>
      <c r="Y58" s="163"/>
    </row>
    <row r="59" spans="4:25" ht="45" customHeight="1" x14ac:dyDescent="0.25">
      <c r="D59" s="362">
        <v>17</v>
      </c>
      <c r="E59" s="362"/>
      <c r="F59" s="298" t="s">
        <v>306</v>
      </c>
      <c r="G59" s="298"/>
      <c r="H59" s="360" t="s">
        <v>377</v>
      </c>
      <c r="J59" s="758"/>
      <c r="L59" s="154"/>
      <c r="M59" s="358"/>
      <c r="N59" s="177"/>
      <c r="O59" s="358"/>
      <c r="P59" s="177"/>
      <c r="Q59" s="358"/>
      <c r="Y59" s="163"/>
    </row>
    <row r="60" spans="4:25" ht="31.5" customHeight="1" x14ac:dyDescent="0.25">
      <c r="D60" s="362">
        <v>18</v>
      </c>
      <c r="E60" s="362"/>
      <c r="F60" s="298" t="s">
        <v>309</v>
      </c>
      <c r="G60" s="298"/>
      <c r="H60" s="360" t="s">
        <v>378</v>
      </c>
      <c r="J60" s="758"/>
      <c r="K60" s="168"/>
      <c r="L60" s="168"/>
      <c r="R60" s="758"/>
      <c r="Y60" s="163"/>
    </row>
    <row r="61" spans="4:25" ht="36.75" customHeight="1" x14ac:dyDescent="0.25">
      <c r="D61" s="363">
        <v>19</v>
      </c>
      <c r="E61" s="363"/>
      <c r="F61" s="176" t="s">
        <v>311</v>
      </c>
      <c r="G61" s="176"/>
      <c r="H61" s="360" t="s">
        <v>378</v>
      </c>
      <c r="J61" s="758"/>
      <c r="K61" s="168"/>
      <c r="L61" s="154"/>
      <c r="M61" s="759"/>
      <c r="N61" s="759"/>
      <c r="O61" s="759"/>
      <c r="P61" s="759"/>
      <c r="Q61" s="759"/>
      <c r="R61" s="758"/>
      <c r="S61" s="358"/>
      <c r="Y61" s="163"/>
    </row>
    <row r="62" spans="4:25" ht="33" customHeight="1" x14ac:dyDescent="0.25">
      <c r="F62" s="351" t="s">
        <v>314</v>
      </c>
      <c r="G62" s="351"/>
      <c r="H62" s="351">
        <f>COUNTIF(H43:H61,"Si")</f>
        <v>11</v>
      </c>
      <c r="J62" s="758"/>
      <c r="K62" s="168"/>
      <c r="L62" s="154"/>
      <c r="M62" s="759"/>
      <c r="N62" s="759"/>
      <c r="O62" s="759"/>
      <c r="P62" s="759"/>
      <c r="Q62" s="759"/>
      <c r="R62" s="758"/>
      <c r="S62" s="358"/>
      <c r="Y62" s="163"/>
    </row>
    <row r="63" spans="4:25" x14ac:dyDescent="0.25">
      <c r="J63" s="354"/>
      <c r="K63" s="157"/>
      <c r="R63" s="358"/>
      <c r="S63" s="358"/>
      <c r="Y63" s="163"/>
    </row>
    <row r="64" spans="4:25" x14ac:dyDescent="0.25">
      <c r="S64" s="358"/>
      <c r="Y64" s="163"/>
    </row>
    <row r="65" spans="4:25" x14ac:dyDescent="0.25">
      <c r="X65" s="163"/>
      <c r="Y65" s="163"/>
    </row>
    <row r="66" spans="4:25" x14ac:dyDescent="0.25">
      <c r="T66" s="163"/>
      <c r="U66" s="163"/>
      <c r="V66" s="163"/>
      <c r="W66" s="163"/>
      <c r="X66" s="163"/>
      <c r="Y66" s="163"/>
    </row>
    <row r="67" spans="4:25" x14ac:dyDescent="0.25">
      <c r="T67" s="163"/>
      <c r="U67" s="163"/>
      <c r="V67" s="163"/>
      <c r="W67" s="163"/>
    </row>
    <row r="80" spans="4:25" ht="21" customHeight="1" x14ac:dyDescent="0.3">
      <c r="D80" s="757" t="s">
        <v>522</v>
      </c>
      <c r="E80" s="757"/>
      <c r="F80" s="757"/>
      <c r="G80" s="146"/>
      <c r="I80" s="609" t="s">
        <v>469</v>
      </c>
      <c r="J80" s="609"/>
      <c r="K80" s="609"/>
      <c r="L80" s="609"/>
      <c r="M80" s="609"/>
    </row>
    <row r="81" spans="4:14" ht="21" customHeight="1" x14ac:dyDescent="0.3">
      <c r="D81" s="310" t="s">
        <v>514</v>
      </c>
      <c r="E81" s="310"/>
      <c r="F81" s="305">
        <v>0.2</v>
      </c>
      <c r="G81" s="371"/>
      <c r="I81" s="1"/>
      <c r="J81" s="5"/>
      <c r="K81" s="295" t="s">
        <v>13</v>
      </c>
      <c r="L81" s="295" t="s">
        <v>498</v>
      </c>
      <c r="M81" s="1"/>
      <c r="N81" s="140" t="s">
        <v>265</v>
      </c>
    </row>
    <row r="82" spans="4:14" ht="21" customHeight="1" x14ac:dyDescent="0.3">
      <c r="D82" s="310" t="s">
        <v>515</v>
      </c>
      <c r="E82" s="310"/>
      <c r="F82" s="305">
        <v>0.4</v>
      </c>
      <c r="G82" s="371"/>
      <c r="I82" s="1"/>
      <c r="J82" s="5"/>
      <c r="K82" s="1" t="s">
        <v>14</v>
      </c>
      <c r="L82" s="1" t="s">
        <v>595</v>
      </c>
      <c r="M82" s="1"/>
      <c r="N82" s="140" t="s">
        <v>559</v>
      </c>
    </row>
    <row r="83" spans="4:14" ht="21" customHeight="1" x14ac:dyDescent="0.3">
      <c r="D83" s="311" t="s">
        <v>516</v>
      </c>
      <c r="E83" s="311"/>
      <c r="F83" s="306">
        <v>0.6</v>
      </c>
      <c r="G83" s="372"/>
      <c r="I83"/>
      <c r="J83" s="5"/>
      <c r="K83" s="1" t="s">
        <v>15</v>
      </c>
      <c r="L83" s="1" t="s">
        <v>9</v>
      </c>
      <c r="M83" s="1"/>
    </row>
    <row r="84" spans="4:14" ht="21" customHeight="1" x14ac:dyDescent="0.3">
      <c r="D84" s="311" t="s">
        <v>517</v>
      </c>
      <c r="E84" s="311"/>
      <c r="F84" s="306">
        <v>0.8</v>
      </c>
      <c r="G84" s="372"/>
      <c r="I84" s="1"/>
      <c r="J84" s="5"/>
      <c r="K84" s="1" t="s">
        <v>16</v>
      </c>
      <c r="L84" s="1"/>
      <c r="M84" s="1"/>
      <c r="N84" s="140" t="s">
        <v>560</v>
      </c>
    </row>
    <row r="85" spans="4:14" ht="21" customHeight="1" x14ac:dyDescent="0.3">
      <c r="D85" s="312" t="s">
        <v>518</v>
      </c>
      <c r="E85" s="312"/>
      <c r="F85" s="307">
        <v>1</v>
      </c>
      <c r="G85" s="373"/>
      <c r="I85" s="1"/>
      <c r="J85" s="5"/>
      <c r="K85" s="1"/>
      <c r="L85" s="1"/>
      <c r="M85" s="1"/>
      <c r="N85" s="140" t="s">
        <v>561</v>
      </c>
    </row>
    <row r="86" spans="4:14" ht="21" customHeight="1" x14ac:dyDescent="0.3">
      <c r="D86" s="146"/>
      <c r="E86" s="146"/>
      <c r="F86" s="146"/>
      <c r="G86" s="146"/>
      <c r="I86" s="1"/>
      <c r="J86" s="5"/>
      <c r="K86" s="295" t="s">
        <v>18</v>
      </c>
      <c r="L86" s="295" t="s">
        <v>21</v>
      </c>
      <c r="M86" s="1"/>
    </row>
    <row r="87" spans="4:14" ht="21" customHeight="1" x14ac:dyDescent="0.3">
      <c r="D87" s="146"/>
      <c r="E87" s="146"/>
      <c r="F87" s="146"/>
      <c r="G87" s="146"/>
      <c r="I87" s="1"/>
      <c r="J87" s="5"/>
      <c r="K87" s="1" t="s">
        <v>493</v>
      </c>
      <c r="L87" s="1" t="s">
        <v>22</v>
      </c>
      <c r="M87" s="1"/>
      <c r="N87" s="140" t="s">
        <v>276</v>
      </c>
    </row>
    <row r="88" spans="4:14" ht="21" customHeight="1" x14ac:dyDescent="0.3">
      <c r="D88" s="757" t="s">
        <v>523</v>
      </c>
      <c r="E88" s="757"/>
      <c r="F88" s="757"/>
      <c r="G88" s="146"/>
      <c r="I88" s="1"/>
      <c r="J88" s="5"/>
      <c r="K88" s="1" t="s">
        <v>494</v>
      </c>
      <c r="L88" s="1" t="s">
        <v>23</v>
      </c>
      <c r="M88" s="1"/>
      <c r="N88" s="140" t="s">
        <v>562</v>
      </c>
    </row>
    <row r="89" spans="4:14" ht="21" customHeight="1" x14ac:dyDescent="0.3">
      <c r="D89" s="313" t="s">
        <v>519</v>
      </c>
      <c r="E89" s="313"/>
      <c r="F89" s="308">
        <v>0.2</v>
      </c>
      <c r="G89" s="374"/>
      <c r="I89" s="1"/>
      <c r="J89" s="5"/>
      <c r="K89" s="1"/>
      <c r="L89" s="1"/>
      <c r="M89" s="1"/>
    </row>
    <row r="90" spans="4:14" ht="21" customHeight="1" x14ac:dyDescent="0.3">
      <c r="D90" s="313" t="s">
        <v>520</v>
      </c>
      <c r="E90" s="313"/>
      <c r="F90" s="308">
        <v>0.4</v>
      </c>
      <c r="G90" s="374"/>
      <c r="I90" s="1"/>
      <c r="J90" s="5"/>
      <c r="K90" s="1"/>
      <c r="L90" s="1"/>
      <c r="M90" s="1"/>
      <c r="N90" s="140" t="s">
        <v>282</v>
      </c>
    </row>
    <row r="91" spans="4:14" ht="21" customHeight="1" x14ac:dyDescent="0.3">
      <c r="D91" s="311" t="s">
        <v>447</v>
      </c>
      <c r="E91" s="311"/>
      <c r="F91" s="306">
        <v>0.6</v>
      </c>
      <c r="G91" s="372"/>
      <c r="I91" s="1"/>
      <c r="J91" s="5"/>
      <c r="K91" s="295" t="s">
        <v>496</v>
      </c>
      <c r="L91" s="295" t="s">
        <v>29</v>
      </c>
      <c r="M91" s="1"/>
      <c r="N91" s="140" t="s">
        <v>336</v>
      </c>
    </row>
    <row r="92" spans="4:14" ht="21" customHeight="1" x14ac:dyDescent="0.3">
      <c r="D92" s="312" t="s">
        <v>521</v>
      </c>
      <c r="E92" s="312"/>
      <c r="F92" s="307">
        <v>0.8</v>
      </c>
      <c r="G92" s="373"/>
      <c r="I92" s="1"/>
      <c r="J92" s="5"/>
      <c r="K92" s="1" t="s">
        <v>497</v>
      </c>
      <c r="L92" s="1" t="s">
        <v>30</v>
      </c>
      <c r="M92" s="1"/>
      <c r="N92" s="140" t="s">
        <v>563</v>
      </c>
    </row>
    <row r="93" spans="4:14" ht="21" customHeight="1" x14ac:dyDescent="0.3">
      <c r="D93" s="314" t="s">
        <v>524</v>
      </c>
      <c r="E93" s="314"/>
      <c r="F93" s="309">
        <v>1</v>
      </c>
      <c r="G93" s="375"/>
      <c r="I93" s="1"/>
      <c r="J93" s="5"/>
      <c r="K93" s="1" t="s">
        <v>27</v>
      </c>
      <c r="L93" s="1" t="s">
        <v>504</v>
      </c>
      <c r="M93" s="1"/>
    </row>
    <row r="94" spans="4:14" ht="16.5" x14ac:dyDescent="0.3">
      <c r="I94" s="1"/>
      <c r="J94" s="5"/>
      <c r="K94" s="1"/>
      <c r="L94" s="1" t="s">
        <v>31</v>
      </c>
      <c r="M94" s="1"/>
      <c r="N94" s="140" t="s">
        <v>288</v>
      </c>
    </row>
    <row r="95" spans="4:14" ht="16.5" x14ac:dyDescent="0.3">
      <c r="I95" s="1"/>
      <c r="J95" s="5"/>
      <c r="K95" s="295" t="s">
        <v>39</v>
      </c>
      <c r="L95" s="1" t="s">
        <v>505</v>
      </c>
      <c r="M95" s="1"/>
      <c r="N95" s="140" t="s">
        <v>564</v>
      </c>
    </row>
    <row r="96" spans="4:14" ht="16.5" x14ac:dyDescent="0.3">
      <c r="I96" s="1"/>
      <c r="J96" s="5"/>
      <c r="K96" s="1" t="s">
        <v>40</v>
      </c>
      <c r="L96" s="1" t="s">
        <v>32</v>
      </c>
      <c r="M96" s="1"/>
    </row>
    <row r="97" spans="11:14" x14ac:dyDescent="0.25">
      <c r="K97" s="140" t="s">
        <v>41</v>
      </c>
      <c r="N97" s="140" t="s">
        <v>293</v>
      </c>
    </row>
    <row r="98" spans="11:14" x14ac:dyDescent="0.25">
      <c r="N98" s="140" t="s">
        <v>565</v>
      </c>
    </row>
    <row r="100" spans="11:14" x14ac:dyDescent="0.25">
      <c r="N100" s="140" t="s">
        <v>301</v>
      </c>
    </row>
    <row r="101" spans="11:14" x14ac:dyDescent="0.25">
      <c r="N101" s="140" t="s">
        <v>566</v>
      </c>
    </row>
    <row r="102" spans="11:14" x14ac:dyDescent="0.25">
      <c r="N102" s="140" t="s">
        <v>567</v>
      </c>
    </row>
    <row r="120" spans="6:6" x14ac:dyDescent="0.25">
      <c r="F120" s="140" t="s">
        <v>395</v>
      </c>
    </row>
    <row r="122" spans="6:6" x14ac:dyDescent="0.25">
      <c r="F122" s="140" t="s">
        <v>377</v>
      </c>
    </row>
    <row r="123" spans="6:6" x14ac:dyDescent="0.25">
      <c r="F123" s="140" t="s">
        <v>378</v>
      </c>
    </row>
    <row r="285" spans="10:20" x14ac:dyDescent="0.25">
      <c r="J285" s="165"/>
      <c r="K285" s="165"/>
      <c r="L285" s="165"/>
    </row>
    <row r="288" spans="10:20" x14ac:dyDescent="0.25">
      <c r="M288" s="165"/>
      <c r="N288" s="165"/>
      <c r="O288" s="165"/>
      <c r="S288" s="165"/>
      <c r="T288" s="165"/>
    </row>
    <row r="289" spans="4:18" x14ac:dyDescent="0.25">
      <c r="D289" s="143"/>
    </row>
    <row r="290" spans="4:18" x14ac:dyDescent="0.25">
      <c r="D290" s="143"/>
    </row>
    <row r="291" spans="4:18" x14ac:dyDescent="0.25">
      <c r="D291" s="143"/>
    </row>
    <row r="292" spans="4:18" x14ac:dyDescent="0.25">
      <c r="D292" s="143"/>
    </row>
    <row r="293" spans="4:18" x14ac:dyDescent="0.25">
      <c r="D293" s="143"/>
      <c r="I293" s="165"/>
      <c r="P293" s="165"/>
      <c r="Q293" s="165"/>
    </row>
    <row r="294" spans="4:18" x14ac:dyDescent="0.25">
      <c r="D294" s="166"/>
      <c r="E294" s="165"/>
      <c r="F294" s="165"/>
      <c r="G294" s="165"/>
      <c r="H294" s="165"/>
    </row>
    <row r="302" spans="4:18" x14ac:dyDescent="0.25">
      <c r="R302" s="165"/>
    </row>
  </sheetData>
  <mergeCells count="133">
    <mergeCell ref="I4:O4"/>
    <mergeCell ref="P4:S4"/>
    <mergeCell ref="T4:W4"/>
    <mergeCell ref="X4:AA4"/>
    <mergeCell ref="C6:AQ7"/>
    <mergeCell ref="C8:F8"/>
    <mergeCell ref="G8:S8"/>
    <mergeCell ref="T8:V8"/>
    <mergeCell ref="C9:F9"/>
    <mergeCell ref="G9:S9"/>
    <mergeCell ref="D10:F10"/>
    <mergeCell ref="I10:AA10"/>
    <mergeCell ref="C12:AA12"/>
    <mergeCell ref="C14:D14"/>
    <mergeCell ref="E14:F14"/>
    <mergeCell ref="G14:H14"/>
    <mergeCell ref="I14:J14"/>
    <mergeCell ref="M15:M17"/>
    <mergeCell ref="O15:O17"/>
    <mergeCell ref="C19:AG19"/>
    <mergeCell ref="C21:I22"/>
    <mergeCell ref="J21:R21"/>
    <mergeCell ref="S21:Y21"/>
    <mergeCell ref="Z21:AG21"/>
    <mergeCell ref="J22:J23"/>
    <mergeCell ref="K22:K23"/>
    <mergeCell ref="L22:L23"/>
    <mergeCell ref="C15:D17"/>
    <mergeCell ref="E15:F17"/>
    <mergeCell ref="G15:H17"/>
    <mergeCell ref="I15:J17"/>
    <mergeCell ref="K15:K17"/>
    <mergeCell ref="L15:L17"/>
    <mergeCell ref="AG22:AG23"/>
    <mergeCell ref="H23:I23"/>
    <mergeCell ref="AB22:AB23"/>
    <mergeCell ref="AC22:AC23"/>
    <mergeCell ref="C24:C26"/>
    <mergeCell ref="D24:D26"/>
    <mergeCell ref="E24:E26"/>
    <mergeCell ref="F24:F26"/>
    <mergeCell ref="G24:G26"/>
    <mergeCell ref="X22:X23"/>
    <mergeCell ref="Y22:Y23"/>
    <mergeCell ref="Z22:Z23"/>
    <mergeCell ref="AA22:AA23"/>
    <mergeCell ref="M22:R22"/>
    <mergeCell ref="S22:S23"/>
    <mergeCell ref="T22:T23"/>
    <mergeCell ref="U22:U23"/>
    <mergeCell ref="V22:V23"/>
    <mergeCell ref="W22:W23"/>
    <mergeCell ref="H24:I26"/>
    <mergeCell ref="J26:J27"/>
    <mergeCell ref="J31:J34"/>
    <mergeCell ref="K31:L34"/>
    <mergeCell ref="M31:N34"/>
    <mergeCell ref="O31:O34"/>
    <mergeCell ref="AD22:AD23"/>
    <mergeCell ref="AE22:AE23"/>
    <mergeCell ref="AF22:AF23"/>
    <mergeCell ref="P31:P34"/>
    <mergeCell ref="Q31:Q34"/>
    <mergeCell ref="S38:W39"/>
    <mergeCell ref="D39:H39"/>
    <mergeCell ref="J39:Q39"/>
    <mergeCell ref="D41:D42"/>
    <mergeCell ref="F41:F42"/>
    <mergeCell ref="L41:M41"/>
    <mergeCell ref="N41:O41"/>
    <mergeCell ref="P41:Q41"/>
    <mergeCell ref="S41:S43"/>
    <mergeCell ref="T41:T43"/>
    <mergeCell ref="U41:U43"/>
    <mergeCell ref="V41:V43"/>
    <mergeCell ref="W41:W43"/>
    <mergeCell ref="J43:J45"/>
    <mergeCell ref="K43:K44"/>
    <mergeCell ref="L43:L44"/>
    <mergeCell ref="M43:M44"/>
    <mergeCell ref="N43:N44"/>
    <mergeCell ref="O43:O44"/>
    <mergeCell ref="P43:P44"/>
    <mergeCell ref="Q43:Q44"/>
    <mergeCell ref="J46:J47"/>
    <mergeCell ref="K46:K47"/>
    <mergeCell ref="L46:L47"/>
    <mergeCell ref="M46:M47"/>
    <mergeCell ref="N46:N47"/>
    <mergeCell ref="O46:O47"/>
    <mergeCell ref="P46:P47"/>
    <mergeCell ref="Q46:Q47"/>
    <mergeCell ref="J48:J50"/>
    <mergeCell ref="K48:K50"/>
    <mergeCell ref="L48:L50"/>
    <mergeCell ref="M48:M50"/>
    <mergeCell ref="N48:N50"/>
    <mergeCell ref="O48:O50"/>
    <mergeCell ref="P48:P50"/>
    <mergeCell ref="Q48:Q50"/>
    <mergeCell ref="P51:P52"/>
    <mergeCell ref="Q51:Q52"/>
    <mergeCell ref="J53:J55"/>
    <mergeCell ref="K53:K55"/>
    <mergeCell ref="L53:L55"/>
    <mergeCell ref="M53:M55"/>
    <mergeCell ref="N53:N55"/>
    <mergeCell ref="O53:O55"/>
    <mergeCell ref="P53:P55"/>
    <mergeCell ref="Q53:Q55"/>
    <mergeCell ref="J51:J52"/>
    <mergeCell ref="K51:K52"/>
    <mergeCell ref="L51:L52"/>
    <mergeCell ref="M51:M52"/>
    <mergeCell ref="N51:N52"/>
    <mergeCell ref="O51:O52"/>
    <mergeCell ref="D88:F88"/>
    <mergeCell ref="J59:J62"/>
    <mergeCell ref="R60:R62"/>
    <mergeCell ref="M61:Q61"/>
    <mergeCell ref="M62:Q62"/>
    <mergeCell ref="D80:F80"/>
    <mergeCell ref="I80:M80"/>
    <mergeCell ref="S53:U55"/>
    <mergeCell ref="V53:V55"/>
    <mergeCell ref="J56:J57"/>
    <mergeCell ref="K56:K57"/>
    <mergeCell ref="L56:L57"/>
    <mergeCell ref="M56:M57"/>
    <mergeCell ref="N56:N57"/>
    <mergeCell ref="O56:O57"/>
    <mergeCell ref="P56:P57"/>
    <mergeCell ref="Q56:Q57"/>
  </mergeCells>
  <conditionalFormatting sqref="H24">
    <cfRule type="containsText" dxfId="379" priority="38" operator="containsText" text="Extremo">
      <formula>NOT(ISERROR(SEARCH("Extremo",H24)))</formula>
    </cfRule>
    <cfRule type="containsText" dxfId="378" priority="39" operator="containsText" text="Alto">
      <formula>NOT(ISERROR(SEARCH("Alto",H24)))</formula>
    </cfRule>
    <cfRule type="containsText" dxfId="377" priority="40" operator="containsText" text="Moderado">
      <formula>NOT(ISERROR(SEARCH("Moderado",H24)))</formula>
    </cfRule>
    <cfRule type="containsText" dxfId="376" priority="41" operator="containsText" text="Bajo">
      <formula>NOT(ISERROR(SEARCH("Bajo",H24)))</formula>
    </cfRule>
  </conditionalFormatting>
  <conditionalFormatting sqref="R31:S34 S26:S30">
    <cfRule type="containsText" dxfId="375" priority="35" operator="containsText" text="Fuerte">
      <formula>NOT(ISERROR(SEARCH("Fuerte",R26)))</formula>
    </cfRule>
    <cfRule type="containsText" dxfId="374" priority="36" operator="containsText" text="Moderado">
      <formula>NOT(ISERROR(SEARCH("Moderado",R26)))</formula>
    </cfRule>
    <cfRule type="containsText" dxfId="373" priority="37" operator="containsText" text="Débil">
      <formula>NOT(ISERROR(SEARCH("Débil",R26)))</formula>
    </cfRule>
  </conditionalFormatting>
  <conditionalFormatting sqref="D24">
    <cfRule type="cellIs" dxfId="372" priority="30" operator="equal">
      <formula>"Muy Alta"</formula>
    </cfRule>
    <cfRule type="cellIs" dxfId="371" priority="31" operator="equal">
      <formula>"Alta"</formula>
    </cfRule>
    <cfRule type="cellIs" dxfId="370" priority="32" operator="equal">
      <formula>"Media"</formula>
    </cfRule>
    <cfRule type="cellIs" dxfId="369" priority="33" operator="equal">
      <formula>"Baja"</formula>
    </cfRule>
    <cfRule type="cellIs" dxfId="368" priority="34" operator="equal">
      <formula>"Muy Baja"</formula>
    </cfRule>
  </conditionalFormatting>
  <conditionalFormatting sqref="T24:T27">
    <cfRule type="cellIs" dxfId="367" priority="10" operator="equal">
      <formula>"Muy Alta"</formula>
    </cfRule>
    <cfRule type="cellIs" dxfId="366" priority="11" operator="equal">
      <formula>"Alta"</formula>
    </cfRule>
    <cfRule type="cellIs" dxfId="365" priority="12" operator="equal">
      <formula>"Media"</formula>
    </cfRule>
    <cfRule type="cellIs" dxfId="364" priority="13" operator="equal">
      <formula>"Baja"</formula>
    </cfRule>
    <cfRule type="cellIs" dxfId="363" priority="14" operator="equal">
      <formula>"Muy Baja"</formula>
    </cfRule>
  </conditionalFormatting>
  <conditionalFormatting sqref="V24:V27">
    <cfRule type="cellIs" dxfId="362" priority="5" operator="equal">
      <formula>"Catastrófico"</formula>
    </cfRule>
    <cfRule type="cellIs" dxfId="361" priority="6" operator="equal">
      <formula>"Mayor"</formula>
    </cfRule>
    <cfRule type="cellIs" dxfId="360" priority="7" operator="equal">
      <formula>"Moderado"</formula>
    </cfRule>
    <cfRule type="cellIs" dxfId="359" priority="8" operator="equal">
      <formula>"Menor"</formula>
    </cfRule>
    <cfRule type="cellIs" dxfId="358" priority="9" operator="equal">
      <formula>"Leve"</formula>
    </cfRule>
  </conditionalFormatting>
  <conditionalFormatting sqref="X24:X27">
    <cfRule type="cellIs" dxfId="357" priority="1" operator="equal">
      <formula>"Extremo"</formula>
    </cfRule>
    <cfRule type="cellIs" dxfId="356" priority="2" operator="equal">
      <formula>"Alto"</formula>
    </cfRule>
    <cfRule type="cellIs" dxfId="355" priority="3" operator="equal">
      <formula>"Moderado"</formula>
    </cfRule>
    <cfRule type="cellIs" dxfId="354" priority="4" operator="equal">
      <formula>"Bajo"</formula>
    </cfRule>
  </conditionalFormatting>
  <dataValidations count="15">
    <dataValidation type="list" allowBlank="1" showInputMessage="1" showErrorMessage="1" sqref="H43:H61" xr:uid="{484A9609-190A-427E-8479-B2F2D976A596}">
      <formula1>$F$122:$F$123</formula1>
    </dataValidation>
    <dataValidation type="list" allowBlank="1" showInputMessage="1" showErrorMessage="1" sqref="M24:M25" xr:uid="{229E5D51-D266-4B50-A523-F07CBDF9F07C}">
      <formula1>$K$82:$K$84</formula1>
    </dataValidation>
    <dataValidation type="list" allowBlank="1" showInputMessage="1" showErrorMessage="1" sqref="N24:N25" xr:uid="{AC49014A-B395-424B-901D-4C0D3D855414}">
      <formula1>$L$82:$L$83</formula1>
    </dataValidation>
    <dataValidation type="list" allowBlank="1" showInputMessage="1" showErrorMessage="1" sqref="P24:P25" xr:uid="{AF058D1B-2043-41D9-9407-01C053EBF74E}">
      <formula1>$K$87:$K$88</formula1>
    </dataValidation>
    <dataValidation type="list" allowBlank="1" showInputMessage="1" showErrorMessage="1" sqref="Q24:Q25" xr:uid="{CD692D4B-D7BD-4E16-907E-A59FD7B18607}">
      <formula1>$L$87:$L$88</formula1>
    </dataValidation>
    <dataValidation type="list" allowBlank="1" showInputMessage="1" showErrorMessage="1" sqref="R24:R25" xr:uid="{B62A5623-736F-4688-B487-AE931D68CF2A}">
      <formula1>$K$92:$K$93</formula1>
    </dataValidation>
    <dataValidation type="list" allowBlank="1" showInputMessage="1" showErrorMessage="1" sqref="Y24:Y26" xr:uid="{1EB49D0E-5AE0-442C-8128-716959B41335}">
      <formula1>$L$92:$L$96</formula1>
    </dataValidation>
    <dataValidation type="list" allowBlank="1" showInputMessage="1" showErrorMessage="1" sqref="AG24:AG25" xr:uid="{94546DF1-1109-4657-8106-D010E810AE1A}">
      <formula1>$K$96:$K$97</formula1>
    </dataValidation>
    <dataValidation type="list" allowBlank="1" showInputMessage="1" showErrorMessage="1" sqref="L43:L44 N43:N44 P43:P44" xr:uid="{7A74AA15-BBFE-4183-A22F-85021DC84616}">
      <formula1>$N$81:$N$82</formula1>
    </dataValidation>
    <dataValidation type="list" allowBlank="1" showInputMessage="1" showErrorMessage="1" sqref="L45 N45 P45" xr:uid="{9A91B071-6AAE-4C9E-B6CE-2F40AD0424C0}">
      <formula1>$N$84:$N$85</formula1>
    </dataValidation>
    <dataValidation type="list" allowBlank="1" showInputMessage="1" showErrorMessage="1" sqref="L46:L47 N46:N47 P46:P47" xr:uid="{88830D3A-FD55-4EEB-9BE8-4325F12564A6}">
      <formula1>$N$87:$N$88</formula1>
    </dataValidation>
    <dataValidation type="list" allowBlank="1" showInputMessage="1" showErrorMessage="1" sqref="L48:L50 N48:N50 P48:P50" xr:uid="{E34984F5-3146-4065-9DEE-CAFD01AA964E}">
      <formula1>$N$90:$N$92</formula1>
    </dataValidation>
    <dataValidation type="list" allowBlank="1" showInputMessage="1" showErrorMessage="1" sqref="L51:L52 N51:N52 P51:P52" xr:uid="{FBB4C815-AE57-4A1C-B2BD-6DD1B2BD7AAB}">
      <formula1>$N$94:$N$95</formula1>
    </dataValidation>
    <dataValidation type="list" allowBlank="1" showInputMessage="1" showErrorMessage="1" sqref="L53:L55 N53:N55 P53:P55" xr:uid="{6FAB6735-42E4-4543-919F-1B8181F8DBA9}">
      <formula1>$N$97:$N$98</formula1>
    </dataValidation>
    <dataValidation type="list" allowBlank="1" showInputMessage="1" showErrorMessage="1" sqref="L56:L57 N56:N57 P56:P57" xr:uid="{333DBC04-EDBE-4730-BB07-A26AA44CC641}">
      <formula1>$N$100:$N$102</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5" stopIfTrue="1" operator="containsText" id="{E898BDB0-858A-4E3D-8D48-7ACC2426EA66}">
            <xm:f>NOT(ISERROR(SEARCH($D$92,F24)))</xm:f>
            <xm:f>$D$92</xm:f>
            <x14:dxf>
              <fill>
                <patternFill>
                  <bgColor theme="9" tint="-0.24994659260841701"/>
                </patternFill>
              </fill>
            </x14:dxf>
          </x14:cfRule>
          <x14:cfRule type="containsText" priority="26" stopIfTrue="1" operator="containsText" id="{D1DD811E-9479-4B65-8861-75DC84DFC1CC}">
            <xm:f>NOT(ISERROR(SEARCH($D$93,F24)))</xm:f>
            <xm:f>$D$93</xm:f>
            <x14:dxf>
              <fill>
                <patternFill>
                  <bgColor rgb="FFFF0000"/>
                </patternFill>
              </fill>
            </x14:dxf>
          </x14:cfRule>
          <x14:cfRule type="containsText" priority="27" stopIfTrue="1" operator="containsText" id="{B0C73713-8ED0-44BA-8CF7-6991EF974A88}">
            <xm:f>NOT(ISERROR(SEARCH($D$90,F24)))</xm:f>
            <xm:f>$D$90</xm:f>
            <x14:dxf>
              <fill>
                <patternFill>
                  <bgColor theme="6"/>
                </patternFill>
              </fill>
            </x14:dxf>
          </x14:cfRule>
          <x14:cfRule type="containsText" priority="28" stopIfTrue="1" operator="containsText" id="{4FDBE2A0-C708-4E38-A49F-37C092332ACE}">
            <xm:f>NOT(ISERROR(SEARCH($D$91,F24)))</xm:f>
            <xm:f>$D$91</xm:f>
            <x14:dxf>
              <fill>
                <patternFill>
                  <bgColor rgb="FFFFFF00"/>
                </patternFill>
              </fill>
            </x14:dxf>
          </x14:cfRule>
          <x14:cfRule type="containsText" priority="29" stopIfTrue="1" operator="containsText" id="{76A7EE79-7E76-4CFB-90EF-6A101B8306F3}">
            <xm:f>NOT(ISERROR(SEARCH($D$89,F24)))</xm:f>
            <xm:f>$D$89</xm:f>
            <x14:dxf>
              <fill>
                <patternFill>
                  <bgColor theme="6"/>
                </patternFill>
              </fill>
            </x14:dxf>
          </x14:cfRule>
          <xm:sqref>F24:G24 F25:F26</xm:sqref>
        </x14:conditionalFormatting>
        <x14:conditionalFormatting xmlns:xm="http://schemas.microsoft.com/office/excel/2006/main">
          <x14:cfRule type="containsText" priority="20" stopIfTrue="1" operator="containsText" id="{B0C784B7-9B4A-4EBD-ACCF-E7349D18FE81}">
            <xm:f>NOT(ISERROR(SEARCH($F$85,D27)))</xm:f>
            <xm:f>$F$85</xm:f>
            <x14:dxf>
              <fill>
                <patternFill>
                  <bgColor theme="9" tint="-0.24994659260841701"/>
                </patternFill>
              </fill>
            </x14:dxf>
          </x14:cfRule>
          <x14:cfRule type="containsText" priority="21" stopIfTrue="1" operator="containsText" id="{81EF57E8-C954-4815-9C50-FF845C856529}">
            <xm:f>NOT(ISERROR(SEARCH($F$84,D27)))</xm:f>
            <xm:f>$F$84</xm:f>
            <x14:dxf>
              <fill>
                <patternFill>
                  <bgColor rgb="FFFFFF00"/>
                </patternFill>
              </fill>
            </x14:dxf>
          </x14:cfRule>
          <x14:cfRule type="containsText" priority="22" stopIfTrue="1" operator="containsText" id="{47E767DB-0655-4997-BBCC-5923C1F3A0A3}">
            <xm:f>NOT(ISERROR(SEARCH($F$83,D27)))</xm:f>
            <xm:f>$F$83</xm:f>
            <x14:dxf>
              <fill>
                <patternFill>
                  <bgColor rgb="FFFFFF00"/>
                </patternFill>
              </fill>
            </x14:dxf>
          </x14:cfRule>
          <x14:cfRule type="containsText" priority="23" stopIfTrue="1" operator="containsText" id="{F79355A5-D418-4328-A283-F131D99F4F8A}">
            <xm:f>NOT(ISERROR(SEARCH($F$82,D27)))</xm:f>
            <xm:f>$F$82</xm:f>
            <x14:dxf>
              <fill>
                <patternFill>
                  <bgColor rgb="FF92D050"/>
                </patternFill>
              </fill>
            </x14:dxf>
          </x14:cfRule>
          <x14:cfRule type="containsText" priority="24" stopIfTrue="1" operator="containsText" id="{9FF2E6D9-EE42-47B2-B070-8F01DE413B5C}">
            <xm:f>NOT(ISERROR(SEARCH($F$81,D27)))</xm:f>
            <xm:f>$F$81</xm:f>
            <x14:dxf>
              <fill>
                <patternFill>
                  <bgColor rgb="FF92D050"/>
                </patternFill>
              </fill>
            </x14:dxf>
          </x14:cfRule>
          <xm:sqref>D27:E27</xm:sqref>
        </x14:conditionalFormatting>
        <x14:conditionalFormatting xmlns:xm="http://schemas.microsoft.com/office/excel/2006/main">
          <x14:cfRule type="containsText" priority="15" stopIfTrue="1" operator="containsText" id="{182A3FEE-5635-407E-BCE1-58D64853F633}">
            <xm:f>NOT(ISERROR(SEARCH($F$93,F27)))</xm:f>
            <xm:f>$F$93</xm:f>
            <x14:dxf>
              <fill>
                <patternFill>
                  <bgColor rgb="FFFF0000"/>
                </patternFill>
              </fill>
            </x14:dxf>
          </x14:cfRule>
          <x14:cfRule type="containsText" priority="16" stopIfTrue="1" operator="containsText" id="{8F69F4A4-E480-4DDC-9020-523E9BF432CB}">
            <xm:f>NOT(ISERROR(SEARCH($F$92,F27)))</xm:f>
            <xm:f>$F$92</xm:f>
            <x14:dxf>
              <fill>
                <patternFill>
                  <bgColor theme="9" tint="-0.24994659260841701"/>
                </patternFill>
              </fill>
            </x14:dxf>
          </x14:cfRule>
          <x14:cfRule type="containsText" priority="17" stopIfTrue="1" operator="containsText" id="{359E9876-5401-49D8-9A02-36BBF9D2CBE4}">
            <xm:f>NOT(ISERROR(SEARCH($F$91,F27)))</xm:f>
            <xm:f>$F$91</xm:f>
            <x14:dxf>
              <fill>
                <patternFill>
                  <bgColor rgb="FFFFFF00"/>
                </patternFill>
              </fill>
            </x14:dxf>
          </x14:cfRule>
          <x14:cfRule type="containsText" priority="18" stopIfTrue="1" operator="containsText" id="{93855A2F-216A-4544-9CFD-E65E00718868}">
            <xm:f>NOT(ISERROR(SEARCH($F$90,F27)))</xm:f>
            <xm:f>$F$90</xm:f>
            <x14:dxf>
              <fill>
                <patternFill>
                  <bgColor rgb="FF92D050"/>
                </patternFill>
              </fill>
            </x14:dxf>
          </x14:cfRule>
          <x14:cfRule type="containsText" priority="19" stopIfTrue="1" operator="containsText" id="{DCFE7A66-40D3-4E4A-8CFD-FCAB2EC9917E}">
            <xm:f>NOT(ISERROR(SEARCH($F$89,F27)))</xm:f>
            <xm:f>$F$89</xm:f>
            <x14:dxf>
              <fill>
                <patternFill>
                  <bgColor rgb="FF92D050"/>
                </patternFill>
              </fill>
            </x14:dxf>
          </x14:cfRule>
          <xm:sqref>F27:G27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D440C-75C2-42DE-9D05-2789C0DA81D0}">
  <sheetPr>
    <tabColor rgb="FFFF0000"/>
  </sheetPr>
  <dimension ref="B1:CS301"/>
  <sheetViews>
    <sheetView topLeftCell="T23" zoomScale="80" zoomScaleNormal="80" workbookViewId="0">
      <selection activeCell="AB24" sqref="AB24"/>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33.7109375" style="140" customWidth="1"/>
    <col min="9" max="9" width="28.7109375" style="140" customWidth="1"/>
    <col min="10" max="10" width="15.7109375" style="140" customWidth="1"/>
    <col min="11" max="11" width="48.7109375" style="140" customWidth="1"/>
    <col min="12" max="12" width="35"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09.5" customHeight="1" x14ac:dyDescent="0.25"/>
    <row r="2" spans="2:97" ht="54.75" customHeight="1" x14ac:dyDescent="0.25"/>
    <row r="3" spans="2:97" ht="68.25" customHeight="1" x14ac:dyDescent="0.25">
      <c r="B3" s="142"/>
    </row>
    <row r="4" spans="2:97" x14ac:dyDescent="0.25">
      <c r="D4" s="322"/>
      <c r="E4" s="322"/>
      <c r="F4" s="322"/>
      <c r="G4" s="322"/>
      <c r="H4" s="322"/>
      <c r="I4" s="762"/>
      <c r="J4" s="762"/>
      <c r="K4" s="762"/>
      <c r="L4" s="762"/>
      <c r="M4" s="762"/>
      <c r="N4" s="762"/>
      <c r="O4" s="762"/>
      <c r="P4" s="762"/>
      <c r="Q4" s="762"/>
      <c r="R4" s="762"/>
      <c r="S4" s="762"/>
      <c r="T4" s="762"/>
      <c r="U4" s="762"/>
      <c r="V4" s="762"/>
      <c r="W4" s="762"/>
      <c r="X4" s="762"/>
      <c r="Y4" s="762"/>
      <c r="Z4" s="762"/>
      <c r="AA4" s="762"/>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580" t="s">
        <v>507</v>
      </c>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1"/>
      <c r="AN6" s="581"/>
      <c r="AO6" s="581"/>
      <c r="AP6" s="581"/>
      <c r="AQ6" s="582"/>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7"/>
      <c r="D7" s="585"/>
      <c r="E7" s="585"/>
      <c r="F7" s="585"/>
      <c r="G7" s="585"/>
      <c r="H7" s="585"/>
      <c r="I7" s="585"/>
      <c r="J7" s="585"/>
      <c r="K7" s="585"/>
      <c r="L7" s="585"/>
      <c r="M7" s="585"/>
      <c r="N7" s="585"/>
      <c r="O7" s="585"/>
      <c r="P7" s="585"/>
      <c r="Q7" s="585"/>
      <c r="R7" s="585"/>
      <c r="S7" s="585"/>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805" t="s">
        <v>43</v>
      </c>
      <c r="D8" s="806"/>
      <c r="E8" s="807"/>
      <c r="F8" s="808"/>
      <c r="G8" s="809" t="str">
        <f>'Datos del proceso'!A10</f>
        <v>TRANSFORMACIÓN CULTURAL PARA LA REVITALIZACIÓN DEL CENTRO</v>
      </c>
      <c r="H8" s="810"/>
      <c r="I8" s="810"/>
      <c r="J8" s="810"/>
      <c r="K8" s="810"/>
      <c r="L8" s="810"/>
      <c r="M8" s="810"/>
      <c r="N8" s="810"/>
      <c r="O8" s="810"/>
      <c r="P8" s="810"/>
      <c r="Q8" s="810"/>
      <c r="R8" s="810"/>
      <c r="S8" s="811"/>
      <c r="T8" s="812"/>
      <c r="U8" s="813"/>
      <c r="V8" s="813"/>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805" t="s">
        <v>130</v>
      </c>
      <c r="D9" s="806"/>
      <c r="E9" s="807"/>
      <c r="F9" s="808"/>
      <c r="G9" s="809"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810"/>
      <c r="I9" s="810"/>
      <c r="J9" s="810"/>
      <c r="K9" s="810"/>
      <c r="L9" s="810"/>
      <c r="M9" s="810"/>
      <c r="N9" s="810"/>
      <c r="O9" s="810"/>
      <c r="P9" s="810"/>
      <c r="Q9" s="810"/>
      <c r="R9" s="810"/>
      <c r="S9" s="811"/>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801"/>
      <c r="E10" s="801"/>
      <c r="F10" s="801"/>
      <c r="G10" s="369"/>
      <c r="I10" s="802"/>
      <c r="J10" s="802"/>
      <c r="K10" s="802"/>
      <c r="L10" s="802"/>
      <c r="M10" s="802"/>
      <c r="N10" s="802"/>
      <c r="O10" s="802"/>
      <c r="P10" s="802"/>
      <c r="Q10" s="802"/>
      <c r="R10" s="802"/>
      <c r="S10" s="802"/>
      <c r="T10" s="802"/>
      <c r="U10" s="802"/>
      <c r="V10" s="802"/>
      <c r="W10" s="802"/>
      <c r="X10" s="802"/>
      <c r="Y10" s="802"/>
      <c r="Z10" s="802"/>
      <c r="AA10" s="802"/>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86" t="s">
        <v>508</v>
      </c>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803"/>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78" t="s">
        <v>338</v>
      </c>
      <c r="D14" s="578"/>
      <c r="E14" s="606" t="s">
        <v>339</v>
      </c>
      <c r="F14" s="608"/>
      <c r="G14" s="606" t="s">
        <v>340</v>
      </c>
      <c r="H14" s="608"/>
      <c r="I14" s="606" t="s">
        <v>341</v>
      </c>
      <c r="J14" s="608"/>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116.25" customHeight="1" x14ac:dyDescent="0.25">
      <c r="C15" s="814" t="s">
        <v>580</v>
      </c>
      <c r="D15" s="815"/>
      <c r="E15" s="814" t="s">
        <v>581</v>
      </c>
      <c r="F15" s="815"/>
      <c r="G15" s="818" t="s">
        <v>582</v>
      </c>
      <c r="H15" s="819"/>
      <c r="I15" s="791" t="s">
        <v>583</v>
      </c>
      <c r="J15" s="822"/>
      <c r="K15" s="771" t="s">
        <v>646</v>
      </c>
      <c r="L15" s="798" t="s">
        <v>647</v>
      </c>
      <c r="M15" s="775" t="s">
        <v>558</v>
      </c>
      <c r="N15" s="825" t="s">
        <v>596</v>
      </c>
      <c r="O15" s="827" t="s">
        <v>584</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ht="78" customHeight="1" x14ac:dyDescent="0.25">
      <c r="C16" s="816"/>
      <c r="D16" s="817"/>
      <c r="E16" s="816"/>
      <c r="F16" s="817"/>
      <c r="G16" s="820"/>
      <c r="H16" s="821"/>
      <c r="I16" s="823"/>
      <c r="J16" s="824"/>
      <c r="K16" s="772"/>
      <c r="L16" s="800"/>
      <c r="M16" s="802"/>
      <c r="N16" s="826"/>
      <c r="O16" s="828"/>
      <c r="S16" s="183"/>
      <c r="T16" s="157"/>
      <c r="U16" s="157"/>
      <c r="V16" s="163"/>
      <c r="Y16" s="184"/>
      <c r="Z16" s="184"/>
      <c r="AA16" s="184"/>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x14ac:dyDescent="0.25">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3:97" ht="27.75" x14ac:dyDescent="0.25">
      <c r="C18" s="785" t="s">
        <v>510</v>
      </c>
      <c r="D18" s="786"/>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R18" s="146"/>
      <c r="CS18" s="146"/>
    </row>
    <row r="19" spans="3:97" ht="6" customHeight="1" x14ac:dyDescent="0.25">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R19" s="146"/>
      <c r="CS19" s="146"/>
    </row>
    <row r="20" spans="3:97" ht="41.25" customHeight="1" x14ac:dyDescent="0.25">
      <c r="C20" s="787" t="s">
        <v>222</v>
      </c>
      <c r="D20" s="787"/>
      <c r="E20" s="787"/>
      <c r="F20" s="787"/>
      <c r="G20" s="787"/>
      <c r="H20" s="787"/>
      <c r="I20" s="787"/>
      <c r="J20" s="788" t="s">
        <v>141</v>
      </c>
      <c r="K20" s="789"/>
      <c r="L20" s="789"/>
      <c r="M20" s="789"/>
      <c r="N20" s="789"/>
      <c r="O20" s="789"/>
      <c r="P20" s="789"/>
      <c r="Q20" s="789"/>
      <c r="R20" s="790"/>
      <c r="S20" s="788" t="s">
        <v>142</v>
      </c>
      <c r="T20" s="789"/>
      <c r="U20" s="789"/>
      <c r="V20" s="789"/>
      <c r="W20" s="789"/>
      <c r="X20" s="789"/>
      <c r="Y20" s="790"/>
      <c r="Z20" s="577" t="s">
        <v>34</v>
      </c>
      <c r="AA20" s="577"/>
      <c r="AB20" s="577"/>
      <c r="AC20" s="577"/>
      <c r="AD20" s="577"/>
      <c r="AE20" s="577"/>
      <c r="AF20" s="577"/>
      <c r="AG20" s="577"/>
      <c r="AH20" s="146"/>
      <c r="AI20" s="154"/>
      <c r="AJ20" s="154"/>
      <c r="AK20" s="154"/>
      <c r="AL20" s="154"/>
      <c r="AM20" s="154"/>
      <c r="AN20" s="154"/>
      <c r="AO20" s="146"/>
      <c r="AP20" s="146"/>
      <c r="AQ20" s="155"/>
      <c r="AR20" s="155"/>
      <c r="AS20" s="155"/>
      <c r="AT20" s="155"/>
      <c r="AU20" s="155"/>
      <c r="AV20" s="155"/>
      <c r="AW20" s="155"/>
      <c r="AX20" s="155"/>
      <c r="AY20" s="155"/>
      <c r="AZ20" s="155"/>
      <c r="BA20" s="155"/>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K20" s="146"/>
      <c r="CL20" s="146"/>
    </row>
    <row r="21" spans="3:97" ht="25.5" customHeight="1" x14ac:dyDescent="0.25">
      <c r="C21" s="787"/>
      <c r="D21" s="787"/>
      <c r="E21" s="787"/>
      <c r="F21" s="787"/>
      <c r="G21" s="787"/>
      <c r="H21" s="787"/>
      <c r="I21" s="787"/>
      <c r="J21" s="595" t="s">
        <v>11</v>
      </c>
      <c r="K21" s="578" t="s">
        <v>163</v>
      </c>
      <c r="L21" s="578" t="s">
        <v>503</v>
      </c>
      <c r="M21" s="578" t="s">
        <v>8</v>
      </c>
      <c r="N21" s="578"/>
      <c r="O21" s="578"/>
      <c r="P21" s="578"/>
      <c r="Q21" s="578"/>
      <c r="R21" s="578"/>
      <c r="S21" s="595" t="s">
        <v>502</v>
      </c>
      <c r="T21" s="595" t="s">
        <v>485</v>
      </c>
      <c r="U21" s="595" t="s">
        <v>488</v>
      </c>
      <c r="V21" s="595" t="s">
        <v>486</v>
      </c>
      <c r="W21" s="595" t="s">
        <v>481</v>
      </c>
      <c r="X21" s="595" t="s">
        <v>489</v>
      </c>
      <c r="Y21" s="595" t="s">
        <v>29</v>
      </c>
      <c r="Z21" s="578" t="s">
        <v>34</v>
      </c>
      <c r="AA21" s="590" t="s">
        <v>496</v>
      </c>
      <c r="AB21" s="578" t="s">
        <v>35</v>
      </c>
      <c r="AC21" s="578" t="s">
        <v>236</v>
      </c>
      <c r="AD21" s="590" t="s">
        <v>506</v>
      </c>
      <c r="AE21" s="579" t="s">
        <v>38</v>
      </c>
      <c r="AF21" s="579" t="s">
        <v>37</v>
      </c>
      <c r="AG21" s="579" t="s">
        <v>39</v>
      </c>
      <c r="AH21" s="155"/>
      <c r="AI21" s="156"/>
      <c r="AJ21" s="156"/>
      <c r="AK21" s="156"/>
      <c r="AL21" s="156"/>
      <c r="AM21" s="156"/>
      <c r="AN21" s="156"/>
      <c r="AO21" s="155"/>
      <c r="AP21" s="155"/>
      <c r="AQ21" s="157"/>
      <c r="AR21" s="157"/>
      <c r="AS21" s="157"/>
      <c r="AT21" s="157"/>
      <c r="AU21" s="157"/>
      <c r="AV21" s="157"/>
      <c r="AW21" s="157"/>
      <c r="AX21" s="157"/>
      <c r="AY21" s="157"/>
      <c r="AZ21" s="157"/>
      <c r="BA21" s="157"/>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row>
    <row r="22" spans="3:97" ht="89.25" customHeight="1" x14ac:dyDescent="0.25">
      <c r="C22" s="349" t="s">
        <v>478</v>
      </c>
      <c r="D22" s="352" t="s">
        <v>480</v>
      </c>
      <c r="E22" s="368" t="s">
        <v>481</v>
      </c>
      <c r="F22" s="353" t="s">
        <v>238</v>
      </c>
      <c r="G22" s="368" t="s">
        <v>481</v>
      </c>
      <c r="H22" s="787" t="s">
        <v>239</v>
      </c>
      <c r="I22" s="787"/>
      <c r="J22" s="595"/>
      <c r="K22" s="578"/>
      <c r="L22" s="578"/>
      <c r="M22" s="294" t="s">
        <v>490</v>
      </c>
      <c r="N22" s="294" t="s">
        <v>492</v>
      </c>
      <c r="O22" s="294" t="s">
        <v>487</v>
      </c>
      <c r="P22" s="294" t="s">
        <v>499</v>
      </c>
      <c r="Q22" s="294" t="s">
        <v>500</v>
      </c>
      <c r="R22" s="294" t="s">
        <v>501</v>
      </c>
      <c r="S22" s="595"/>
      <c r="T22" s="595"/>
      <c r="U22" s="595"/>
      <c r="V22" s="595"/>
      <c r="W22" s="595"/>
      <c r="X22" s="595"/>
      <c r="Y22" s="595"/>
      <c r="Z22" s="578"/>
      <c r="AA22" s="591"/>
      <c r="AB22" s="578"/>
      <c r="AC22" s="578"/>
      <c r="AD22" s="591"/>
      <c r="AE22" s="579"/>
      <c r="AF22" s="579"/>
      <c r="AG22" s="579"/>
      <c r="AH22" s="155"/>
      <c r="AI22" s="160"/>
      <c r="AJ22" s="156"/>
      <c r="AK22" s="160"/>
      <c r="AL22" s="156"/>
      <c r="AM22" s="160"/>
      <c r="AN22" s="156"/>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229.5" customHeight="1" x14ac:dyDescent="0.25">
      <c r="C23" s="775">
        <f>((5*4)*12)</f>
        <v>240</v>
      </c>
      <c r="D23" s="710" t="str">
        <f>IF(C23&lt;=0,"",IF(C23&lt;=2,"Muy Baja",IF(C23&lt;=24,"Baja",IF(C23&lt;=500,"Media",IF(C23&lt;=5000,"Alta","Muy Alta")))))</f>
        <v>Media</v>
      </c>
      <c r="E23" s="777">
        <f>IF(D23="","",IF(D23="Muy Baja",0.2,IF(D23="Baja",0.4,IF(D23="Media",0.6,IF(D23="Alta",0.8,IF(D23="Muy Alta",1,))))))</f>
        <v>0.6</v>
      </c>
      <c r="F23" s="615" t="str">
        <f>IF(H57="Si","Catastrófico",IF(H61&lt;=5,"Moderado",IF(H61&lt;=11,"Mayor","Catastrófico")))</f>
        <v>Mayor</v>
      </c>
      <c r="G23" s="780">
        <f>IF(F23="","",IF(F23="Leve",0.2,IF(F23="Menor",0.4,IF(F23="Moderado",0.6,IF(F23="Mayor",0.8,IF(F23="Catastrófico",1,))))))</f>
        <v>0.8</v>
      </c>
      <c r="H23" s="615" t="str">
        <f>IF(OR(AND(D23="Muy Baja",F23="Leve"),AND(D23="Muy Baja",F23="Menor"),AND(D23="Baja",F23="Leve")),"Bajo",IF(OR(AND(D23="Muy baja",F23="Moderado"),AND(D23="Baja",F23="Menor"),AND(D23="Baja",F23="Moderado"),AND(D23="Media",F23="Leve"),AND(D23="Media",F23="Menor"),AND(D23="Media",F23="Moderado"),AND(D23="Alta",F23="Leve"),AND(D23="Alta",F23="Menor")),"Moderado",IF(OR(AND(D23="Muy Baja",F23="Mayor"),AND(D23="Baja",F23="Mayor"),AND(D23="Media",F23="Mayor"),AND(D23="Alta",F23="Moderado"),AND(D23="Alta",F23="Mayor"),AND(D23="Muy Alta",F23="Leve"),AND(D23="Muy Alta",F23="Menor"),AND(D23="Muy Alta",F23="Moderado"),AND(D23="Muy Alta",F23="Mayor")),"Alto",IF(OR(AND(D23="Muy Baja",F23="Catastrófico"),AND(D23="Baja",F23="Catastrófico"),AND(D23="Media",F23="Catastrófico"),AND(D23="Alta",F23="Catastrófico"),AND(D23="Muy Alta",F23="Catastrófico")),"Extremo",""))))</f>
        <v>Alto</v>
      </c>
      <c r="I23" s="615"/>
      <c r="J23" s="278">
        <v>1</v>
      </c>
      <c r="K23" s="279" t="s">
        <v>650</v>
      </c>
      <c r="L23" s="280" t="str">
        <f>IF(OR(M23="Preventivo",M23="Detectivo"),"Probabilidad",IF(M23="Correctivo","Impacto",""))</f>
        <v>Probabilidad</v>
      </c>
      <c r="M23" s="281" t="s">
        <v>14</v>
      </c>
      <c r="N23" s="281" t="s">
        <v>9</v>
      </c>
      <c r="O23" s="282" t="str">
        <f>IF(AND(M23="Preventivo",N23="Automático"),"50%",IF(AND(M23="Preventivo",N23="Manual"),"40%",IF(AND(M23="Detectivo",N23="Automático"),"40%",IF(AND(M23="Detectivo",N23="Manual"),"30%",IF(AND(M23="Correctivo",N23="Automático"),"35%",IF(AND(M23="Correctivo",N23="Manual"),"25%",""))))))</f>
        <v>40%</v>
      </c>
      <c r="P23" s="281" t="s">
        <v>493</v>
      </c>
      <c r="Q23" s="281" t="s">
        <v>22</v>
      </c>
      <c r="R23" s="281" t="s">
        <v>497</v>
      </c>
      <c r="S23" s="283">
        <f>IFERROR(IF(L23="Probabilidad",(E23-(+E23*O23)),IF(L23="Impacto",E23,"")),"")</f>
        <v>0.36</v>
      </c>
      <c r="T23" s="284" t="str">
        <f>IFERROR(IF(S23="","",IF(S23&lt;=0.2,"Muy Baja",IF(S23&lt;=0.4,"Baja",IF(S23&lt;=0.6,"Media",IF(S23&lt;=0.8,"Alta","Muy Alta"))))),"")</f>
        <v>Baja</v>
      </c>
      <c r="U23" s="282">
        <f>+S23</f>
        <v>0.36</v>
      </c>
      <c r="V23" s="284" t="str">
        <f>IFERROR(IF(W23="","",IF(W23&lt;=0.2,"Leve",IF(W23&lt;=0.4,"Menor",IF(W23&lt;=0.6,"Moderado",IF(W23&lt;=0.8,"Mayor","Catastrófico"))))),"")</f>
        <v>Mayor</v>
      </c>
      <c r="W23" s="282">
        <f>IFERROR(IF(L23="Impacto",(G23-(+G23*O23)),IF(L23="Probabilidad",G23,"")),"")</f>
        <v>0.8</v>
      </c>
      <c r="X23" s="285"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Alto</v>
      </c>
      <c r="Y23" s="404" t="s">
        <v>30</v>
      </c>
      <c r="Z23" s="405" t="s">
        <v>674</v>
      </c>
      <c r="AA23" s="406" t="s">
        <v>655</v>
      </c>
      <c r="AB23" s="407" t="s">
        <v>651</v>
      </c>
      <c r="AC23" s="402">
        <v>44958</v>
      </c>
      <c r="AD23" s="402">
        <v>45230</v>
      </c>
      <c r="AE23" s="288"/>
      <c r="AF23" s="286"/>
      <c r="AG23" s="287"/>
      <c r="AH23" s="155"/>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162.75" customHeight="1" x14ac:dyDescent="0.25">
      <c r="C24" s="776"/>
      <c r="D24" s="711"/>
      <c r="E24" s="778"/>
      <c r="F24" s="615"/>
      <c r="G24" s="781"/>
      <c r="H24" s="615"/>
      <c r="I24" s="615"/>
      <c r="J24" s="278">
        <v>2</v>
      </c>
      <c r="K24" s="279" t="s">
        <v>653</v>
      </c>
      <c r="L24" s="280" t="str">
        <f>IF(OR(M24="Preventivo",M24="Detectivo"),"Probabilidad",IF(M24="Correctivo","Impacto",""))</f>
        <v>Probabilidad</v>
      </c>
      <c r="M24" s="281" t="s">
        <v>14</v>
      </c>
      <c r="N24" s="281" t="s">
        <v>9</v>
      </c>
      <c r="O24" s="282" t="str">
        <f>IF(AND(M24="Preventivo",N24="Automático"),"50%",IF(AND(M24="Preventivo",N24="Manual"),"40%",IF(AND(M24="Detectivo",N24="Automático"),"40%",IF(AND(M24="Detectivo",N24="Manual"),"30%",IF(AND(M24="Correctivo",N24="Automático"),"35%",IF(AND(M24="Correctivo",N24="Manual"),"25%",""))))))</f>
        <v>40%</v>
      </c>
      <c r="P24" s="281" t="s">
        <v>494</v>
      </c>
      <c r="Q24" s="281" t="s">
        <v>22</v>
      </c>
      <c r="R24" s="281" t="s">
        <v>497</v>
      </c>
      <c r="S24" s="283">
        <f>IFERROR(IF(L24="Probabilidad",(E23-(+E23*O24)),IF(L24="Impacto",E23,"")),"")</f>
        <v>0.36</v>
      </c>
      <c r="T24" s="284" t="str">
        <f>IFERROR(IF(S24="","",IF(S24&lt;=0.2,"Muy Baja",IF(S24&lt;=0.4,"Baja",IF(S24&lt;=0.6,"Media",IF(S24&lt;=0.8,"Alta","Muy Alta"))))),"")</f>
        <v>Baja</v>
      </c>
      <c r="U24" s="282">
        <f>+S24</f>
        <v>0.36</v>
      </c>
      <c r="V24" s="284" t="str">
        <f>IFERROR(IF(W24="","",IF(W24&lt;=0.2,"Leve",IF(W24&lt;=0.4,"Menor",IF(W24&lt;=0.6,"Moderado",IF(W24&lt;=0.8,"Mayor","Catastrófico"))))),"")</f>
        <v>Mayor</v>
      </c>
      <c r="W24" s="282">
        <f>IFERROR(IF(L24="Impacto",(G23-(+G23*O24)),IF(L24="Probabilidad",G23,"")),"")</f>
        <v>0.8</v>
      </c>
      <c r="X24" s="285" t="str">
        <f>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Alto</v>
      </c>
      <c r="Y24" s="404" t="s">
        <v>30</v>
      </c>
      <c r="Z24" s="286" t="s">
        <v>652</v>
      </c>
      <c r="AA24" s="286" t="s">
        <v>648</v>
      </c>
      <c r="AB24" s="403" t="s">
        <v>649</v>
      </c>
      <c r="AC24" s="402">
        <v>44958</v>
      </c>
      <c r="AD24" s="402">
        <v>45230</v>
      </c>
      <c r="AE24" s="288"/>
      <c r="AF24" s="286"/>
      <c r="AG24" s="287"/>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30.75" customHeight="1" x14ac:dyDescent="0.25">
      <c r="C25" s="776"/>
      <c r="D25" s="711"/>
      <c r="E25" s="779"/>
      <c r="F25" s="615"/>
      <c r="G25" s="782"/>
      <c r="H25" s="615"/>
      <c r="I25" s="620"/>
      <c r="J25" s="784" t="s">
        <v>575</v>
      </c>
      <c r="K25" s="315"/>
      <c r="L25" s="315"/>
      <c r="M25" s="315"/>
      <c r="N25" s="315"/>
      <c r="O25" s="315"/>
      <c r="P25" s="315"/>
      <c r="Q25" s="315"/>
      <c r="R25" s="384" t="s">
        <v>577</v>
      </c>
      <c r="S25" s="376">
        <f>(($S$23*$O$24))</f>
        <v>0.14399999999999999</v>
      </c>
      <c r="T25" s="284"/>
      <c r="U25" s="282"/>
      <c r="V25" s="284"/>
      <c r="W25" s="282"/>
      <c r="X25" s="285"/>
      <c r="Y25" s="404"/>
      <c r="Z25" s="175"/>
      <c r="AA25" s="286"/>
      <c r="AB25" s="403"/>
      <c r="AC25" s="402"/>
      <c r="AD25" s="402"/>
      <c r="AE25" s="175"/>
      <c r="AF25" s="175"/>
      <c r="AG25" s="175"/>
      <c r="AH25" s="155"/>
      <c r="AO25" s="155"/>
      <c r="AP25" s="155"/>
      <c r="AQ25" s="157"/>
      <c r="AR25" s="157"/>
      <c r="AS25" s="157"/>
      <c r="AT25" s="157"/>
      <c r="AU25" s="157"/>
      <c r="AV25" s="157"/>
      <c r="AW25" s="157"/>
      <c r="AX25" s="157"/>
      <c r="AY25" s="157"/>
      <c r="AZ25" s="157"/>
      <c r="BA25" s="157"/>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84" customHeight="1" x14ac:dyDescent="0.25">
      <c r="C26" s="182" t="s">
        <v>513</v>
      </c>
      <c r="D26" s="304">
        <f>VLOOKUP(D23,D80:F84,2,0)</f>
        <v>0</v>
      </c>
      <c r="E26" s="304"/>
      <c r="F26" s="304">
        <f>VLOOKUP(F23,D88:F92,2,0)</f>
        <v>0</v>
      </c>
      <c r="G26" s="370"/>
      <c r="J26" s="784"/>
      <c r="K26" s="315"/>
      <c r="L26" s="315"/>
      <c r="M26" s="315"/>
      <c r="N26" s="315"/>
      <c r="O26" s="315"/>
      <c r="P26" s="315"/>
      <c r="Q26" s="315"/>
      <c r="R26" s="384" t="s">
        <v>577</v>
      </c>
      <c r="S26" s="376">
        <f>(($S$23-$S$25))</f>
        <v>0.216</v>
      </c>
      <c r="T26" s="284" t="str">
        <f>IFERROR(IF(S26="","",IF(S26&lt;=0.2,"Muy Baja",IF(S26&lt;=0.4,"Baja",IF(S26&lt;=0.6,"Media",IF(S26&lt;=0.8,"Alta","Muy Alta"))))),"")</f>
        <v>Baja</v>
      </c>
      <c r="U26" s="282">
        <f t="shared" ref="U26" si="0">+S26</f>
        <v>0.216</v>
      </c>
      <c r="V26" s="284" t="str">
        <f t="shared" ref="V26" si="1">IFERROR(IF(W26="","",IF(W26&lt;=0.2,"Leve",IF(W26&lt;=0.4,"Menor",IF(W26&lt;=0.6,"Moderado",IF(W26&lt;=0.8,"Mayor","Catastrófico"))))),"")</f>
        <v>Mayor</v>
      </c>
      <c r="W26" s="282">
        <f>IFERROR(IF(L24="Impacto",(G23-(+G23*O24)),IF(L24="Probabilidad",G23,"")),"")</f>
        <v>0.8</v>
      </c>
      <c r="X26" s="285" t="str">
        <f t="shared" ref="X26" si="2">IFERROR(IF(OR(AND(T26="Muy Baja",V26="Leve"),AND(T26="Muy Baja",V26="Menor"),AND(T26="Baja",V26="Leve")),"Bajo",IF(OR(AND(T26="Muy baja",V26="Moderado"),AND(T26="Baja",V26="Menor"),AND(T26="Baja",V26="Moderado"),AND(T26="Media",V26="Leve"),AND(T26="Media",V26="Menor"),AND(T26="Media",V26="Moderado"),AND(T26="Alta",V26="Leve"),AND(T26="Alta",V26="Menor")),"Moderado",IF(OR(AND(T26="Muy Baja",V26="Mayor"),AND(T26="Baja",V26="Mayor"),AND(T26="Media",V26="Mayor"),AND(T26="Alta",V26="Moderado"),AND(T26="Alta",V26="Mayor"),AND(T26="Muy Alta",V26="Leve"),AND(T26="Muy Alta",V26="Menor"),AND(T26="Muy Alta",V26="Moderado"),AND(T26="Muy Alta",V26="Mayor")),"Alto",IF(OR(AND(T26="Muy Baja",V26="Catastrófico"),AND(T26="Baja",V26="Catastrófico"),AND(T26="Media",V26="Catastrófico"),AND(T26="Alta",V26="Catastrófico"),AND(T26="Muy Alta",V26="Catastrófico")),"Extremo","")))),"")</f>
        <v>Alto</v>
      </c>
      <c r="Y26" s="158"/>
      <c r="Z26" s="158"/>
      <c r="AA26" s="158"/>
      <c r="AB26" s="147"/>
      <c r="AC26" s="147"/>
      <c r="AD26" s="147"/>
      <c r="AE26" s="147"/>
      <c r="AF26" s="175"/>
      <c r="AG26" s="17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ht="27.75" customHeight="1" x14ac:dyDescent="0.25">
      <c r="F27" s="167"/>
      <c r="G27" s="167"/>
      <c r="J27" s="157"/>
      <c r="K27" s="377"/>
      <c r="L27" s="377"/>
      <c r="M27" s="377"/>
      <c r="N27" s="377"/>
      <c r="O27" s="377"/>
      <c r="P27" s="377"/>
      <c r="Q27" s="377"/>
      <c r="R27" s="377"/>
      <c r="S27" s="322"/>
      <c r="T27" s="146"/>
      <c r="U27" s="146"/>
      <c r="V27" s="146"/>
      <c r="W27" s="146"/>
      <c r="X27" s="146"/>
      <c r="Y27" s="146"/>
      <c r="Z27" s="146"/>
      <c r="AA27" s="146"/>
      <c r="AB27" s="401"/>
      <c r="AC27" s="401"/>
      <c r="AD27" s="401"/>
      <c r="AE27" s="401"/>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x14ac:dyDescent="0.25">
      <c r="F28" s="168"/>
      <c r="G28" s="168"/>
      <c r="J28" s="157"/>
      <c r="K28" s="377"/>
      <c r="L28" s="377"/>
      <c r="M28" s="377"/>
      <c r="N28" s="377"/>
      <c r="O28" s="377"/>
      <c r="P28" s="377"/>
      <c r="Q28" s="377"/>
      <c r="R28" s="377"/>
      <c r="S28" s="322"/>
      <c r="T28" s="146"/>
      <c r="U28" s="146"/>
      <c r="V28" s="146"/>
      <c r="W28" s="146"/>
      <c r="X28" s="146"/>
      <c r="Y28" s="146"/>
      <c r="Z28" s="146"/>
      <c r="AA28" s="146"/>
      <c r="AB28" s="147"/>
      <c r="AC28" s="147"/>
      <c r="AD28" s="147"/>
      <c r="AE28" s="147"/>
      <c r="AF28" s="175"/>
      <c r="AG28" s="17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row>
    <row r="29" spans="3:97" x14ac:dyDescent="0.25">
      <c r="J29" s="157"/>
      <c r="K29" s="377"/>
      <c r="L29" s="377"/>
      <c r="M29" s="377"/>
      <c r="N29" s="377"/>
      <c r="O29" s="377"/>
      <c r="P29" s="377"/>
      <c r="Q29" s="377"/>
      <c r="R29" s="377"/>
      <c r="S29" s="322"/>
      <c r="AB29" s="147"/>
      <c r="AC29" s="147"/>
      <c r="AD29" s="147"/>
      <c r="AE29" s="147"/>
      <c r="AF29" s="175"/>
      <c r="AG29" s="175"/>
    </row>
    <row r="30" spans="3:97" x14ac:dyDescent="0.25">
      <c r="J30" s="758"/>
      <c r="K30" s="763"/>
      <c r="L30" s="763"/>
      <c r="M30" s="758"/>
      <c r="N30" s="758"/>
      <c r="O30" s="763"/>
      <c r="P30" s="763"/>
      <c r="Q30" s="763"/>
      <c r="R30" s="322"/>
      <c r="S30" s="322"/>
    </row>
    <row r="31" spans="3:97" ht="15" customHeight="1" x14ac:dyDescent="0.25">
      <c r="J31" s="758"/>
      <c r="K31" s="763"/>
      <c r="L31" s="763"/>
      <c r="M31" s="758"/>
      <c r="N31" s="758"/>
      <c r="O31" s="763"/>
      <c r="P31" s="763"/>
      <c r="Q31" s="763"/>
      <c r="R31" s="322"/>
      <c r="S31" s="322"/>
    </row>
    <row r="32" spans="3:97" ht="15" customHeight="1" x14ac:dyDescent="0.25">
      <c r="J32" s="758"/>
      <c r="K32" s="763"/>
      <c r="L32" s="763"/>
      <c r="M32" s="758"/>
      <c r="N32" s="758"/>
      <c r="O32" s="763"/>
      <c r="P32" s="763"/>
      <c r="Q32" s="763"/>
      <c r="R32" s="322"/>
      <c r="S32" s="322"/>
    </row>
    <row r="33" spans="4:23" x14ac:dyDescent="0.25">
      <c r="J33" s="758"/>
      <c r="K33" s="763"/>
      <c r="L33" s="763"/>
      <c r="M33" s="758"/>
      <c r="N33" s="758"/>
      <c r="O33" s="763"/>
      <c r="P33" s="763"/>
      <c r="Q33" s="763"/>
      <c r="R33" s="322"/>
      <c r="S33" s="322"/>
    </row>
    <row r="35" spans="4:23" ht="15" customHeight="1" x14ac:dyDescent="0.25"/>
    <row r="37" spans="4:23" ht="15" customHeight="1" x14ac:dyDescent="0.25">
      <c r="S37" s="766"/>
      <c r="T37" s="766"/>
      <c r="U37" s="766"/>
      <c r="V37" s="766"/>
      <c r="W37" s="766"/>
    </row>
    <row r="38" spans="4:23" ht="15" customHeight="1" x14ac:dyDescent="0.25">
      <c r="D38" s="767" t="s">
        <v>247</v>
      </c>
      <c r="E38" s="767"/>
      <c r="F38" s="767"/>
      <c r="G38" s="767"/>
      <c r="H38" s="829"/>
      <c r="J38" s="768"/>
      <c r="K38" s="768"/>
      <c r="L38" s="768"/>
      <c r="M38" s="768"/>
      <c r="N38" s="768"/>
      <c r="O38" s="768"/>
      <c r="P38" s="768"/>
      <c r="Q38" s="768"/>
      <c r="S38" s="766"/>
      <c r="T38" s="766"/>
      <c r="U38" s="766"/>
      <c r="V38" s="766"/>
      <c r="W38" s="766"/>
    </row>
    <row r="39" spans="4:23" x14ac:dyDescent="0.25">
      <c r="D39" s="146"/>
      <c r="E39" s="146"/>
      <c r="F39" s="146"/>
      <c r="G39" s="146"/>
      <c r="H39" s="158"/>
    </row>
    <row r="40" spans="4:23" ht="15" customHeight="1" x14ac:dyDescent="0.25">
      <c r="D40" s="769" t="s">
        <v>204</v>
      </c>
      <c r="E40" s="152"/>
      <c r="F40" s="771" t="s">
        <v>248</v>
      </c>
      <c r="G40" s="389"/>
      <c r="H40" s="153" t="s">
        <v>249</v>
      </c>
      <c r="L40" s="773"/>
      <c r="M40" s="773"/>
      <c r="N40" s="773"/>
      <c r="O40" s="773"/>
      <c r="P40" s="773"/>
      <c r="Q40" s="773"/>
      <c r="S40" s="614"/>
      <c r="T40" s="614"/>
      <c r="U40" s="614"/>
      <c r="V40" s="614"/>
      <c r="W40" s="614"/>
    </row>
    <row r="41" spans="4:23" x14ac:dyDescent="0.25">
      <c r="D41" s="770"/>
      <c r="E41" s="355"/>
      <c r="F41" s="772"/>
      <c r="G41" s="390"/>
      <c r="H41" s="350" t="s">
        <v>257</v>
      </c>
      <c r="J41" s="177"/>
      <c r="K41" s="177"/>
      <c r="L41" s="163"/>
      <c r="M41" s="163"/>
      <c r="N41" s="163"/>
      <c r="O41" s="163"/>
      <c r="P41" s="163"/>
      <c r="Q41" s="163"/>
      <c r="S41" s="614"/>
      <c r="T41" s="614"/>
      <c r="U41" s="614"/>
      <c r="V41" s="614"/>
      <c r="W41" s="614"/>
    </row>
    <row r="42" spans="4:23" ht="42.75" customHeight="1" x14ac:dyDescent="0.25">
      <c r="D42" s="362">
        <v>1</v>
      </c>
      <c r="E42" s="362"/>
      <c r="F42" s="361" t="s">
        <v>262</v>
      </c>
      <c r="G42" s="391"/>
      <c r="H42" s="360" t="s">
        <v>377</v>
      </c>
      <c r="J42" s="762"/>
      <c r="K42" s="761"/>
      <c r="L42" s="758"/>
      <c r="M42" s="763"/>
      <c r="N42" s="758"/>
      <c r="O42" s="763"/>
      <c r="P42" s="758"/>
      <c r="Q42" s="763"/>
      <c r="S42" s="614"/>
      <c r="T42" s="614"/>
      <c r="U42" s="614"/>
      <c r="V42" s="614"/>
      <c r="W42" s="614"/>
    </row>
    <row r="43" spans="4:23" ht="43.5" customHeight="1" x14ac:dyDescent="0.25">
      <c r="D43" s="362">
        <v>2</v>
      </c>
      <c r="E43" s="362"/>
      <c r="F43" s="361" t="s">
        <v>266</v>
      </c>
      <c r="G43" s="391"/>
      <c r="H43" s="360" t="s">
        <v>377</v>
      </c>
      <c r="J43" s="762"/>
      <c r="K43" s="761"/>
      <c r="L43" s="758"/>
      <c r="M43" s="763"/>
      <c r="N43" s="758"/>
      <c r="O43" s="763"/>
      <c r="P43" s="758"/>
      <c r="Q43" s="763"/>
      <c r="S43" s="149"/>
      <c r="T43" s="149"/>
      <c r="U43" s="149"/>
      <c r="V43" s="149"/>
      <c r="W43" s="149"/>
    </row>
    <row r="44" spans="4:23" ht="30" x14ac:dyDescent="0.25">
      <c r="D44" s="362">
        <v>3</v>
      </c>
      <c r="E44" s="362"/>
      <c r="F44" s="361" t="s">
        <v>269</v>
      </c>
      <c r="G44" s="391"/>
      <c r="H44" s="360" t="s">
        <v>378</v>
      </c>
      <c r="J44" s="762"/>
      <c r="K44" s="386"/>
      <c r="L44" s="358"/>
      <c r="M44" s="385"/>
      <c r="N44" s="358"/>
      <c r="O44" s="385"/>
      <c r="P44" s="358"/>
      <c r="Q44" s="385"/>
      <c r="S44" s="149"/>
      <c r="T44" s="149"/>
      <c r="U44" s="149"/>
      <c r="V44" s="149"/>
      <c r="W44" s="149"/>
    </row>
    <row r="45" spans="4:23" ht="46.5" customHeight="1" x14ac:dyDescent="0.25">
      <c r="D45" s="362">
        <v>4</v>
      </c>
      <c r="E45" s="362"/>
      <c r="F45" s="361" t="s">
        <v>273</v>
      </c>
      <c r="G45" s="391"/>
      <c r="H45" s="360" t="s">
        <v>378</v>
      </c>
      <c r="J45" s="765"/>
      <c r="K45" s="761"/>
      <c r="L45" s="762"/>
      <c r="M45" s="763"/>
      <c r="N45" s="762"/>
      <c r="O45" s="763"/>
      <c r="P45" s="762"/>
      <c r="Q45" s="763"/>
      <c r="S45" s="149"/>
      <c r="T45" s="149"/>
      <c r="U45" s="149"/>
      <c r="V45" s="149"/>
      <c r="W45" s="149"/>
    </row>
    <row r="46" spans="4:23" ht="46.5" customHeight="1" x14ac:dyDescent="0.25">
      <c r="D46" s="362">
        <v>5</v>
      </c>
      <c r="E46" s="362"/>
      <c r="F46" s="361" t="s">
        <v>278</v>
      </c>
      <c r="G46" s="391"/>
      <c r="H46" s="360" t="s">
        <v>377</v>
      </c>
      <c r="J46" s="765"/>
      <c r="K46" s="761"/>
      <c r="L46" s="762"/>
      <c r="M46" s="763"/>
      <c r="N46" s="762"/>
      <c r="O46" s="763"/>
      <c r="P46" s="762"/>
      <c r="Q46" s="763"/>
      <c r="S46" s="149"/>
      <c r="T46" s="149"/>
      <c r="U46" s="149"/>
      <c r="V46" s="149"/>
      <c r="W46" s="149"/>
    </row>
    <row r="47" spans="4:23" ht="41.25" customHeight="1" x14ac:dyDescent="0.25">
      <c r="D47" s="362">
        <v>6</v>
      </c>
      <c r="E47" s="362"/>
      <c r="F47" s="361" t="s">
        <v>279</v>
      </c>
      <c r="G47" s="391"/>
      <c r="H47" s="360" t="s">
        <v>378</v>
      </c>
      <c r="J47" s="765"/>
      <c r="K47" s="761"/>
      <c r="L47" s="758"/>
      <c r="M47" s="763"/>
      <c r="N47" s="758"/>
      <c r="O47" s="763"/>
      <c r="P47" s="758"/>
      <c r="Q47" s="763"/>
      <c r="S47" s="149"/>
      <c r="T47" s="149"/>
      <c r="U47" s="149"/>
      <c r="V47" s="149"/>
      <c r="W47" s="149"/>
    </row>
    <row r="48" spans="4:23" ht="41.25" customHeight="1" x14ac:dyDescent="0.25">
      <c r="D48" s="362">
        <v>7</v>
      </c>
      <c r="E48" s="362"/>
      <c r="F48" s="361" t="s">
        <v>284</v>
      </c>
      <c r="G48" s="391"/>
      <c r="H48" s="360" t="s">
        <v>378</v>
      </c>
      <c r="J48" s="765"/>
      <c r="K48" s="761"/>
      <c r="L48" s="758"/>
      <c r="M48" s="763"/>
      <c r="N48" s="758"/>
      <c r="O48" s="763"/>
      <c r="P48" s="758"/>
      <c r="Q48" s="763"/>
      <c r="S48" s="149"/>
      <c r="T48" s="149"/>
      <c r="U48" s="149"/>
      <c r="V48" s="149"/>
      <c r="W48" s="149"/>
    </row>
    <row r="49" spans="4:25" ht="50.25" customHeight="1" x14ac:dyDescent="0.25">
      <c r="D49" s="362">
        <v>8</v>
      </c>
      <c r="E49" s="362"/>
      <c r="F49" s="361" t="s">
        <v>511</v>
      </c>
      <c r="G49" s="391"/>
      <c r="H49" s="360" t="s">
        <v>378</v>
      </c>
      <c r="J49" s="765"/>
      <c r="K49" s="761"/>
      <c r="L49" s="758"/>
      <c r="M49" s="763"/>
      <c r="N49" s="758"/>
      <c r="O49" s="763"/>
      <c r="P49" s="758"/>
      <c r="Q49" s="763"/>
      <c r="S49" s="149"/>
      <c r="T49" s="149"/>
      <c r="U49" s="149"/>
      <c r="V49" s="149"/>
      <c r="W49" s="149"/>
    </row>
    <row r="50" spans="4:25" ht="42" customHeight="1" x14ac:dyDescent="0.25">
      <c r="D50" s="362">
        <v>9</v>
      </c>
      <c r="E50" s="362"/>
      <c r="F50" s="361" t="s">
        <v>285</v>
      </c>
      <c r="G50" s="391"/>
      <c r="H50" s="360" t="s">
        <v>377</v>
      </c>
      <c r="J50" s="765"/>
      <c r="K50" s="761"/>
      <c r="L50" s="758"/>
      <c r="M50" s="763"/>
      <c r="N50" s="758"/>
      <c r="O50" s="763"/>
      <c r="P50" s="758"/>
      <c r="Q50" s="763"/>
      <c r="S50" s="149"/>
      <c r="T50" s="149"/>
      <c r="U50" s="149"/>
      <c r="V50" s="149"/>
      <c r="W50" s="149"/>
    </row>
    <row r="51" spans="4:25" ht="42" customHeight="1" x14ac:dyDescent="0.25">
      <c r="D51" s="362">
        <v>10</v>
      </c>
      <c r="E51" s="362"/>
      <c r="F51" s="361" t="s">
        <v>289</v>
      </c>
      <c r="G51" s="391"/>
      <c r="H51" s="360" t="s">
        <v>377</v>
      </c>
      <c r="J51" s="765"/>
      <c r="K51" s="761"/>
      <c r="L51" s="758"/>
      <c r="M51" s="763"/>
      <c r="N51" s="758"/>
      <c r="O51" s="763"/>
      <c r="P51" s="758"/>
      <c r="Q51" s="763"/>
      <c r="X51" s="359"/>
    </row>
    <row r="52" spans="4:25" ht="48.75" customHeight="1" x14ac:dyDescent="0.25">
      <c r="D52" s="362">
        <v>11</v>
      </c>
      <c r="E52" s="362"/>
      <c r="F52" s="361" t="s">
        <v>290</v>
      </c>
      <c r="G52" s="391"/>
      <c r="H52" s="360" t="s">
        <v>377</v>
      </c>
      <c r="J52" s="764"/>
      <c r="K52" s="761"/>
      <c r="L52" s="758"/>
      <c r="M52" s="763"/>
      <c r="N52" s="758"/>
      <c r="O52" s="763"/>
      <c r="P52" s="758"/>
      <c r="Q52" s="763"/>
      <c r="S52" s="758"/>
      <c r="T52" s="758"/>
      <c r="U52" s="758"/>
      <c r="V52" s="760"/>
      <c r="W52" s="359"/>
      <c r="X52" s="359"/>
      <c r="Y52" s="163"/>
    </row>
    <row r="53" spans="4:25" ht="21" customHeight="1" x14ac:dyDescent="0.25">
      <c r="D53" s="362">
        <v>12</v>
      </c>
      <c r="E53" s="362"/>
      <c r="F53" s="361" t="s">
        <v>296</v>
      </c>
      <c r="G53" s="391"/>
      <c r="H53" s="360" t="s">
        <v>377</v>
      </c>
      <c r="J53" s="764"/>
      <c r="K53" s="761"/>
      <c r="L53" s="758"/>
      <c r="M53" s="763"/>
      <c r="N53" s="758"/>
      <c r="O53" s="763"/>
      <c r="P53" s="758"/>
      <c r="Q53" s="763"/>
      <c r="S53" s="758"/>
      <c r="T53" s="758"/>
      <c r="U53" s="758"/>
      <c r="V53" s="760"/>
      <c r="W53" s="359"/>
      <c r="X53" s="359"/>
      <c r="Y53" s="163"/>
    </row>
    <row r="54" spans="4:25" ht="27.75" customHeight="1" x14ac:dyDescent="0.25">
      <c r="D54" s="362">
        <v>13</v>
      </c>
      <c r="E54" s="362"/>
      <c r="F54" s="361" t="s">
        <v>297</v>
      </c>
      <c r="G54" s="391"/>
      <c r="H54" s="360" t="s">
        <v>377</v>
      </c>
      <c r="J54" s="764"/>
      <c r="K54" s="761"/>
      <c r="L54" s="758"/>
      <c r="M54" s="763"/>
      <c r="N54" s="758"/>
      <c r="O54" s="763"/>
      <c r="P54" s="758"/>
      <c r="Q54" s="763"/>
      <c r="S54" s="758"/>
      <c r="T54" s="758"/>
      <c r="U54" s="758"/>
      <c r="V54" s="760"/>
      <c r="W54" s="359"/>
      <c r="Y54" s="163"/>
    </row>
    <row r="55" spans="4:25" ht="48" customHeight="1" x14ac:dyDescent="0.25">
      <c r="D55" s="362">
        <v>14</v>
      </c>
      <c r="E55" s="362"/>
      <c r="F55" s="361" t="s">
        <v>298</v>
      </c>
      <c r="G55" s="391"/>
      <c r="H55" s="360" t="s">
        <v>378</v>
      </c>
      <c r="J55" s="758"/>
      <c r="K55" s="761"/>
      <c r="L55" s="762"/>
      <c r="M55" s="763"/>
      <c r="N55" s="762"/>
      <c r="O55" s="763"/>
      <c r="P55" s="762"/>
      <c r="Q55" s="763"/>
      <c r="Y55" s="163"/>
    </row>
    <row r="56" spans="4:25" ht="48" customHeight="1" x14ac:dyDescent="0.25">
      <c r="D56" s="362">
        <v>15</v>
      </c>
      <c r="E56" s="362"/>
      <c r="F56" s="361" t="s">
        <v>302</v>
      </c>
      <c r="G56" s="391"/>
      <c r="H56" s="360" t="s">
        <v>377</v>
      </c>
      <c r="J56" s="758"/>
      <c r="K56" s="761"/>
      <c r="L56" s="762"/>
      <c r="M56" s="763"/>
      <c r="N56" s="762"/>
      <c r="O56" s="763"/>
      <c r="P56" s="762"/>
      <c r="Q56" s="763"/>
      <c r="Y56" s="163"/>
    </row>
    <row r="57" spans="4:25" ht="63" customHeight="1" x14ac:dyDescent="0.25">
      <c r="D57" s="164">
        <v>16</v>
      </c>
      <c r="E57" s="164"/>
      <c r="F57" s="297" t="s">
        <v>303</v>
      </c>
      <c r="G57" s="392"/>
      <c r="H57" s="360" t="s">
        <v>378</v>
      </c>
      <c r="K57" s="177"/>
      <c r="L57" s="177"/>
      <c r="M57" s="385"/>
      <c r="N57" s="163"/>
      <c r="O57" s="385"/>
      <c r="P57" s="163"/>
      <c r="Q57" s="385"/>
      <c r="Y57" s="163"/>
    </row>
    <row r="58" spans="4:25" ht="45" customHeight="1" x14ac:dyDescent="0.25">
      <c r="D58" s="362">
        <v>17</v>
      </c>
      <c r="E58" s="362"/>
      <c r="F58" s="298" t="s">
        <v>306</v>
      </c>
      <c r="G58" s="393"/>
      <c r="H58" s="360" t="s">
        <v>377</v>
      </c>
      <c r="J58" s="758"/>
      <c r="L58" s="154"/>
      <c r="M58" s="358"/>
      <c r="N58" s="177"/>
      <c r="O58" s="358"/>
      <c r="P58" s="177"/>
      <c r="Q58" s="358"/>
      <c r="Y58" s="163"/>
    </row>
    <row r="59" spans="4:25" ht="31.5" customHeight="1" x14ac:dyDescent="0.25">
      <c r="D59" s="362">
        <v>18</v>
      </c>
      <c r="E59" s="362"/>
      <c r="F59" s="298" t="s">
        <v>309</v>
      </c>
      <c r="G59" s="393"/>
      <c r="H59" s="360" t="s">
        <v>378</v>
      </c>
      <c r="J59" s="758"/>
      <c r="K59" s="168"/>
      <c r="L59" s="168"/>
      <c r="R59" s="758"/>
      <c r="Y59" s="163"/>
    </row>
    <row r="60" spans="4:25" ht="36.75" customHeight="1" x14ac:dyDescent="0.25">
      <c r="D60" s="363">
        <v>19</v>
      </c>
      <c r="E60" s="363"/>
      <c r="F60" s="176" t="s">
        <v>311</v>
      </c>
      <c r="G60" s="394"/>
      <c r="H60" s="360" t="s">
        <v>378</v>
      </c>
      <c r="J60" s="758"/>
      <c r="K60" s="168"/>
      <c r="L60" s="154"/>
      <c r="M60" s="759"/>
      <c r="N60" s="759"/>
      <c r="O60" s="759"/>
      <c r="P60" s="759"/>
      <c r="Q60" s="759"/>
      <c r="R60" s="758"/>
      <c r="S60" s="358"/>
      <c r="Y60" s="163"/>
    </row>
    <row r="61" spans="4:25" ht="33" customHeight="1" x14ac:dyDescent="0.25">
      <c r="F61" s="351" t="s">
        <v>314</v>
      </c>
      <c r="G61" s="388"/>
      <c r="H61" s="351">
        <f>COUNTIF(H42:H60,"Si")</f>
        <v>10</v>
      </c>
      <c r="J61" s="758"/>
      <c r="K61" s="168"/>
      <c r="L61" s="154"/>
      <c r="M61" s="759"/>
      <c r="N61" s="759"/>
      <c r="O61" s="759"/>
      <c r="P61" s="759"/>
      <c r="Q61" s="759"/>
      <c r="R61" s="758"/>
      <c r="S61" s="358"/>
      <c r="Y61" s="163"/>
    </row>
    <row r="62" spans="4:25" x14ac:dyDescent="0.25">
      <c r="J62" s="358"/>
      <c r="K62" s="157"/>
      <c r="R62" s="358"/>
      <c r="S62" s="358"/>
      <c r="Y62" s="163"/>
    </row>
    <row r="63" spans="4:25" x14ac:dyDescent="0.25">
      <c r="S63" s="358"/>
      <c r="Y63" s="163"/>
    </row>
    <row r="64" spans="4:25" x14ac:dyDescent="0.25">
      <c r="X64" s="163"/>
      <c r="Y64" s="163"/>
    </row>
    <row r="65" spans="4:25" x14ac:dyDescent="0.25">
      <c r="T65" s="163"/>
      <c r="U65" s="163"/>
      <c r="V65" s="163"/>
      <c r="W65" s="163"/>
      <c r="X65" s="163"/>
      <c r="Y65" s="163"/>
    </row>
    <row r="66" spans="4:25" x14ac:dyDescent="0.25">
      <c r="T66" s="163"/>
      <c r="U66" s="163"/>
      <c r="V66" s="163"/>
      <c r="W66" s="163"/>
    </row>
    <row r="79" spans="4:25" ht="21" customHeight="1" x14ac:dyDescent="0.3">
      <c r="D79" s="757" t="s">
        <v>522</v>
      </c>
      <c r="E79" s="757"/>
      <c r="F79" s="757"/>
      <c r="G79" s="146"/>
      <c r="I79" s="609" t="s">
        <v>469</v>
      </c>
      <c r="J79" s="609"/>
      <c r="K79" s="609"/>
      <c r="L79" s="609"/>
      <c r="M79" s="609"/>
    </row>
    <row r="80" spans="4:25" ht="21" customHeight="1" x14ac:dyDescent="0.3">
      <c r="D80" s="310" t="s">
        <v>514</v>
      </c>
      <c r="E80" s="310"/>
      <c r="F80" s="305">
        <v>0.2</v>
      </c>
      <c r="G80" s="371"/>
      <c r="I80" s="1"/>
      <c r="J80" s="5"/>
      <c r="K80" s="295" t="s">
        <v>13</v>
      </c>
      <c r="L80" s="295" t="s">
        <v>498</v>
      </c>
      <c r="M80" s="1"/>
      <c r="N80" s="140" t="s">
        <v>265</v>
      </c>
    </row>
    <row r="81" spans="4:14" ht="21" customHeight="1" x14ac:dyDescent="0.3">
      <c r="D81" s="310" t="s">
        <v>515</v>
      </c>
      <c r="E81" s="310"/>
      <c r="F81" s="305">
        <v>0.4</v>
      </c>
      <c r="G81" s="371"/>
      <c r="I81" s="1"/>
      <c r="J81" s="5"/>
      <c r="K81" s="1" t="s">
        <v>14</v>
      </c>
      <c r="L81" s="1" t="s">
        <v>595</v>
      </c>
      <c r="M81" s="1"/>
      <c r="N81" s="140" t="s">
        <v>559</v>
      </c>
    </row>
    <row r="82" spans="4:14" ht="21" customHeight="1" x14ac:dyDescent="0.3">
      <c r="D82" s="311" t="s">
        <v>516</v>
      </c>
      <c r="E82" s="311"/>
      <c r="F82" s="306">
        <v>0.6</v>
      </c>
      <c r="G82" s="372"/>
      <c r="I82"/>
      <c r="J82" s="5"/>
      <c r="K82" s="1" t="s">
        <v>15</v>
      </c>
      <c r="L82" s="1" t="s">
        <v>9</v>
      </c>
      <c r="M82" s="1"/>
    </row>
    <row r="83" spans="4:14" ht="21" customHeight="1" x14ac:dyDescent="0.3">
      <c r="D83" s="311" t="s">
        <v>517</v>
      </c>
      <c r="E83" s="311"/>
      <c r="F83" s="306">
        <v>0.8</v>
      </c>
      <c r="G83" s="372"/>
      <c r="I83" s="1"/>
      <c r="J83" s="5"/>
      <c r="K83" s="1" t="s">
        <v>16</v>
      </c>
      <c r="L83" s="1"/>
      <c r="M83" s="1"/>
      <c r="N83" s="140" t="s">
        <v>560</v>
      </c>
    </row>
    <row r="84" spans="4:14" ht="21" customHeight="1" x14ac:dyDescent="0.3">
      <c r="D84" s="312" t="s">
        <v>518</v>
      </c>
      <c r="E84" s="312"/>
      <c r="F84" s="307">
        <v>1</v>
      </c>
      <c r="G84" s="373"/>
      <c r="I84" s="1"/>
      <c r="J84" s="5"/>
      <c r="K84" s="1"/>
      <c r="L84" s="1"/>
      <c r="M84" s="1"/>
      <c r="N84" s="140" t="s">
        <v>561</v>
      </c>
    </row>
    <row r="85" spans="4:14" ht="21" customHeight="1" x14ac:dyDescent="0.3">
      <c r="D85" s="146"/>
      <c r="E85" s="146"/>
      <c r="F85" s="146"/>
      <c r="G85" s="146"/>
      <c r="I85" s="1"/>
      <c r="J85" s="5"/>
      <c r="K85" s="295" t="s">
        <v>18</v>
      </c>
      <c r="L85" s="295" t="s">
        <v>21</v>
      </c>
      <c r="M85" s="1"/>
    </row>
    <row r="86" spans="4:14" ht="21" customHeight="1" x14ac:dyDescent="0.3">
      <c r="D86" s="146"/>
      <c r="E86" s="146"/>
      <c r="F86" s="146"/>
      <c r="G86" s="146"/>
      <c r="I86" s="1"/>
      <c r="J86" s="5"/>
      <c r="K86" s="1" t="s">
        <v>493</v>
      </c>
      <c r="L86" s="1" t="s">
        <v>22</v>
      </c>
      <c r="M86" s="1"/>
      <c r="N86" s="140" t="s">
        <v>276</v>
      </c>
    </row>
    <row r="87" spans="4:14" ht="21" customHeight="1" x14ac:dyDescent="0.3">
      <c r="D87" s="757" t="s">
        <v>523</v>
      </c>
      <c r="E87" s="757"/>
      <c r="F87" s="757"/>
      <c r="G87" s="146"/>
      <c r="I87" s="1"/>
      <c r="J87" s="5"/>
      <c r="K87" s="1" t="s">
        <v>494</v>
      </c>
      <c r="L87" s="1" t="s">
        <v>23</v>
      </c>
      <c r="M87" s="1"/>
      <c r="N87" s="140" t="s">
        <v>562</v>
      </c>
    </row>
    <row r="88" spans="4:14" ht="21" customHeight="1" x14ac:dyDescent="0.3">
      <c r="D88" s="313" t="s">
        <v>519</v>
      </c>
      <c r="E88" s="313"/>
      <c r="F88" s="308">
        <v>0.2</v>
      </c>
      <c r="G88" s="374"/>
      <c r="I88" s="1"/>
      <c r="J88" s="5"/>
      <c r="K88" s="1"/>
      <c r="L88" s="1"/>
      <c r="M88" s="1"/>
    </row>
    <row r="89" spans="4:14" ht="21" customHeight="1" x14ac:dyDescent="0.3">
      <c r="D89" s="313" t="s">
        <v>520</v>
      </c>
      <c r="E89" s="313"/>
      <c r="F89" s="308">
        <v>0.4</v>
      </c>
      <c r="G89" s="374"/>
      <c r="I89" s="1"/>
      <c r="J89" s="5"/>
      <c r="K89" s="1"/>
      <c r="L89" s="1"/>
      <c r="M89" s="1"/>
      <c r="N89" s="140" t="s">
        <v>282</v>
      </c>
    </row>
    <row r="90" spans="4:14" ht="21" customHeight="1" x14ac:dyDescent="0.3">
      <c r="D90" s="311" t="s">
        <v>447</v>
      </c>
      <c r="E90" s="311"/>
      <c r="F90" s="306">
        <v>0.6</v>
      </c>
      <c r="G90" s="372"/>
      <c r="I90" s="1"/>
      <c r="J90" s="5"/>
      <c r="K90" s="295" t="s">
        <v>496</v>
      </c>
      <c r="L90" s="295" t="s">
        <v>29</v>
      </c>
      <c r="M90" s="1"/>
      <c r="N90" s="140" t="s">
        <v>336</v>
      </c>
    </row>
    <row r="91" spans="4:14" ht="21" customHeight="1" x14ac:dyDescent="0.3">
      <c r="D91" s="312" t="s">
        <v>521</v>
      </c>
      <c r="E91" s="312"/>
      <c r="F91" s="307">
        <v>0.8</v>
      </c>
      <c r="G91" s="373"/>
      <c r="I91" s="1"/>
      <c r="J91" s="5"/>
      <c r="K91" s="1" t="s">
        <v>497</v>
      </c>
      <c r="L91" s="1" t="s">
        <v>30</v>
      </c>
      <c r="M91" s="1"/>
      <c r="N91" s="140" t="s">
        <v>563</v>
      </c>
    </row>
    <row r="92" spans="4:14" ht="21" customHeight="1" x14ac:dyDescent="0.3">
      <c r="D92" s="314" t="s">
        <v>524</v>
      </c>
      <c r="E92" s="314"/>
      <c r="F92" s="309">
        <v>1</v>
      </c>
      <c r="G92" s="375"/>
      <c r="I92" s="1"/>
      <c r="J92" s="5"/>
      <c r="K92" s="1" t="s">
        <v>27</v>
      </c>
      <c r="L92" s="1" t="s">
        <v>504</v>
      </c>
      <c r="M92" s="1"/>
    </row>
    <row r="93" spans="4:14" ht="16.5" x14ac:dyDescent="0.3">
      <c r="I93" s="1"/>
      <c r="J93" s="5"/>
      <c r="K93" s="1"/>
      <c r="L93" s="1" t="s">
        <v>31</v>
      </c>
      <c r="M93" s="1"/>
      <c r="N93" s="140" t="s">
        <v>288</v>
      </c>
    </row>
    <row r="94" spans="4:14" ht="16.5" x14ac:dyDescent="0.3">
      <c r="I94" s="1"/>
      <c r="J94" s="5"/>
      <c r="K94" s="295" t="s">
        <v>39</v>
      </c>
      <c r="L94" s="1" t="s">
        <v>505</v>
      </c>
      <c r="M94" s="1"/>
      <c r="N94" s="140" t="s">
        <v>564</v>
      </c>
    </row>
    <row r="95" spans="4:14" ht="16.5" x14ac:dyDescent="0.3">
      <c r="I95" s="1"/>
      <c r="J95" s="5"/>
      <c r="K95" s="1" t="s">
        <v>40</v>
      </c>
      <c r="L95" s="1" t="s">
        <v>32</v>
      </c>
      <c r="M95" s="1"/>
    </row>
    <row r="96" spans="4:14" x14ac:dyDescent="0.25">
      <c r="K96" s="140" t="s">
        <v>41</v>
      </c>
      <c r="N96" s="140" t="s">
        <v>293</v>
      </c>
    </row>
    <row r="97" spans="14:14" x14ac:dyDescent="0.25">
      <c r="N97" s="140" t="s">
        <v>565</v>
      </c>
    </row>
    <row r="99" spans="14:14" x14ac:dyDescent="0.25">
      <c r="N99" s="140" t="s">
        <v>301</v>
      </c>
    </row>
    <row r="100" spans="14:14" x14ac:dyDescent="0.25">
      <c r="N100" s="140" t="s">
        <v>566</v>
      </c>
    </row>
    <row r="101" spans="14:14" x14ac:dyDescent="0.25">
      <c r="N101" s="140" t="s">
        <v>567</v>
      </c>
    </row>
    <row r="119" spans="6:6" x14ac:dyDescent="0.25">
      <c r="F119" s="140" t="s">
        <v>395</v>
      </c>
    </row>
    <row r="121" spans="6:6" x14ac:dyDescent="0.25">
      <c r="F121" s="140" t="s">
        <v>377</v>
      </c>
    </row>
    <row r="122" spans="6:6" x14ac:dyDescent="0.25">
      <c r="F122" s="140" t="s">
        <v>378</v>
      </c>
    </row>
    <row r="284" spans="4:20" x14ac:dyDescent="0.25">
      <c r="J284" s="165"/>
      <c r="K284" s="165"/>
      <c r="L284" s="165"/>
    </row>
    <row r="287" spans="4:20" x14ac:dyDescent="0.25">
      <c r="M287" s="165"/>
      <c r="N287" s="165"/>
      <c r="O287" s="165"/>
      <c r="S287" s="165"/>
      <c r="T287" s="165"/>
    </row>
    <row r="288" spans="4:20" x14ac:dyDescent="0.25">
      <c r="D288" s="143"/>
    </row>
    <row r="289" spans="4:18" x14ac:dyDescent="0.25">
      <c r="D289" s="143"/>
    </row>
    <row r="290" spans="4:18" x14ac:dyDescent="0.25">
      <c r="D290" s="143"/>
    </row>
    <row r="291" spans="4:18" x14ac:dyDescent="0.25">
      <c r="D291" s="143"/>
    </row>
    <row r="292" spans="4:18" x14ac:dyDescent="0.25">
      <c r="D292" s="143"/>
      <c r="I292" s="165"/>
      <c r="P292" s="165"/>
      <c r="Q292" s="165"/>
    </row>
    <row r="293" spans="4:18" x14ac:dyDescent="0.25">
      <c r="D293" s="166"/>
      <c r="E293" s="165"/>
      <c r="F293" s="165"/>
      <c r="G293" s="165"/>
      <c r="H293" s="165"/>
    </row>
    <row r="301" spans="4:18" x14ac:dyDescent="0.25">
      <c r="R301" s="165"/>
    </row>
  </sheetData>
  <mergeCells count="134">
    <mergeCell ref="C12:AA12"/>
    <mergeCell ref="C14:D14"/>
    <mergeCell ref="I14:J14"/>
    <mergeCell ref="G9:S9"/>
    <mergeCell ref="I4:O4"/>
    <mergeCell ref="P4:S4"/>
    <mergeCell ref="T4:W4"/>
    <mergeCell ref="X4:AA4"/>
    <mergeCell ref="C6:AQ7"/>
    <mergeCell ref="C8:F8"/>
    <mergeCell ref="T8:V8"/>
    <mergeCell ref="G8:S8"/>
    <mergeCell ref="E14:F14"/>
    <mergeCell ref="C9:F9"/>
    <mergeCell ref="D10:F10"/>
    <mergeCell ref="I10:AA10"/>
    <mergeCell ref="S21:S22"/>
    <mergeCell ref="T21:T22"/>
    <mergeCell ref="U21:U22"/>
    <mergeCell ref="C18:AG18"/>
    <mergeCell ref="C20:I21"/>
    <mergeCell ref="J20:R20"/>
    <mergeCell ref="S20:Y20"/>
    <mergeCell ref="Z20:AG20"/>
    <mergeCell ref="J21:J22"/>
    <mergeCell ref="AB21:AB22"/>
    <mergeCell ref="AC21:AC22"/>
    <mergeCell ref="AD21:AD22"/>
    <mergeCell ref="AE21:AE22"/>
    <mergeCell ref="AF21:AF22"/>
    <mergeCell ref="AG21:AG22"/>
    <mergeCell ref="V21:V22"/>
    <mergeCell ref="W21:W22"/>
    <mergeCell ref="X21:X22"/>
    <mergeCell ref="Y21:Y22"/>
    <mergeCell ref="Z21:Z22"/>
    <mergeCell ref="AA21:AA22"/>
    <mergeCell ref="Q30:Q33"/>
    <mergeCell ref="S37:W38"/>
    <mergeCell ref="D38:H38"/>
    <mergeCell ref="J38:Q38"/>
    <mergeCell ref="D40:D41"/>
    <mergeCell ref="F40:F41"/>
    <mergeCell ref="L40:M40"/>
    <mergeCell ref="N40:O40"/>
    <mergeCell ref="P40:Q40"/>
    <mergeCell ref="S40:S42"/>
    <mergeCell ref="J30:J33"/>
    <mergeCell ref="K30:L33"/>
    <mergeCell ref="M30:N33"/>
    <mergeCell ref="O30:O33"/>
    <mergeCell ref="P30:P33"/>
    <mergeCell ref="T40:T42"/>
    <mergeCell ref="U40:U42"/>
    <mergeCell ref="V40:V42"/>
    <mergeCell ref="W40:W42"/>
    <mergeCell ref="J42:J44"/>
    <mergeCell ref="K42:K43"/>
    <mergeCell ref="L42:L43"/>
    <mergeCell ref="M42:M43"/>
    <mergeCell ref="N42:N43"/>
    <mergeCell ref="O42:O43"/>
    <mergeCell ref="P42:P43"/>
    <mergeCell ref="Q42:Q43"/>
    <mergeCell ref="J45:J46"/>
    <mergeCell ref="K45:K46"/>
    <mergeCell ref="L45:L46"/>
    <mergeCell ref="M45:M46"/>
    <mergeCell ref="N45:N46"/>
    <mergeCell ref="O45:O46"/>
    <mergeCell ref="P45:P46"/>
    <mergeCell ref="Q45:Q46"/>
    <mergeCell ref="J50:J51"/>
    <mergeCell ref="K50:K51"/>
    <mergeCell ref="L50:L51"/>
    <mergeCell ref="M50:M51"/>
    <mergeCell ref="N50:N51"/>
    <mergeCell ref="O50:O51"/>
    <mergeCell ref="P50:P51"/>
    <mergeCell ref="Q50:Q51"/>
    <mergeCell ref="J47:J49"/>
    <mergeCell ref="K47:K49"/>
    <mergeCell ref="L47:L49"/>
    <mergeCell ref="M47:M49"/>
    <mergeCell ref="N47:N49"/>
    <mergeCell ref="O47:O49"/>
    <mergeCell ref="M60:Q60"/>
    <mergeCell ref="M61:Q61"/>
    <mergeCell ref="P52:P54"/>
    <mergeCell ref="Q52:Q54"/>
    <mergeCell ref="S52:U54"/>
    <mergeCell ref="J25:J26"/>
    <mergeCell ref="O15:O16"/>
    <mergeCell ref="V52:V54"/>
    <mergeCell ref="J55:J56"/>
    <mergeCell ref="K55:K56"/>
    <mergeCell ref="L55:L56"/>
    <mergeCell ref="M55:M56"/>
    <mergeCell ref="N55:N56"/>
    <mergeCell ref="O55:O56"/>
    <mergeCell ref="J52:J54"/>
    <mergeCell ref="K52:K54"/>
    <mergeCell ref="L52:L54"/>
    <mergeCell ref="M52:M54"/>
    <mergeCell ref="N52:N54"/>
    <mergeCell ref="O52:O54"/>
    <mergeCell ref="P55:P56"/>
    <mergeCell ref="Q55:Q56"/>
    <mergeCell ref="P47:P49"/>
    <mergeCell ref="Q47:Q49"/>
    <mergeCell ref="E23:E25"/>
    <mergeCell ref="G14:H14"/>
    <mergeCell ref="G23:G25"/>
    <mergeCell ref="D79:F79"/>
    <mergeCell ref="I79:M79"/>
    <mergeCell ref="D87:F87"/>
    <mergeCell ref="K15:K16"/>
    <mergeCell ref="L15:L16"/>
    <mergeCell ref="M15:M16"/>
    <mergeCell ref="C15:D16"/>
    <mergeCell ref="E15:F16"/>
    <mergeCell ref="G15:H16"/>
    <mergeCell ref="I15:J16"/>
    <mergeCell ref="H22:I22"/>
    <mergeCell ref="C23:C25"/>
    <mergeCell ref="D23:D25"/>
    <mergeCell ref="F23:F25"/>
    <mergeCell ref="H23:I25"/>
    <mergeCell ref="K21:K22"/>
    <mergeCell ref="L21:L22"/>
    <mergeCell ref="M21:R21"/>
    <mergeCell ref="N15:N16"/>
    <mergeCell ref="J58:J61"/>
    <mergeCell ref="R59:R61"/>
  </mergeCells>
  <conditionalFormatting sqref="H23">
    <cfRule type="containsText" dxfId="338" priority="38" operator="containsText" text="Extremo">
      <formula>NOT(ISERROR(SEARCH("Extremo",H23)))</formula>
    </cfRule>
    <cfRule type="containsText" dxfId="337" priority="39" operator="containsText" text="Alto">
      <formula>NOT(ISERROR(SEARCH("Alto",H23)))</formula>
    </cfRule>
    <cfRule type="containsText" dxfId="336" priority="40" operator="containsText" text="Moderado">
      <formula>NOT(ISERROR(SEARCH("Moderado",H23)))</formula>
    </cfRule>
    <cfRule type="containsText" dxfId="335" priority="41" operator="containsText" text="Bajo">
      <formula>NOT(ISERROR(SEARCH("Bajo",H23)))</formula>
    </cfRule>
  </conditionalFormatting>
  <conditionalFormatting sqref="R30:S33 S25:S29">
    <cfRule type="containsText" dxfId="334" priority="35" operator="containsText" text="Fuerte">
      <formula>NOT(ISERROR(SEARCH("Fuerte",R25)))</formula>
    </cfRule>
    <cfRule type="containsText" dxfId="333" priority="36" operator="containsText" text="Moderado">
      <formula>NOT(ISERROR(SEARCH("Moderado",R25)))</formula>
    </cfRule>
    <cfRule type="containsText" dxfId="332" priority="37" operator="containsText" text="Débil">
      <formula>NOT(ISERROR(SEARCH("Débil",R25)))</formula>
    </cfRule>
  </conditionalFormatting>
  <conditionalFormatting sqref="D23">
    <cfRule type="cellIs" dxfId="331" priority="30" operator="equal">
      <formula>"Muy Alta"</formula>
    </cfRule>
    <cfRule type="cellIs" dxfId="330" priority="31" operator="equal">
      <formula>"Alta"</formula>
    </cfRule>
    <cfRule type="cellIs" dxfId="329" priority="32" operator="equal">
      <formula>"Media"</formula>
    </cfRule>
    <cfRule type="cellIs" dxfId="328" priority="33" operator="equal">
      <formula>"Baja"</formula>
    </cfRule>
    <cfRule type="cellIs" dxfId="327" priority="34" operator="equal">
      <formula>"Muy Baja"</formula>
    </cfRule>
  </conditionalFormatting>
  <conditionalFormatting sqref="T23:T26">
    <cfRule type="cellIs" dxfId="326" priority="10" operator="equal">
      <formula>"Muy Alta"</formula>
    </cfRule>
    <cfRule type="cellIs" dxfId="325" priority="11" operator="equal">
      <formula>"Alta"</formula>
    </cfRule>
    <cfRule type="cellIs" dxfId="324" priority="12" operator="equal">
      <formula>"Media"</formula>
    </cfRule>
    <cfRule type="cellIs" dxfId="323" priority="13" operator="equal">
      <formula>"Baja"</formula>
    </cfRule>
    <cfRule type="cellIs" dxfId="322" priority="14" operator="equal">
      <formula>"Muy Baja"</formula>
    </cfRule>
  </conditionalFormatting>
  <conditionalFormatting sqref="V23:V26">
    <cfRule type="cellIs" dxfId="321" priority="5" operator="equal">
      <formula>"Catastrófico"</formula>
    </cfRule>
    <cfRule type="cellIs" dxfId="320" priority="6" operator="equal">
      <formula>"Mayor"</formula>
    </cfRule>
    <cfRule type="cellIs" dxfId="319" priority="7" operator="equal">
      <formula>"Moderado"</formula>
    </cfRule>
    <cfRule type="cellIs" dxfId="318" priority="8" operator="equal">
      <formula>"Menor"</formula>
    </cfRule>
    <cfRule type="cellIs" dxfId="317" priority="9" operator="equal">
      <formula>"Leve"</formula>
    </cfRule>
  </conditionalFormatting>
  <conditionalFormatting sqref="X23:X26">
    <cfRule type="cellIs" dxfId="316" priority="1" operator="equal">
      <formula>"Extremo"</formula>
    </cfRule>
    <cfRule type="cellIs" dxfId="315" priority="2" operator="equal">
      <formula>"Alto"</formula>
    </cfRule>
    <cfRule type="cellIs" dxfId="314" priority="3" operator="equal">
      <formula>"Moderado"</formula>
    </cfRule>
    <cfRule type="cellIs" dxfId="313" priority="4" operator="equal">
      <formula>"Bajo"</formula>
    </cfRule>
  </conditionalFormatting>
  <dataValidations count="15">
    <dataValidation type="list" allowBlank="1" showInputMessage="1" showErrorMessage="1" sqref="L55:L56 P55:P56 N55:N56" xr:uid="{8449AEA4-2ADB-4EFD-8821-404476E55FDF}">
      <formula1>$N$99:$N$101</formula1>
    </dataValidation>
    <dataValidation type="list" allowBlank="1" showInputMessage="1" showErrorMessage="1" sqref="L52:L54 P52:P54 N52:N54" xr:uid="{32088768-07C9-4968-BF73-66858764FE10}">
      <formula1>$N$96:$N$97</formula1>
    </dataValidation>
    <dataValidation type="list" allowBlank="1" showInputMessage="1" showErrorMessage="1" sqref="L50:L51 P50:P51 N50:N51" xr:uid="{D57A0841-F74B-4ED9-9C03-7815828B0871}">
      <formula1>$N$93:$N$94</formula1>
    </dataValidation>
    <dataValidation type="list" allowBlank="1" showInputMessage="1" showErrorMessage="1" sqref="L47:L49 P47:P49 N47:N49" xr:uid="{F3DDB36B-C840-4D27-957B-055F72685833}">
      <formula1>$N$89:$N$91</formula1>
    </dataValidation>
    <dataValidation type="list" allowBlank="1" showInputMessage="1" showErrorMessage="1" sqref="L45:L46 P45:P46 N45:N46" xr:uid="{E1CC4241-FB22-41BA-A4D4-86D36C10B7F8}">
      <formula1>$N$86:$N$87</formula1>
    </dataValidation>
    <dataValidation type="list" allowBlank="1" showInputMessage="1" showErrorMessage="1" sqref="L44 P44 N44" xr:uid="{BBB78D0B-9636-454D-98CA-35D3AF16F4E4}">
      <formula1>$N$83:$N$84</formula1>
    </dataValidation>
    <dataValidation type="list" allowBlank="1" showInputMessage="1" showErrorMessage="1" sqref="L42:L43 P42:P43 N42:N43" xr:uid="{7F11F447-BE35-4304-AF2C-E9C8E9B0D261}">
      <formula1>$N$80:$N$81</formula1>
    </dataValidation>
    <dataValidation type="list" allowBlank="1" showInputMessage="1" showErrorMessage="1" sqref="AG23:AG24" xr:uid="{F38526C9-E715-4CC7-A8CC-5691560DF689}">
      <formula1>$K$95:$K$96</formula1>
    </dataValidation>
    <dataValidation type="list" allowBlank="1" showInputMessage="1" showErrorMessage="1" sqref="Y23:Y25" xr:uid="{9B05BF12-6458-4B15-81ED-9A7097104057}">
      <formula1>$L$91:$L$95</formula1>
    </dataValidation>
    <dataValidation type="list" allowBlank="1" showInputMessage="1" showErrorMessage="1" sqref="R23:R24" xr:uid="{F320CA6C-BD90-4E6F-A6E6-599CC5D9707B}">
      <formula1>$K$91:$K$92</formula1>
    </dataValidation>
    <dataValidation type="list" allowBlank="1" showInputMessage="1" showErrorMessage="1" sqref="Q23:Q24" xr:uid="{BB506437-8CF1-45E3-BAD8-181417D75CB0}">
      <formula1>$L$86:$L$87</formula1>
    </dataValidation>
    <dataValidation type="list" allowBlank="1" showInputMessage="1" showErrorMessage="1" sqref="P23:P24" xr:uid="{70E0426F-5998-4280-A213-FD9820432A99}">
      <formula1>$K$86:$K$87</formula1>
    </dataValidation>
    <dataValidation type="list" allowBlank="1" showInputMessage="1" showErrorMessage="1" sqref="N23:N24" xr:uid="{A739BDEA-BAAD-4AA4-AD24-5FE63300CE98}">
      <formula1>$L$81:$L$82</formula1>
    </dataValidation>
    <dataValidation type="list" allowBlank="1" showInputMessage="1" showErrorMessage="1" sqref="M23:M24" xr:uid="{B1396AD6-80C2-44E3-B80C-A250EC3530EA}">
      <formula1>$K$81:$K$83</formula1>
    </dataValidation>
    <dataValidation type="list" allowBlank="1" showInputMessage="1" showErrorMessage="1" sqref="H42:H60" xr:uid="{B2B16B51-AA89-49E8-A567-32A3DFC95523}">
      <formula1>$F$121:$F$122</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5" stopIfTrue="1" operator="containsText" id="{9946904A-1DB1-4181-A68B-19978F532278}">
            <xm:f>NOT(ISERROR(SEARCH($D$91,F23)))</xm:f>
            <xm:f>$D$91</xm:f>
            <x14:dxf>
              <fill>
                <patternFill>
                  <bgColor theme="9" tint="-0.24994659260841701"/>
                </patternFill>
              </fill>
            </x14:dxf>
          </x14:cfRule>
          <x14:cfRule type="containsText" priority="26" stopIfTrue="1" operator="containsText" id="{5CFCF59A-858D-43CE-ADE3-44529D785E32}">
            <xm:f>NOT(ISERROR(SEARCH($D$92,F23)))</xm:f>
            <xm:f>$D$92</xm:f>
            <x14:dxf>
              <fill>
                <patternFill>
                  <bgColor rgb="FFFF0000"/>
                </patternFill>
              </fill>
            </x14:dxf>
          </x14:cfRule>
          <x14:cfRule type="containsText" priority="27" stopIfTrue="1" operator="containsText" id="{4D091677-39C3-4744-98B3-7945668C38D7}">
            <xm:f>NOT(ISERROR(SEARCH($D$89,F23)))</xm:f>
            <xm:f>$D$89</xm:f>
            <x14:dxf>
              <fill>
                <patternFill>
                  <bgColor theme="6"/>
                </patternFill>
              </fill>
            </x14:dxf>
          </x14:cfRule>
          <x14:cfRule type="containsText" priority="28" stopIfTrue="1" operator="containsText" id="{4CFAA981-1D32-47B0-BBA2-C1A8001C7BC7}">
            <xm:f>NOT(ISERROR(SEARCH($D$90,F23)))</xm:f>
            <xm:f>$D$90</xm:f>
            <x14:dxf>
              <fill>
                <patternFill>
                  <bgColor rgb="FFFFFF00"/>
                </patternFill>
              </fill>
            </x14:dxf>
          </x14:cfRule>
          <x14:cfRule type="containsText" priority="29" stopIfTrue="1" operator="containsText" id="{A13E8E68-4FDF-4164-8A77-BA37D5E3ABEC}">
            <xm:f>NOT(ISERROR(SEARCH($D$88,F23)))</xm:f>
            <xm:f>$D$88</xm:f>
            <x14:dxf>
              <fill>
                <patternFill>
                  <bgColor theme="6"/>
                </patternFill>
              </fill>
            </x14:dxf>
          </x14:cfRule>
          <xm:sqref>F23:G23 F24:F25</xm:sqref>
        </x14:conditionalFormatting>
        <x14:conditionalFormatting xmlns:xm="http://schemas.microsoft.com/office/excel/2006/main">
          <x14:cfRule type="containsText" priority="20" stopIfTrue="1" operator="containsText" id="{EB57AB93-F90E-4BA8-93FA-B96B62C9C1A9}">
            <xm:f>NOT(ISERROR(SEARCH($F$84,D26)))</xm:f>
            <xm:f>$F$84</xm:f>
            <x14:dxf>
              <fill>
                <patternFill>
                  <bgColor theme="9" tint="-0.24994659260841701"/>
                </patternFill>
              </fill>
            </x14:dxf>
          </x14:cfRule>
          <x14:cfRule type="containsText" priority="21" stopIfTrue="1" operator="containsText" id="{AA939376-B71D-4604-AE7B-221CB356A757}">
            <xm:f>NOT(ISERROR(SEARCH($F$83,D26)))</xm:f>
            <xm:f>$F$83</xm:f>
            <x14:dxf>
              <fill>
                <patternFill>
                  <bgColor rgb="FFFFFF00"/>
                </patternFill>
              </fill>
            </x14:dxf>
          </x14:cfRule>
          <x14:cfRule type="containsText" priority="22" stopIfTrue="1" operator="containsText" id="{3427BE03-CE86-47D5-BCF1-4591E63DE5E9}">
            <xm:f>NOT(ISERROR(SEARCH($F$82,D26)))</xm:f>
            <xm:f>$F$82</xm:f>
            <x14:dxf>
              <fill>
                <patternFill>
                  <bgColor rgb="FFFFFF00"/>
                </patternFill>
              </fill>
            </x14:dxf>
          </x14:cfRule>
          <x14:cfRule type="containsText" priority="23" stopIfTrue="1" operator="containsText" id="{CB95DF57-F2BE-4AC2-BA1C-F161B5DF8367}">
            <xm:f>NOT(ISERROR(SEARCH($F$81,D26)))</xm:f>
            <xm:f>$F$81</xm:f>
            <x14:dxf>
              <fill>
                <patternFill>
                  <bgColor rgb="FF92D050"/>
                </patternFill>
              </fill>
            </x14:dxf>
          </x14:cfRule>
          <x14:cfRule type="containsText" priority="24" stopIfTrue="1" operator="containsText" id="{C1DE494A-01C5-4AF2-BD5B-E16D62510A82}">
            <xm:f>NOT(ISERROR(SEARCH($F$80,D26)))</xm:f>
            <xm:f>$F$80</xm:f>
            <x14:dxf>
              <fill>
                <patternFill>
                  <bgColor rgb="FF92D050"/>
                </patternFill>
              </fill>
            </x14:dxf>
          </x14:cfRule>
          <xm:sqref>D26:E26</xm:sqref>
        </x14:conditionalFormatting>
        <x14:conditionalFormatting xmlns:xm="http://schemas.microsoft.com/office/excel/2006/main">
          <x14:cfRule type="containsText" priority="15" stopIfTrue="1" operator="containsText" id="{4D347278-E96C-4393-8DF3-1EC4CD309D20}">
            <xm:f>NOT(ISERROR(SEARCH($F$92,F26)))</xm:f>
            <xm:f>$F$92</xm:f>
            <x14:dxf>
              <fill>
                <patternFill>
                  <bgColor rgb="FFFF0000"/>
                </patternFill>
              </fill>
            </x14:dxf>
          </x14:cfRule>
          <x14:cfRule type="containsText" priority="16" stopIfTrue="1" operator="containsText" id="{93FEBFAB-F46B-4DBA-AEF9-F26534D251A2}">
            <xm:f>NOT(ISERROR(SEARCH($F$91,F26)))</xm:f>
            <xm:f>$F$91</xm:f>
            <x14:dxf>
              <fill>
                <patternFill>
                  <bgColor theme="9" tint="-0.24994659260841701"/>
                </patternFill>
              </fill>
            </x14:dxf>
          </x14:cfRule>
          <x14:cfRule type="containsText" priority="17" stopIfTrue="1" operator="containsText" id="{31F7E875-0B66-4E59-900C-1BA250733F2C}">
            <xm:f>NOT(ISERROR(SEARCH($F$90,F26)))</xm:f>
            <xm:f>$F$90</xm:f>
            <x14:dxf>
              <fill>
                <patternFill>
                  <bgColor rgb="FFFFFF00"/>
                </patternFill>
              </fill>
            </x14:dxf>
          </x14:cfRule>
          <x14:cfRule type="containsText" priority="18" stopIfTrue="1" operator="containsText" id="{CEBEF187-9884-4E65-A4F9-4A2AFFF2B52E}">
            <xm:f>NOT(ISERROR(SEARCH($F$89,F26)))</xm:f>
            <xm:f>$F$89</xm:f>
            <x14:dxf>
              <fill>
                <patternFill>
                  <bgColor rgb="FF92D050"/>
                </patternFill>
              </fill>
            </x14:dxf>
          </x14:cfRule>
          <x14:cfRule type="containsText" priority="19" stopIfTrue="1" operator="containsText" id="{94BA8A93-A4B0-41AC-BEBF-846C78C40C96}">
            <xm:f>NOT(ISERROR(SEARCH($F$88,F26)))</xm:f>
            <xm:f>$F$88</xm:f>
            <x14:dxf>
              <fill>
                <patternFill>
                  <bgColor rgb="FF92D050"/>
                </patternFill>
              </fill>
            </x14:dxf>
          </x14:cfRule>
          <xm:sqref>F26:G26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A07F0-818F-4B6D-9046-51EECC4194C5}">
  <sheetPr>
    <tabColor rgb="FFFF0000"/>
  </sheetPr>
  <dimension ref="B1:CS301"/>
  <sheetViews>
    <sheetView topLeftCell="V21" zoomScale="80" zoomScaleNormal="80" workbookViewId="0">
      <selection activeCell="K23" sqref="K23"/>
    </sheetView>
  </sheetViews>
  <sheetFormatPr baseColWidth="10" defaultRowHeight="15" x14ac:dyDescent="0.25"/>
  <cols>
    <col min="1" max="1" width="6.28515625" style="140" customWidth="1"/>
    <col min="2" max="2" width="5" style="140" customWidth="1"/>
    <col min="3" max="3" width="25.85546875" style="140" customWidth="1"/>
    <col min="4" max="4" width="22.5703125" style="140" customWidth="1"/>
    <col min="5" max="5" width="15.42578125" style="140" customWidth="1"/>
    <col min="6" max="6" width="40.140625" style="140" customWidth="1"/>
    <col min="7" max="7" width="19.28515625" style="140" customWidth="1"/>
    <col min="8" max="8" width="20.5703125" style="140" customWidth="1"/>
    <col min="9" max="9" width="18.42578125" style="140" customWidth="1"/>
    <col min="10" max="10" width="15.7109375" style="140" customWidth="1"/>
    <col min="11" max="11" width="48.7109375" style="140" customWidth="1"/>
    <col min="12" max="12" width="30.42578125" style="140" customWidth="1"/>
    <col min="13" max="13" width="19.7109375" style="140" customWidth="1"/>
    <col min="14" max="14" width="31.85546875" style="140" customWidth="1"/>
    <col min="15" max="15" width="27.28515625" style="140" customWidth="1"/>
    <col min="16" max="16" width="17.5703125" style="140" customWidth="1"/>
    <col min="17" max="17" width="21.7109375" style="140" customWidth="1"/>
    <col min="18" max="18" width="13.5703125" style="140" customWidth="1"/>
    <col min="19" max="19" width="20.85546875" style="140" customWidth="1"/>
    <col min="20" max="20" width="18.42578125" style="140" customWidth="1"/>
    <col min="21" max="21" width="18.5703125" style="140" customWidth="1"/>
    <col min="22" max="22" width="19.28515625" style="140" customWidth="1"/>
    <col min="23" max="23" width="17.85546875" style="140" customWidth="1"/>
    <col min="24" max="24" width="18" style="140" customWidth="1"/>
    <col min="25" max="25" width="18.5703125" style="140" customWidth="1"/>
    <col min="26" max="26" width="25.140625" style="140" customWidth="1"/>
    <col min="27" max="27" width="17.42578125" style="140" customWidth="1"/>
    <col min="28" max="28" width="18.85546875" style="140" customWidth="1"/>
    <col min="29" max="29" width="12.85546875" style="140" customWidth="1"/>
    <col min="30" max="30" width="14" style="140" customWidth="1"/>
    <col min="31" max="31" width="19.7109375" style="140" customWidth="1"/>
    <col min="32" max="32" width="18.28515625" style="140" customWidth="1"/>
    <col min="33" max="33" width="14.85546875" style="140" customWidth="1"/>
    <col min="34" max="34" width="8.42578125" style="140" customWidth="1"/>
    <col min="35" max="35" width="13.85546875" style="140" customWidth="1"/>
    <col min="36" max="37" width="9" style="140" customWidth="1"/>
    <col min="38" max="38" width="24.5703125" style="140" customWidth="1"/>
    <col min="39" max="39" width="13.85546875" style="140" customWidth="1"/>
    <col min="40" max="40" width="12.5703125" style="140" customWidth="1"/>
    <col min="41" max="41" width="5.5703125" style="140" customWidth="1"/>
    <col min="42" max="47" width="15.5703125" style="140" customWidth="1"/>
    <col min="48" max="88" width="5.5703125" style="140" customWidth="1"/>
    <col min="89" max="89" width="11.5703125" style="140" customWidth="1"/>
    <col min="90" max="90" width="8.42578125" style="140" customWidth="1"/>
    <col min="91" max="91" width="8.7109375" style="140" customWidth="1"/>
    <col min="92" max="92" width="11.42578125" style="140"/>
    <col min="93" max="93" width="7.140625" style="140" customWidth="1"/>
    <col min="94" max="94" width="119.140625" style="140" bestFit="1" customWidth="1"/>
    <col min="95" max="97" width="11.42578125" style="140"/>
    <col min="98" max="98" width="43.7109375" style="140" customWidth="1"/>
    <col min="99" max="99" width="67.85546875" style="140" customWidth="1"/>
    <col min="100" max="100" width="18.140625" style="140" customWidth="1"/>
    <col min="101" max="101" width="11.42578125" style="140"/>
    <col min="102" max="102" width="17.140625" style="140" customWidth="1"/>
    <col min="103" max="106" width="11.42578125" style="140"/>
    <col min="107" max="107" width="12.85546875" style="140" customWidth="1"/>
    <col min="108" max="108" width="16.85546875" style="140" customWidth="1"/>
    <col min="109" max="109" width="19.28515625" style="140" customWidth="1"/>
    <col min="110" max="110" width="23.140625" style="140" customWidth="1"/>
    <col min="111" max="111" width="18" style="140" customWidth="1"/>
    <col min="112" max="16384" width="11.42578125" style="140"/>
  </cols>
  <sheetData>
    <row r="1" spans="2:97" ht="108" customHeight="1" x14ac:dyDescent="0.25"/>
    <row r="2" spans="2:97" ht="54.75" customHeight="1" x14ac:dyDescent="0.25"/>
    <row r="3" spans="2:97" ht="68.25" customHeight="1" x14ac:dyDescent="0.25">
      <c r="B3" s="142"/>
    </row>
    <row r="4" spans="2:97" x14ac:dyDescent="0.25">
      <c r="D4" s="322"/>
      <c r="E4" s="322"/>
      <c r="F4" s="322"/>
      <c r="G4" s="322"/>
      <c r="H4" s="322"/>
      <c r="I4" s="762"/>
      <c r="J4" s="762"/>
      <c r="K4" s="762"/>
      <c r="L4" s="762"/>
      <c r="M4" s="762"/>
      <c r="N4" s="762"/>
      <c r="O4" s="762"/>
      <c r="P4" s="762"/>
      <c r="Q4" s="762"/>
      <c r="R4" s="762"/>
      <c r="S4" s="762"/>
      <c r="T4" s="762"/>
      <c r="U4" s="762"/>
      <c r="V4" s="762"/>
      <c r="W4" s="762"/>
      <c r="X4" s="762"/>
      <c r="Y4" s="762"/>
      <c r="Z4" s="762"/>
      <c r="AA4" s="762"/>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row>
    <row r="5" spans="2:97" ht="6.75" customHeight="1" thickBot="1" x14ac:dyDescent="0.3">
      <c r="D5" s="149"/>
      <c r="E5" s="149"/>
      <c r="F5" s="149"/>
      <c r="G5" s="149"/>
      <c r="H5" s="149"/>
      <c r="I5" s="149"/>
      <c r="J5" s="149"/>
      <c r="K5" s="149"/>
      <c r="L5" s="149"/>
      <c r="M5" s="149"/>
      <c r="N5" s="149"/>
      <c r="O5" s="149"/>
      <c r="P5" s="150"/>
      <c r="Q5" s="150"/>
      <c r="R5" s="150"/>
      <c r="S5" s="150"/>
      <c r="T5" s="149"/>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row>
    <row r="6" spans="2:97" ht="18.75" customHeight="1" x14ac:dyDescent="0.25">
      <c r="C6" s="580" t="s">
        <v>507</v>
      </c>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1"/>
      <c r="AN6" s="581"/>
      <c r="AO6" s="581"/>
      <c r="AP6" s="581"/>
      <c r="AQ6" s="582"/>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row>
    <row r="7" spans="2:97" ht="7.5" customHeight="1" thickBot="1" x14ac:dyDescent="0.3">
      <c r="C7" s="717"/>
      <c r="D7" s="585"/>
      <c r="E7" s="585"/>
      <c r="F7" s="585"/>
      <c r="G7" s="585"/>
      <c r="H7" s="585"/>
      <c r="I7" s="585"/>
      <c r="J7" s="585"/>
      <c r="K7" s="585"/>
      <c r="L7" s="585"/>
      <c r="M7" s="585"/>
      <c r="N7" s="585"/>
      <c r="O7" s="585"/>
      <c r="P7" s="585"/>
      <c r="Q7" s="585"/>
      <c r="R7" s="585"/>
      <c r="S7" s="585"/>
      <c r="T7" s="585"/>
      <c r="U7" s="585"/>
      <c r="V7" s="585"/>
      <c r="W7" s="585"/>
      <c r="X7" s="585"/>
      <c r="Y7" s="585"/>
      <c r="Z7" s="585"/>
      <c r="AA7" s="585"/>
      <c r="AB7" s="585"/>
      <c r="AC7" s="585"/>
      <c r="AD7" s="585"/>
      <c r="AE7" s="585"/>
      <c r="AF7" s="585"/>
      <c r="AG7" s="585"/>
      <c r="AH7" s="585"/>
      <c r="AI7" s="585"/>
      <c r="AJ7" s="585"/>
      <c r="AK7" s="585"/>
      <c r="AL7" s="585"/>
      <c r="AM7" s="585"/>
      <c r="AN7" s="585"/>
      <c r="AO7" s="585"/>
      <c r="AP7" s="585"/>
      <c r="AQ7" s="58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row>
    <row r="8" spans="2:97" ht="20.25" customHeight="1" thickBot="1" x14ac:dyDescent="0.3">
      <c r="C8" s="805" t="s">
        <v>43</v>
      </c>
      <c r="D8" s="806"/>
      <c r="E8" s="807"/>
      <c r="F8" s="808"/>
      <c r="G8" s="809" t="str">
        <f>'Datos del proceso'!A10</f>
        <v>TRANSFORMACIÓN CULTURAL PARA LA REVITALIZACIÓN DEL CENTRO</v>
      </c>
      <c r="H8" s="810"/>
      <c r="I8" s="810"/>
      <c r="J8" s="810"/>
      <c r="K8" s="810"/>
      <c r="L8" s="810"/>
      <c r="M8" s="810"/>
      <c r="N8" s="810"/>
      <c r="O8" s="810"/>
      <c r="P8" s="810"/>
      <c r="Q8" s="810"/>
      <c r="R8" s="810"/>
      <c r="S8" s="811"/>
      <c r="T8" s="812"/>
      <c r="U8" s="813"/>
      <c r="V8" s="813"/>
      <c r="W8" s="302"/>
      <c r="X8" s="302"/>
      <c r="Y8" s="302"/>
      <c r="Z8" s="302"/>
      <c r="AA8" s="302"/>
      <c r="AB8" s="302"/>
      <c r="AC8" s="302"/>
      <c r="AD8" s="302"/>
      <c r="AE8" s="302"/>
      <c r="AF8" s="302"/>
      <c r="AG8" s="302"/>
      <c r="AH8" s="302"/>
      <c r="AI8" s="302"/>
      <c r="AJ8" s="302"/>
      <c r="AK8" s="302"/>
      <c r="AL8" s="302"/>
      <c r="AM8" s="302"/>
      <c r="AN8" s="302"/>
      <c r="AO8" s="302"/>
      <c r="AP8" s="302"/>
      <c r="AQ8" s="302"/>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row>
    <row r="9" spans="2:97" ht="24.75" customHeight="1" thickBot="1" x14ac:dyDescent="0.3">
      <c r="C9" s="805" t="s">
        <v>130</v>
      </c>
      <c r="D9" s="806"/>
      <c r="E9" s="807"/>
      <c r="F9" s="808"/>
      <c r="G9" s="809" t="str">
        <f>'Datos del proceso'!I10</f>
        <v>Desarrollar estrategias para posicionar positivamente el centro de la ciudad, revitalizarlo y transformarlo mediante el apoyo y el fomento, eficaz, de las prácticas artísticas, culturales y del ecosistema creativo, garantizando la
participación ciudadana y grupos de valor.</v>
      </c>
      <c r="H9" s="810"/>
      <c r="I9" s="810"/>
      <c r="J9" s="810"/>
      <c r="K9" s="810"/>
      <c r="L9" s="810"/>
      <c r="M9" s="810"/>
      <c r="N9" s="810"/>
      <c r="O9" s="810"/>
      <c r="P9" s="810"/>
      <c r="Q9" s="810"/>
      <c r="R9" s="810"/>
      <c r="S9" s="811"/>
      <c r="T9" s="303"/>
      <c r="U9" s="292"/>
      <c r="V9" s="292"/>
      <c r="W9" s="292"/>
      <c r="X9" s="292"/>
      <c r="Y9" s="292"/>
      <c r="Z9" s="292"/>
      <c r="AA9" s="292"/>
      <c r="AB9" s="292"/>
      <c r="AC9" s="292"/>
      <c r="AD9" s="292"/>
      <c r="AE9" s="292"/>
      <c r="AF9" s="292"/>
      <c r="AG9" s="292"/>
      <c r="AH9" s="292"/>
      <c r="AI9" s="292"/>
      <c r="AJ9" s="292"/>
      <c r="AK9" s="292"/>
      <c r="AL9" s="292"/>
      <c r="AM9" s="292"/>
      <c r="AN9" s="292"/>
      <c r="AO9" s="292"/>
      <c r="AP9" s="292"/>
      <c r="AQ9" s="292"/>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row>
    <row r="10" spans="2:97" ht="1.5" customHeight="1" x14ac:dyDescent="0.25">
      <c r="C10" s="144"/>
      <c r="D10" s="801"/>
      <c r="E10" s="801"/>
      <c r="F10" s="801"/>
      <c r="G10" s="369"/>
      <c r="I10" s="802"/>
      <c r="J10" s="802"/>
      <c r="K10" s="802"/>
      <c r="L10" s="802"/>
      <c r="M10" s="802"/>
      <c r="N10" s="802"/>
      <c r="O10" s="802"/>
      <c r="P10" s="802"/>
      <c r="Q10" s="802"/>
      <c r="R10" s="802"/>
      <c r="S10" s="802"/>
      <c r="T10" s="802"/>
      <c r="U10" s="802"/>
      <c r="V10" s="802"/>
      <c r="W10" s="802"/>
      <c r="X10" s="802"/>
      <c r="Y10" s="802"/>
      <c r="Z10" s="802"/>
      <c r="AA10" s="802"/>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row>
    <row r="11" spans="2:97" ht="7.5" customHeight="1" x14ac:dyDescent="0.25">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row>
    <row r="12" spans="2:97" ht="27.75" x14ac:dyDescent="0.25">
      <c r="C12" s="786" t="s">
        <v>508</v>
      </c>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803"/>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row>
    <row r="13" spans="2:97" ht="5.25" customHeight="1" x14ac:dyDescent="0.25">
      <c r="D13" s="177"/>
      <c r="E13" s="177"/>
      <c r="F13" s="177"/>
      <c r="G13" s="177"/>
      <c r="H13" s="177"/>
      <c r="I13" s="177"/>
      <c r="J13" s="177"/>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row>
    <row r="14" spans="2:97" ht="45" customHeight="1" x14ac:dyDescent="0.25">
      <c r="C14" s="578" t="s">
        <v>338</v>
      </c>
      <c r="D14" s="578"/>
      <c r="E14" s="606" t="s">
        <v>339</v>
      </c>
      <c r="F14" s="608"/>
      <c r="G14" s="606" t="s">
        <v>340</v>
      </c>
      <c r="H14" s="608"/>
      <c r="I14" s="606" t="s">
        <v>341</v>
      </c>
      <c r="J14" s="608"/>
      <c r="K14" s="273" t="s">
        <v>218</v>
      </c>
      <c r="L14" s="275" t="s">
        <v>1</v>
      </c>
      <c r="M14" s="273" t="s">
        <v>13</v>
      </c>
      <c r="N14" s="273" t="s">
        <v>342</v>
      </c>
      <c r="O14" s="273" t="s">
        <v>343</v>
      </c>
      <c r="P14" s="155"/>
      <c r="Q14" s="155"/>
      <c r="S14" s="160"/>
      <c r="T14" s="160"/>
      <c r="U14" s="160"/>
      <c r="V14" s="160"/>
      <c r="W14" s="160"/>
      <c r="X14" s="160"/>
      <c r="Y14" s="160"/>
      <c r="Z14" s="160"/>
      <c r="AA14" s="160"/>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row>
    <row r="15" spans="2:97" ht="116.25" customHeight="1" x14ac:dyDescent="0.25">
      <c r="C15" s="814" t="s">
        <v>670</v>
      </c>
      <c r="D15" s="815"/>
      <c r="E15" s="791" t="s">
        <v>675</v>
      </c>
      <c r="F15" s="822"/>
      <c r="G15" s="791" t="s">
        <v>676</v>
      </c>
      <c r="H15" s="822"/>
      <c r="I15" s="791" t="s">
        <v>677</v>
      </c>
      <c r="J15" s="792"/>
      <c r="K15" s="1260" t="s">
        <v>678</v>
      </c>
      <c r="L15" s="832" t="s">
        <v>671</v>
      </c>
      <c r="M15" s="775" t="s">
        <v>558</v>
      </c>
      <c r="N15" s="176" t="s">
        <v>680</v>
      </c>
      <c r="O15" s="830" t="s">
        <v>669</v>
      </c>
      <c r="P15" s="163"/>
      <c r="Q15" s="163"/>
      <c r="S15" s="163"/>
      <c r="T15" s="160"/>
      <c r="U15" s="160"/>
      <c r="V15" s="163"/>
      <c r="W15" s="160"/>
      <c r="X15" s="160"/>
      <c r="Y15" s="160"/>
      <c r="Z15" s="160"/>
      <c r="AA15" s="160"/>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row>
    <row r="16" spans="2:97" ht="78" customHeight="1" x14ac:dyDescent="0.25">
      <c r="C16" s="816"/>
      <c r="D16" s="817"/>
      <c r="E16" s="823"/>
      <c r="F16" s="824"/>
      <c r="G16" s="823"/>
      <c r="H16" s="824"/>
      <c r="I16" s="795"/>
      <c r="J16" s="796"/>
      <c r="K16" s="772"/>
      <c r="L16" s="833"/>
      <c r="M16" s="802"/>
      <c r="N16" s="1261" t="s">
        <v>679</v>
      </c>
      <c r="O16" s="831"/>
      <c r="S16" s="183"/>
      <c r="T16" s="157"/>
      <c r="U16" s="157"/>
      <c r="V16" s="163"/>
      <c r="Y16" s="184"/>
      <c r="Z16" s="184"/>
      <c r="AA16" s="184"/>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row>
    <row r="17" spans="3:97" x14ac:dyDescent="0.25">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row>
    <row r="18" spans="3:97" ht="27.75" x14ac:dyDescent="0.25">
      <c r="C18" s="785" t="s">
        <v>510</v>
      </c>
      <c r="D18" s="786"/>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R18" s="146"/>
      <c r="CS18" s="146"/>
    </row>
    <row r="19" spans="3:97" ht="6" customHeight="1" x14ac:dyDescent="0.25">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c r="BT19" s="146"/>
      <c r="BU19" s="146"/>
      <c r="BV19" s="146"/>
      <c r="BW19" s="146"/>
      <c r="BX19" s="146"/>
      <c r="BY19" s="146"/>
      <c r="BZ19" s="146"/>
      <c r="CA19" s="146"/>
      <c r="CB19" s="146"/>
      <c r="CC19" s="146"/>
      <c r="CD19" s="146"/>
      <c r="CE19" s="146"/>
      <c r="CF19" s="146"/>
      <c r="CG19" s="146"/>
      <c r="CH19" s="146"/>
      <c r="CI19" s="146"/>
      <c r="CJ19" s="146"/>
      <c r="CK19" s="146"/>
      <c r="CL19" s="146"/>
      <c r="CM19" s="146"/>
      <c r="CN19" s="146"/>
      <c r="CR19" s="146"/>
      <c r="CS19" s="146"/>
    </row>
    <row r="20" spans="3:97" ht="41.25" customHeight="1" x14ac:dyDescent="0.25">
      <c r="C20" s="787" t="s">
        <v>222</v>
      </c>
      <c r="D20" s="787"/>
      <c r="E20" s="787"/>
      <c r="F20" s="787"/>
      <c r="G20" s="787"/>
      <c r="H20" s="787"/>
      <c r="I20" s="787"/>
      <c r="J20" s="788" t="s">
        <v>141</v>
      </c>
      <c r="K20" s="789"/>
      <c r="L20" s="789"/>
      <c r="M20" s="789"/>
      <c r="N20" s="789"/>
      <c r="O20" s="789"/>
      <c r="P20" s="789"/>
      <c r="Q20" s="789"/>
      <c r="R20" s="790"/>
      <c r="S20" s="788" t="s">
        <v>142</v>
      </c>
      <c r="T20" s="789"/>
      <c r="U20" s="789"/>
      <c r="V20" s="789"/>
      <c r="W20" s="789"/>
      <c r="X20" s="789"/>
      <c r="Y20" s="790"/>
      <c r="Z20" s="577" t="s">
        <v>34</v>
      </c>
      <c r="AA20" s="577"/>
      <c r="AB20" s="577"/>
      <c r="AC20" s="577"/>
      <c r="AD20" s="577"/>
      <c r="AE20" s="577"/>
      <c r="AF20" s="577"/>
      <c r="AG20" s="577"/>
      <c r="AH20" s="146"/>
      <c r="AI20" s="154"/>
      <c r="AJ20" s="154"/>
      <c r="AK20" s="154"/>
      <c r="AL20" s="154"/>
      <c r="AM20" s="154"/>
      <c r="AN20" s="154"/>
      <c r="AO20" s="146"/>
      <c r="AP20" s="146"/>
      <c r="AQ20" s="155"/>
      <c r="AR20" s="155"/>
      <c r="AS20" s="155"/>
      <c r="AT20" s="155"/>
      <c r="AU20" s="155"/>
      <c r="AV20" s="155"/>
      <c r="AW20" s="155"/>
      <c r="AX20" s="155"/>
      <c r="AY20" s="155"/>
      <c r="AZ20" s="155"/>
      <c r="BA20" s="155"/>
      <c r="BB20" s="146"/>
      <c r="BC20" s="146"/>
      <c r="BD20" s="146"/>
      <c r="BE20" s="146"/>
      <c r="BF20" s="146"/>
      <c r="BG20" s="146"/>
      <c r="BH20" s="146"/>
      <c r="BI20" s="146"/>
      <c r="BJ20" s="146"/>
      <c r="BK20" s="146"/>
      <c r="BL20" s="146"/>
      <c r="BM20" s="146"/>
      <c r="BN20" s="146"/>
      <c r="BO20" s="146"/>
      <c r="BP20" s="146"/>
      <c r="BQ20" s="146"/>
      <c r="BR20" s="146"/>
      <c r="BS20" s="146"/>
      <c r="BT20" s="146"/>
      <c r="BU20" s="146"/>
      <c r="BV20" s="146"/>
      <c r="BW20" s="146"/>
      <c r="BX20" s="146"/>
      <c r="BY20" s="146"/>
      <c r="BZ20" s="146"/>
      <c r="CA20" s="146"/>
      <c r="CB20" s="146"/>
      <c r="CC20" s="146"/>
      <c r="CD20" s="146"/>
      <c r="CE20" s="146"/>
      <c r="CF20" s="146"/>
      <c r="CG20" s="146"/>
      <c r="CK20" s="146"/>
      <c r="CL20" s="146"/>
    </row>
    <row r="21" spans="3:97" ht="25.5" customHeight="1" x14ac:dyDescent="0.25">
      <c r="C21" s="787"/>
      <c r="D21" s="787"/>
      <c r="E21" s="787"/>
      <c r="F21" s="787"/>
      <c r="G21" s="787"/>
      <c r="H21" s="787"/>
      <c r="I21" s="787"/>
      <c r="J21" s="595" t="s">
        <v>11</v>
      </c>
      <c r="K21" s="578" t="s">
        <v>163</v>
      </c>
      <c r="L21" s="578" t="s">
        <v>503</v>
      </c>
      <c r="M21" s="578" t="s">
        <v>8</v>
      </c>
      <c r="N21" s="578"/>
      <c r="O21" s="578"/>
      <c r="P21" s="578"/>
      <c r="Q21" s="578"/>
      <c r="R21" s="578"/>
      <c r="S21" s="595" t="s">
        <v>502</v>
      </c>
      <c r="T21" s="595" t="s">
        <v>485</v>
      </c>
      <c r="U21" s="595" t="s">
        <v>488</v>
      </c>
      <c r="V21" s="595" t="s">
        <v>486</v>
      </c>
      <c r="W21" s="595" t="s">
        <v>481</v>
      </c>
      <c r="X21" s="595" t="s">
        <v>489</v>
      </c>
      <c r="Y21" s="595" t="s">
        <v>29</v>
      </c>
      <c r="Z21" s="578" t="s">
        <v>34</v>
      </c>
      <c r="AA21" s="590" t="s">
        <v>496</v>
      </c>
      <c r="AB21" s="578" t="s">
        <v>35</v>
      </c>
      <c r="AC21" s="578" t="s">
        <v>236</v>
      </c>
      <c r="AD21" s="590" t="s">
        <v>506</v>
      </c>
      <c r="AE21" s="579" t="s">
        <v>38</v>
      </c>
      <c r="AF21" s="579" t="s">
        <v>37</v>
      </c>
      <c r="AG21" s="579" t="s">
        <v>39</v>
      </c>
      <c r="AH21" s="155"/>
      <c r="AI21" s="156"/>
      <c r="AJ21" s="156"/>
      <c r="AK21" s="156"/>
      <c r="AL21" s="156"/>
      <c r="AM21" s="156"/>
      <c r="AN21" s="156"/>
      <c r="AO21" s="155"/>
      <c r="AP21" s="155"/>
      <c r="AQ21" s="157"/>
      <c r="AR21" s="157"/>
      <c r="AS21" s="157"/>
      <c r="AT21" s="157"/>
      <c r="AU21" s="157"/>
      <c r="AV21" s="157"/>
      <c r="AW21" s="157"/>
      <c r="AX21" s="157"/>
      <c r="AY21" s="157"/>
      <c r="AZ21" s="157"/>
      <c r="BA21" s="157"/>
      <c r="BB21" s="155"/>
      <c r="BC21" s="155"/>
      <c r="BD21" s="155"/>
      <c r="BE21" s="155"/>
      <c r="BF21" s="155"/>
      <c r="BG21" s="155"/>
      <c r="BH21" s="155"/>
      <c r="BI21" s="155"/>
      <c r="BJ21" s="155"/>
      <c r="BK21" s="155"/>
      <c r="BL21" s="155"/>
      <c r="BM21" s="155"/>
      <c r="BN21" s="155"/>
      <c r="BO21" s="155"/>
      <c r="BP21" s="155"/>
      <c r="BQ21" s="155"/>
      <c r="BR21" s="155"/>
      <c r="BS21" s="155"/>
      <c r="BT21" s="155"/>
      <c r="BU21" s="155"/>
      <c r="BV21" s="155"/>
      <c r="BW21" s="155"/>
      <c r="BX21" s="155"/>
      <c r="BY21" s="155"/>
      <c r="BZ21" s="155"/>
      <c r="CA21" s="155"/>
      <c r="CB21" s="155"/>
      <c r="CC21" s="155"/>
      <c r="CD21" s="155"/>
    </row>
    <row r="22" spans="3:97" ht="89.25" customHeight="1" x14ac:dyDescent="0.25">
      <c r="C22" s="464" t="s">
        <v>478</v>
      </c>
      <c r="D22" s="352" t="s">
        <v>480</v>
      </c>
      <c r="E22" s="368" t="s">
        <v>481</v>
      </c>
      <c r="F22" s="353" t="s">
        <v>238</v>
      </c>
      <c r="G22" s="368" t="s">
        <v>481</v>
      </c>
      <c r="H22" s="787" t="s">
        <v>239</v>
      </c>
      <c r="I22" s="787"/>
      <c r="J22" s="595"/>
      <c r="K22" s="578"/>
      <c r="L22" s="578"/>
      <c r="M22" s="294" t="s">
        <v>490</v>
      </c>
      <c r="N22" s="294" t="s">
        <v>492</v>
      </c>
      <c r="O22" s="294" t="s">
        <v>487</v>
      </c>
      <c r="P22" s="294" t="s">
        <v>499</v>
      </c>
      <c r="Q22" s="294" t="s">
        <v>500</v>
      </c>
      <c r="R22" s="294" t="s">
        <v>501</v>
      </c>
      <c r="S22" s="595"/>
      <c r="T22" s="595"/>
      <c r="U22" s="595"/>
      <c r="V22" s="595"/>
      <c r="W22" s="595"/>
      <c r="X22" s="595"/>
      <c r="Y22" s="783"/>
      <c r="Z22" s="590"/>
      <c r="AA22" s="774"/>
      <c r="AB22" s="590"/>
      <c r="AC22" s="590"/>
      <c r="AD22" s="774"/>
      <c r="AE22" s="593"/>
      <c r="AF22" s="579"/>
      <c r="AG22" s="579"/>
      <c r="AH22" s="155"/>
      <c r="AI22" s="160"/>
      <c r="AJ22" s="156"/>
      <c r="AK22" s="160"/>
      <c r="AL22" s="156"/>
      <c r="AM22" s="160"/>
      <c r="AN22" s="156"/>
      <c r="AO22" s="155"/>
      <c r="AP22" s="155"/>
      <c r="AQ22" s="157"/>
      <c r="AR22" s="157"/>
      <c r="AS22" s="157"/>
      <c r="AT22" s="157"/>
      <c r="AU22" s="157"/>
      <c r="AV22" s="157"/>
      <c r="AW22" s="157"/>
      <c r="AX22" s="157"/>
      <c r="AY22" s="157"/>
      <c r="AZ22" s="157"/>
      <c r="BA22" s="157"/>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row>
    <row r="23" spans="3:97" ht="190.5" customHeight="1" x14ac:dyDescent="0.25">
      <c r="C23" s="775">
        <v>250</v>
      </c>
      <c r="D23" s="710" t="str">
        <f>IF(C23&lt;=0,"",IF(C23&lt;=2,"Muy Baja",IF(C23&lt;=24,"Baja",IF(C23&lt;=500,"Media",IF(C23&lt;=5000,"Alta","Muy Alta")))))</f>
        <v>Media</v>
      </c>
      <c r="E23" s="777">
        <f>IF(D23="","",IF(D23="Muy Baja",0.2,IF(D23="Baja",0.4,IF(D23="Media",0.6,IF(D23="Alta",0.8,IF(D23="Muy Alta",1,))))))</f>
        <v>0.6</v>
      </c>
      <c r="F23" s="615" t="str">
        <f>IF(H57="Si","Catastrófico",IF(H61&lt;=5,"Moderado",IF(H61&lt;=11,"Mayor","Catastrófico")))</f>
        <v>Mayor</v>
      </c>
      <c r="G23" s="780">
        <f>IF(F23="","",IF(F23="Leve",0.2,IF(F23="Menor",0.4,IF(F23="Moderado",0.6,IF(F23="Mayor",0.8,IF(F23="Catastrófico",1,))))))</f>
        <v>0.8</v>
      </c>
      <c r="H23" s="615" t="str">
        <f>IF(OR(AND(D23="Muy Baja",F23="Leve"),AND(D23="Muy Baja",F23="Menor"),AND(D23="Baja",F23="Leve")),"Bajo",IF(OR(AND(D23="Muy baja",F23="Moderado"),AND(D23="Baja",F23="Menor"),AND(D23="Baja",F23="Moderado"),AND(D23="Media",F23="Leve"),AND(D23="Media",F23="Menor"),AND(D23="Media",F23="Moderado"),AND(D23="Alta",F23="Leve"),AND(D23="Alta",F23="Menor")),"Moderado",IF(OR(AND(D23="Muy Baja",F23="Mayor"),AND(D23="Baja",F23="Mayor"),AND(D23="Media",F23="Mayor"),AND(D23="Alta",F23="Moderado"),AND(D23="Alta",F23="Mayor"),AND(D23="Muy Alta",F23="Leve"),AND(D23="Muy Alta",F23="Menor"),AND(D23="Muy Alta",F23="Moderado"),AND(D23="Muy Alta",F23="Mayor")),"Alto",IF(OR(AND(D23="Muy Baja",F23="Catastrófico"),AND(D23="Baja",F23="Catastrófico"),AND(D23="Media",F23="Catastrófico"),AND(D23="Alta",F23="Catastrófico"),AND(D23="Muy Alta",F23="Catastrófico")),"Extremo",""))))</f>
        <v>Alto</v>
      </c>
      <c r="I23" s="615"/>
      <c r="J23" s="278">
        <v>1</v>
      </c>
      <c r="K23" s="463" t="s">
        <v>672</v>
      </c>
      <c r="L23" s="280" t="str">
        <f>IF(OR(M23="Preventivo",M23="Detectivo"),"Probabilidad",IF(M23="Correctivo","Impacto",""))</f>
        <v>Probabilidad</v>
      </c>
      <c r="M23" s="281" t="s">
        <v>14</v>
      </c>
      <c r="N23" s="281" t="s">
        <v>9</v>
      </c>
      <c r="O23" s="282" t="str">
        <f>IF(AND(M23="Preventivo",N23="Automático"),"50%",IF(AND(M23="Preventivo",N23="Manual"),"40%",IF(AND(M23="Detectivo",N23="Automático"),"40%",IF(AND(M23="Detectivo",N23="Manual"),"30%",IF(AND(M23="Correctivo",N23="Automático"),"35%",IF(AND(M23="Correctivo",N23="Manual"),"25%",""))))))</f>
        <v>40%</v>
      </c>
      <c r="P23" s="281" t="s">
        <v>494</v>
      </c>
      <c r="Q23" s="281" t="s">
        <v>22</v>
      </c>
      <c r="R23" s="281" t="s">
        <v>27</v>
      </c>
      <c r="S23" s="283">
        <f>IFERROR(IF(L23="Probabilidad",(E23-(+E23*O23)),IF(L23="Impacto",E23,"")),"")</f>
        <v>0.36</v>
      </c>
      <c r="T23" s="284" t="str">
        <f>IFERROR(IF(S23="","",IF(S23&lt;=0.2,"Muy Baja",IF(S23&lt;=0.4,"Baja",IF(S23&lt;=0.6,"Media",IF(S23&lt;=0.8,"Alta","Muy Alta"))))),"")</f>
        <v>Baja</v>
      </c>
      <c r="U23" s="282">
        <f>+S23</f>
        <v>0.36</v>
      </c>
      <c r="V23" s="284" t="str">
        <f>IFERROR(IF(W23="","",IF(W23&lt;=0.2,"Leve",IF(W23&lt;=0.4,"Menor",IF(W23&lt;=0.6,"Moderado",IF(W23&lt;=0.8,"Mayor","Catastrófico"))))),"")</f>
        <v>Mayor</v>
      </c>
      <c r="W23" s="282">
        <f>IFERROR(IF(L23="Impacto",(G23-(+G23*O23)),IF(L23="Probabilidad",G23,"")),"")</f>
        <v>0.8</v>
      </c>
      <c r="X23" s="285" t="str">
        <f>IFERROR(IF(OR(AND(T23="Muy Baja",V23="Leve"),AND(T23="Muy Baja",V23="Menor"),AND(T23="Baja",V23="Leve")),"Bajo",IF(OR(AND(T23="Muy baja",V23="Moderado"),AND(T23="Baja",V23="Menor"),AND(T23="Baja",V23="Moderado"),AND(T23="Media",V23="Leve"),AND(T23="Media",V23="Menor"),AND(T23="Media",V23="Moderado"),AND(T23="Alta",V23="Leve"),AND(T23="Alta",V23="Menor")),"Moderado",IF(OR(AND(T23="Muy Baja",V23="Mayor"),AND(T23="Baja",V23="Mayor"),AND(T23="Media",V23="Mayor"),AND(T23="Alta",V23="Moderado"),AND(T23="Alta",V23="Mayor"),AND(T23="Muy Alta",V23="Leve"),AND(T23="Muy Alta",V23="Menor"),AND(T23="Muy Alta",V23="Moderado"),AND(T23="Muy Alta",V23="Mayor")),"Alto",IF(OR(AND(T23="Muy Baja",V23="Catastrófico"),AND(T23="Baja",V23="Catastrófico"),AND(T23="Media",V23="Catastrófico"),AND(T23="Alta",V23="Catastrófico"),AND(T23="Muy Alta",V23="Catastrófico")),"Extremo","")))),"")</f>
        <v>Alto</v>
      </c>
      <c r="Y23" s="281" t="s">
        <v>30</v>
      </c>
      <c r="Z23" s="459" t="s">
        <v>600</v>
      </c>
      <c r="AA23" s="460" t="s">
        <v>601</v>
      </c>
      <c r="AB23" s="460" t="s">
        <v>673</v>
      </c>
      <c r="AC23" s="461">
        <v>44958</v>
      </c>
      <c r="AD23" s="462">
        <v>45260</v>
      </c>
      <c r="AE23" s="288"/>
      <c r="AF23" s="286"/>
      <c r="AG23" s="287"/>
      <c r="AH23" s="155"/>
      <c r="AO23" s="155"/>
      <c r="AP23" s="155"/>
      <c r="AQ23" s="157"/>
      <c r="AR23" s="157"/>
      <c r="AS23" s="157"/>
      <c r="AT23" s="157"/>
      <c r="AU23" s="157"/>
      <c r="AV23" s="157"/>
      <c r="AW23" s="157"/>
      <c r="AX23" s="157"/>
      <c r="AY23" s="157"/>
      <c r="AZ23" s="157"/>
      <c r="BA23" s="157"/>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row>
    <row r="24" spans="3:97" ht="162.75" customHeight="1" x14ac:dyDescent="0.25">
      <c r="C24" s="776"/>
      <c r="D24" s="711"/>
      <c r="E24" s="778"/>
      <c r="F24" s="615"/>
      <c r="G24" s="781"/>
      <c r="H24" s="615"/>
      <c r="I24" s="615"/>
      <c r="J24" s="278">
        <v>2</v>
      </c>
      <c r="K24" s="383"/>
      <c r="L24" s="280" t="str">
        <f>IF(OR(M24="Preventivo",M24="Detectivo"),"Probabilidad",IF(M24="Correctivo","Impacto",""))</f>
        <v/>
      </c>
      <c r="M24" s="281"/>
      <c r="N24" s="281"/>
      <c r="O24" s="282" t="str">
        <f>IF(AND(M24="Preventivo",N24="Automático"),"50%",IF(AND(M24="Preventivo",N24="Manual"),"40%",IF(AND(M24="Detectivo",N24="Automático"),"40%",IF(AND(M24="Detectivo",N24="Manual"),"30%",IF(AND(M24="Correctivo",N24="Automático"),"35%",IF(AND(M24="Correctivo",N24="Manual"),"25%",""))))))</f>
        <v/>
      </c>
      <c r="P24" s="281"/>
      <c r="Q24" s="281"/>
      <c r="R24" s="281"/>
      <c r="S24" s="283" t="str">
        <f>IFERROR(IF(L24="Probabilidad",(E23-(+E23*O24)),IF(L24="Impacto",E23,"")),"")</f>
        <v/>
      </c>
      <c r="T24" s="284" t="str">
        <f>IFERROR(IF(S24="","",IF(S24&lt;=0.2,"Muy Baja",IF(S24&lt;=0.4,"Baja",IF(S24&lt;=0.6,"Media",IF(S24&lt;=0.8,"Alta","Muy Alta"))))),"")</f>
        <v/>
      </c>
      <c r="U24" s="282" t="str">
        <f>+S24</f>
        <v/>
      </c>
      <c r="V24" s="284" t="str">
        <f>IFERROR(IF(W24="","",IF(W24&lt;=0.2,"Leve",IF(W24&lt;=0.4,"Menor",IF(W24&lt;=0.6,"Moderado",IF(W24&lt;=0.8,"Mayor","Catastrófico"))))),"")</f>
        <v/>
      </c>
      <c r="W24" s="282" t="str">
        <f>IFERROR(IF(L24="Impacto",(G23-(+G23*O24)),IF(L24="Probabilidad",G23,"")),"")</f>
        <v/>
      </c>
      <c r="X24" s="285" t="str">
        <f>IFERROR(IF(OR(AND(T24="Muy Baja",V24="Leve"),AND(T24="Muy Baja",V24="Menor"),AND(T24="Baja",V24="Leve")),"Bajo",IF(OR(AND(T24="Muy baja",V24="Moderado"),AND(T24="Baja",V24="Menor"),AND(T24="Baja",V24="Moderado"),AND(T24="Media",V24="Leve"),AND(T24="Media",V24="Menor"),AND(T24="Media",V24="Moderado"),AND(T24="Alta",V24="Leve"),AND(T24="Alta",V24="Menor")),"Moderado",IF(OR(AND(T24="Muy Baja",V24="Mayor"),AND(T24="Baja",V24="Mayor"),AND(T24="Media",V24="Mayor"),AND(T24="Alta",V24="Moderado"),AND(T24="Alta",V24="Mayor"),AND(T24="Muy Alta",V24="Leve"),AND(T24="Muy Alta",V24="Menor"),AND(T24="Muy Alta",V24="Moderado"),AND(T24="Muy Alta",V24="Mayor")),"Alto",IF(OR(AND(T24="Muy Baja",V24="Catastrófico"),AND(T24="Baja",V24="Catastrófico"),AND(T24="Media",V24="Catastrófico"),AND(T24="Alta",V24="Catastrófico"),AND(T24="Muy Alta",V24="Catastrófico")),"Extremo","")))),"")</f>
        <v/>
      </c>
      <c r="Y24" s="281"/>
      <c r="Z24" s="410"/>
      <c r="AA24" s="411"/>
      <c r="AB24" s="411"/>
      <c r="AC24" s="402"/>
      <c r="AD24" s="412"/>
      <c r="AE24" s="288"/>
      <c r="AF24" s="286"/>
      <c r="AG24" s="287"/>
      <c r="AH24" s="155"/>
      <c r="AO24" s="155"/>
      <c r="AP24" s="155"/>
      <c r="AQ24" s="157"/>
      <c r="AR24" s="157"/>
      <c r="AS24" s="157"/>
      <c r="AT24" s="157"/>
      <c r="AU24" s="157"/>
      <c r="AV24" s="157"/>
      <c r="AW24" s="157"/>
      <c r="AX24" s="157"/>
      <c r="AY24" s="157"/>
      <c r="AZ24" s="157"/>
      <c r="BA24" s="157"/>
      <c r="BB24" s="155"/>
      <c r="BC24" s="155"/>
      <c r="BD24" s="155"/>
      <c r="BE24" s="155"/>
      <c r="BF24" s="155"/>
      <c r="BG24" s="155"/>
      <c r="BH24" s="155"/>
      <c r="BI24" s="155"/>
      <c r="BJ24" s="155"/>
      <c r="BK24" s="155"/>
      <c r="BL24" s="155"/>
      <c r="BM24" s="155"/>
      <c r="BN24" s="155"/>
      <c r="BO24" s="155"/>
      <c r="BP24" s="155"/>
      <c r="BQ24" s="155"/>
      <c r="BR24" s="155"/>
      <c r="BS24" s="155"/>
      <c r="BT24" s="155"/>
      <c r="BU24" s="155"/>
      <c r="BV24" s="155"/>
      <c r="BW24" s="155"/>
      <c r="BX24" s="155"/>
      <c r="BY24" s="155"/>
      <c r="BZ24" s="155"/>
      <c r="CA24" s="155"/>
      <c r="CB24" s="155"/>
      <c r="CC24" s="155"/>
      <c r="CD24" s="155"/>
    </row>
    <row r="25" spans="3:97" ht="120.75" customHeight="1" thickBot="1" x14ac:dyDescent="0.3">
      <c r="C25" s="776"/>
      <c r="D25" s="711"/>
      <c r="E25" s="779"/>
      <c r="F25" s="615"/>
      <c r="G25" s="782"/>
      <c r="H25" s="615"/>
      <c r="I25" s="615"/>
      <c r="J25" s="175">
        <v>3</v>
      </c>
      <c r="K25" s="382"/>
      <c r="L25" s="378"/>
      <c r="M25" s="378"/>
      <c r="N25" s="378"/>
      <c r="O25" s="378"/>
      <c r="P25" s="378"/>
      <c r="Q25" s="378"/>
      <c r="R25" s="379"/>
      <c r="S25" s="376" t="e">
        <f>(($S$23*$O$24))</f>
        <v>#VALUE!</v>
      </c>
      <c r="T25" s="284"/>
      <c r="U25" s="282"/>
      <c r="V25" s="284"/>
      <c r="W25" s="282"/>
      <c r="X25" s="285"/>
      <c r="Y25" s="398"/>
      <c r="Z25" s="176"/>
      <c r="AA25" s="397"/>
      <c r="AB25" s="408"/>
      <c r="AC25" s="396"/>
      <c r="AD25" s="396"/>
      <c r="AE25" s="176"/>
      <c r="AF25" s="175"/>
      <c r="AG25" s="175"/>
      <c r="AH25" s="155"/>
      <c r="AO25" s="155"/>
      <c r="AP25" s="155"/>
      <c r="AQ25" s="157"/>
      <c r="AR25" s="157"/>
      <c r="AS25" s="157"/>
      <c r="AT25" s="157"/>
      <c r="AU25" s="157"/>
      <c r="AV25" s="157"/>
      <c r="AW25" s="157"/>
      <c r="AX25" s="157"/>
      <c r="AY25" s="157"/>
      <c r="AZ25" s="157"/>
      <c r="BA25" s="157"/>
      <c r="BB25" s="155"/>
      <c r="BC25" s="155"/>
      <c r="BD25" s="155"/>
      <c r="BE25" s="155"/>
      <c r="BF25" s="155"/>
      <c r="BG25" s="155"/>
      <c r="BH25" s="155"/>
      <c r="BI25" s="155"/>
      <c r="BJ25" s="155"/>
      <c r="BK25" s="155"/>
      <c r="BL25" s="155"/>
      <c r="BM25" s="155"/>
      <c r="BN25" s="155"/>
      <c r="BO25" s="155"/>
      <c r="BP25" s="155"/>
      <c r="BQ25" s="155"/>
      <c r="BR25" s="155"/>
      <c r="BS25" s="155"/>
      <c r="BT25" s="155"/>
      <c r="BU25" s="155"/>
      <c r="BV25" s="155"/>
      <c r="BW25" s="155"/>
      <c r="BX25" s="155"/>
      <c r="BY25" s="155"/>
      <c r="BZ25" s="155"/>
      <c r="CA25" s="155"/>
      <c r="CB25" s="155"/>
      <c r="CC25" s="155"/>
      <c r="CD25" s="155"/>
    </row>
    <row r="26" spans="3:97" ht="33.75" customHeight="1" x14ac:dyDescent="0.25">
      <c r="C26" s="182" t="s">
        <v>513</v>
      </c>
      <c r="D26" s="304">
        <f>VLOOKUP(D23,D80:F84,2,0)</f>
        <v>0</v>
      </c>
      <c r="E26" s="304"/>
      <c r="F26" s="304">
        <f>VLOOKUP(F23,D88:F92,2,0)</f>
        <v>0</v>
      </c>
      <c r="G26" s="370"/>
      <c r="J26" s="758"/>
      <c r="K26" s="382"/>
      <c r="L26" s="380"/>
      <c r="M26" s="380"/>
      <c r="N26" s="380"/>
      <c r="O26" s="380"/>
      <c r="P26" s="380"/>
      <c r="Q26" s="380"/>
      <c r="R26" s="381"/>
      <c r="S26" s="376" t="e">
        <f>(($S$23-$S$25))</f>
        <v>#VALUE!</v>
      </c>
      <c r="T26" s="284" t="str">
        <f>IFERROR(IF(S26="","",IF(S26&lt;=0.2,"Muy Baja",IF(S26&lt;=0.4,"Baja",IF(S26&lt;=0.6,"Media",IF(S26&lt;=0.8,"Alta","Muy Alta"))))),"")</f>
        <v/>
      </c>
      <c r="U26" s="282" t="e">
        <f t="shared" ref="U26" si="0">+S26</f>
        <v>#VALUE!</v>
      </c>
      <c r="V26" s="284" t="str">
        <f t="shared" ref="V26" si="1">IFERROR(IF(W26="","",IF(W26&lt;=0.2,"Leve",IF(W26&lt;=0.4,"Menor",IF(W26&lt;=0.6,"Moderado",IF(W26&lt;=0.8,"Mayor","Catastrófico"))))),"")</f>
        <v/>
      </c>
      <c r="W26" s="282" t="str">
        <f>IFERROR(IF(L24="Impacto",(G23-(+G23*O24)),IF(L24="Probabilidad",G23,"")),"")</f>
        <v/>
      </c>
      <c r="X26" s="285" t="str">
        <f t="shared" ref="X26" si="2">IFERROR(IF(OR(AND(T26="Muy Baja",V26="Leve"),AND(T26="Muy Baja",V26="Menor"),AND(T26="Baja",V26="Leve")),"Bajo",IF(OR(AND(T26="Muy baja",V26="Moderado"),AND(T26="Baja",V26="Menor"),AND(T26="Baja",V26="Moderado"),AND(T26="Media",V26="Leve"),AND(T26="Media",V26="Menor"),AND(T26="Media",V26="Moderado"),AND(T26="Alta",V26="Leve"),AND(T26="Alta",V26="Menor")),"Moderado",IF(OR(AND(T26="Muy Baja",V26="Mayor"),AND(T26="Baja",V26="Mayor"),AND(T26="Media",V26="Mayor"),AND(T26="Alta",V26="Moderado"),AND(T26="Alta",V26="Mayor"),AND(T26="Muy Alta",V26="Leve"),AND(T26="Muy Alta",V26="Menor"),AND(T26="Muy Alta",V26="Moderado"),AND(T26="Muy Alta",V26="Mayor")),"Alto",IF(OR(AND(T26="Muy Baja",V26="Catastrófico"),AND(T26="Baja",V26="Catastrófico"),AND(T26="Media",V26="Catastrófico"),AND(T26="Alta",V26="Catastrófico"),AND(T26="Muy Alta",V26="Catastrófico")),"Extremo","")))),"")</f>
        <v/>
      </c>
      <c r="Y26" s="146"/>
      <c r="Z26" s="146"/>
      <c r="AA26" s="146"/>
      <c r="AB26" s="147"/>
      <c r="AC26" s="147"/>
      <c r="AD26" s="147"/>
      <c r="AE26" s="147"/>
      <c r="AF26" s="175"/>
      <c r="AG26" s="17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c r="BL26" s="155"/>
      <c r="BM26" s="155"/>
      <c r="BN26" s="155"/>
      <c r="BO26" s="155"/>
      <c r="BP26" s="155"/>
      <c r="BQ26" s="155"/>
      <c r="BR26" s="155"/>
      <c r="BS26" s="155"/>
      <c r="BT26" s="155"/>
      <c r="BU26" s="155"/>
      <c r="BV26" s="155"/>
      <c r="BW26" s="155"/>
      <c r="BX26" s="155"/>
      <c r="BY26" s="155"/>
      <c r="BZ26" s="155"/>
      <c r="CA26" s="155"/>
      <c r="CB26" s="155"/>
      <c r="CC26" s="155"/>
      <c r="CD26" s="155"/>
    </row>
    <row r="27" spans="3:97" ht="27.75" customHeight="1" x14ac:dyDescent="0.25">
      <c r="F27" s="167"/>
      <c r="G27" s="167"/>
      <c r="J27" s="758"/>
      <c r="K27" s="382"/>
      <c r="L27" s="382"/>
      <c r="M27" s="382"/>
      <c r="N27" s="382"/>
      <c r="O27" s="382"/>
      <c r="P27" s="382"/>
      <c r="Q27" s="382"/>
      <c r="R27" s="382"/>
      <c r="S27" s="382"/>
      <c r="T27" s="382"/>
      <c r="U27" s="382"/>
      <c r="V27" s="382"/>
      <c r="W27" s="382"/>
      <c r="X27" s="382"/>
      <c r="Y27" s="146"/>
      <c r="Z27" s="146"/>
      <c r="AA27" s="146"/>
      <c r="AB27" s="147"/>
      <c r="AC27" s="147"/>
      <c r="AD27" s="147"/>
      <c r="AE27" s="147"/>
      <c r="AF27" s="175"/>
      <c r="AG27" s="17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row>
    <row r="28" spans="3:97" x14ac:dyDescent="0.25">
      <c r="F28" s="168"/>
      <c r="G28" s="168"/>
      <c r="J28" s="758"/>
      <c r="K28" s="382"/>
      <c r="L28" s="382"/>
      <c r="M28" s="382"/>
      <c r="N28" s="382"/>
      <c r="O28" s="382"/>
      <c r="P28" s="382"/>
      <c r="Q28" s="382"/>
      <c r="R28" s="382"/>
      <c r="S28" s="382"/>
      <c r="T28" s="382"/>
      <c r="U28" s="382"/>
      <c r="V28" s="382"/>
      <c r="W28" s="382"/>
      <c r="X28" s="382"/>
      <c r="Y28" s="146"/>
      <c r="Z28" s="146"/>
      <c r="AA28" s="146"/>
      <c r="AB28" s="147"/>
      <c r="AC28" s="147"/>
      <c r="AD28" s="147"/>
      <c r="AE28" s="147"/>
      <c r="AF28" s="175"/>
      <c r="AG28" s="17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row>
    <row r="29" spans="3:97" x14ac:dyDescent="0.25">
      <c r="J29" s="758"/>
      <c r="K29" s="382"/>
      <c r="L29" s="382"/>
      <c r="M29" s="382"/>
      <c r="N29" s="382"/>
      <c r="O29" s="382"/>
      <c r="P29" s="382"/>
      <c r="Q29" s="382"/>
      <c r="R29" s="382"/>
      <c r="S29" s="382"/>
      <c r="T29" s="382"/>
      <c r="U29" s="382"/>
      <c r="V29" s="382"/>
      <c r="W29" s="382"/>
      <c r="X29" s="382"/>
      <c r="AB29" s="147"/>
      <c r="AC29" s="147"/>
      <c r="AD29" s="147"/>
      <c r="AE29" s="147"/>
      <c r="AF29" s="175"/>
      <c r="AG29" s="175"/>
    </row>
    <row r="30" spans="3:97" x14ac:dyDescent="0.25">
      <c r="J30" s="758"/>
      <c r="K30" s="763"/>
      <c r="L30" s="763"/>
      <c r="M30" s="758"/>
      <c r="N30" s="758"/>
      <c r="O30" s="763"/>
      <c r="P30" s="763"/>
      <c r="Q30" s="763"/>
      <c r="R30" s="316"/>
      <c r="S30" s="147"/>
    </row>
    <row r="31" spans="3:97" ht="15" customHeight="1" x14ac:dyDescent="0.25">
      <c r="J31" s="758"/>
      <c r="K31" s="763"/>
      <c r="L31" s="763"/>
      <c r="M31" s="758"/>
      <c r="N31" s="758"/>
      <c r="O31" s="763"/>
      <c r="P31" s="763"/>
      <c r="Q31" s="763"/>
      <c r="R31" s="316"/>
      <c r="S31" s="147"/>
    </row>
    <row r="32" spans="3:97" ht="15" customHeight="1" x14ac:dyDescent="0.25">
      <c r="J32" s="758"/>
      <c r="K32" s="763"/>
      <c r="L32" s="763"/>
      <c r="M32" s="758"/>
      <c r="N32" s="758"/>
      <c r="O32" s="763"/>
      <c r="P32" s="763"/>
      <c r="Q32" s="763"/>
      <c r="R32" s="316"/>
      <c r="S32" s="147"/>
    </row>
    <row r="33" spans="4:23" x14ac:dyDescent="0.25">
      <c r="J33" s="758"/>
      <c r="K33" s="763"/>
      <c r="L33" s="763"/>
      <c r="M33" s="758"/>
      <c r="N33" s="758"/>
      <c r="O33" s="763"/>
      <c r="P33" s="763"/>
      <c r="Q33" s="763"/>
      <c r="R33" s="316"/>
      <c r="S33" s="147"/>
    </row>
    <row r="35" spans="4:23" ht="15" customHeight="1" x14ac:dyDescent="0.25"/>
    <row r="37" spans="4:23" ht="15" customHeight="1" x14ac:dyDescent="0.25">
      <c r="S37" s="766"/>
      <c r="T37" s="766"/>
      <c r="U37" s="766"/>
      <c r="V37" s="766"/>
      <c r="W37" s="766"/>
    </row>
    <row r="38" spans="4:23" ht="15" customHeight="1" x14ac:dyDescent="0.25">
      <c r="D38" s="767" t="s">
        <v>247</v>
      </c>
      <c r="E38" s="767"/>
      <c r="F38" s="767"/>
      <c r="G38" s="767"/>
      <c r="H38" s="767"/>
      <c r="J38" s="768"/>
      <c r="K38" s="768"/>
      <c r="L38" s="768"/>
      <c r="M38" s="768"/>
      <c r="N38" s="768"/>
      <c r="O38" s="768"/>
      <c r="P38" s="768"/>
      <c r="Q38" s="768"/>
      <c r="S38" s="766"/>
      <c r="T38" s="766"/>
      <c r="U38" s="766"/>
      <c r="V38" s="766"/>
      <c r="W38" s="766"/>
    </row>
    <row r="39" spans="4:23" x14ac:dyDescent="0.25">
      <c r="D39" s="146"/>
      <c r="E39" s="146"/>
      <c r="F39" s="146"/>
      <c r="G39" s="146"/>
      <c r="H39" s="146"/>
    </row>
    <row r="40" spans="4:23" ht="15" customHeight="1" x14ac:dyDescent="0.25">
      <c r="D40" s="769" t="s">
        <v>204</v>
      </c>
      <c r="E40" s="152"/>
      <c r="F40" s="771" t="s">
        <v>248</v>
      </c>
      <c r="G40" s="356"/>
      <c r="H40" s="153" t="s">
        <v>249</v>
      </c>
      <c r="L40" s="773"/>
      <c r="M40" s="773"/>
      <c r="N40" s="773"/>
      <c r="O40" s="773"/>
      <c r="P40" s="773"/>
      <c r="Q40" s="773"/>
      <c r="S40" s="614"/>
      <c r="T40" s="614"/>
      <c r="U40" s="614"/>
      <c r="V40" s="614"/>
      <c r="W40" s="614"/>
    </row>
    <row r="41" spans="4:23" x14ac:dyDescent="0.25">
      <c r="D41" s="770"/>
      <c r="E41" s="355"/>
      <c r="F41" s="772"/>
      <c r="G41" s="357"/>
      <c r="H41" s="350" t="s">
        <v>257</v>
      </c>
      <c r="J41" s="177"/>
      <c r="K41" s="177"/>
      <c r="L41" s="163"/>
      <c r="M41" s="163"/>
      <c r="N41" s="163"/>
      <c r="O41" s="163"/>
      <c r="P41" s="163"/>
      <c r="Q41" s="163"/>
      <c r="S41" s="614"/>
      <c r="T41" s="614"/>
      <c r="U41" s="614"/>
      <c r="V41" s="614"/>
      <c r="W41" s="614"/>
    </row>
    <row r="42" spans="4:23" ht="42.75" customHeight="1" x14ac:dyDescent="0.25">
      <c r="D42" s="362">
        <v>1</v>
      </c>
      <c r="E42" s="362"/>
      <c r="F42" s="361" t="s">
        <v>262</v>
      </c>
      <c r="G42" s="361"/>
      <c r="H42" s="360" t="s">
        <v>377</v>
      </c>
      <c r="J42" s="762"/>
      <c r="K42" s="761"/>
      <c r="L42" s="758"/>
      <c r="M42" s="763"/>
      <c r="N42" s="758"/>
      <c r="O42" s="763"/>
      <c r="P42" s="758"/>
      <c r="Q42" s="763"/>
      <c r="S42" s="614"/>
      <c r="T42" s="614"/>
      <c r="U42" s="614"/>
      <c r="V42" s="614"/>
      <c r="W42" s="614"/>
    </row>
    <row r="43" spans="4:23" ht="43.5" customHeight="1" x14ac:dyDescent="0.25">
      <c r="D43" s="362">
        <v>2</v>
      </c>
      <c r="E43" s="362"/>
      <c r="F43" s="361" t="s">
        <v>266</v>
      </c>
      <c r="G43" s="361"/>
      <c r="H43" s="360" t="s">
        <v>377</v>
      </c>
      <c r="J43" s="762"/>
      <c r="K43" s="761"/>
      <c r="L43" s="758"/>
      <c r="M43" s="763"/>
      <c r="N43" s="758"/>
      <c r="O43" s="763"/>
      <c r="P43" s="758"/>
      <c r="Q43" s="763"/>
      <c r="S43" s="149"/>
      <c r="T43" s="149"/>
      <c r="U43" s="149"/>
      <c r="V43" s="149"/>
      <c r="W43" s="149"/>
    </row>
    <row r="44" spans="4:23" ht="30" x14ac:dyDescent="0.25">
      <c r="D44" s="362">
        <v>3</v>
      </c>
      <c r="E44" s="362"/>
      <c r="F44" s="361" t="s">
        <v>269</v>
      </c>
      <c r="G44" s="361"/>
      <c r="H44" s="360" t="s">
        <v>378</v>
      </c>
      <c r="J44" s="762"/>
      <c r="K44" s="386"/>
      <c r="L44" s="358"/>
      <c r="M44" s="385"/>
      <c r="N44" s="358"/>
      <c r="O44" s="385"/>
      <c r="P44" s="358"/>
      <c r="Q44" s="385"/>
      <c r="S44" s="149"/>
      <c r="T44" s="149"/>
      <c r="U44" s="149"/>
      <c r="V44" s="149"/>
      <c r="W44" s="149"/>
    </row>
    <row r="45" spans="4:23" ht="46.5" customHeight="1" x14ac:dyDescent="0.25">
      <c r="D45" s="362">
        <v>4</v>
      </c>
      <c r="E45" s="362"/>
      <c r="F45" s="361" t="s">
        <v>273</v>
      </c>
      <c r="G45" s="361"/>
      <c r="H45" s="360" t="s">
        <v>378</v>
      </c>
      <c r="J45" s="765"/>
      <c r="K45" s="761"/>
      <c r="L45" s="762"/>
      <c r="M45" s="763"/>
      <c r="N45" s="762"/>
      <c r="O45" s="763"/>
      <c r="P45" s="762"/>
      <c r="Q45" s="763"/>
      <c r="S45" s="149"/>
      <c r="T45" s="149"/>
      <c r="U45" s="149"/>
      <c r="V45" s="149"/>
      <c r="W45" s="149"/>
    </row>
    <row r="46" spans="4:23" ht="46.5" customHeight="1" x14ac:dyDescent="0.25">
      <c r="D46" s="362">
        <v>5</v>
      </c>
      <c r="E46" s="362"/>
      <c r="F46" s="361" t="s">
        <v>278</v>
      </c>
      <c r="G46" s="361"/>
      <c r="H46" s="360" t="s">
        <v>377</v>
      </c>
      <c r="J46" s="765"/>
      <c r="K46" s="761"/>
      <c r="L46" s="762"/>
      <c r="M46" s="763"/>
      <c r="N46" s="762"/>
      <c r="O46" s="763"/>
      <c r="P46" s="762"/>
      <c r="Q46" s="763"/>
      <c r="S46" s="149"/>
      <c r="T46" s="149"/>
      <c r="U46" s="149"/>
      <c r="V46" s="149"/>
      <c r="W46" s="149"/>
    </row>
    <row r="47" spans="4:23" ht="41.25" customHeight="1" x14ac:dyDescent="0.25">
      <c r="D47" s="362">
        <v>6</v>
      </c>
      <c r="E47" s="362"/>
      <c r="F47" s="361" t="s">
        <v>279</v>
      </c>
      <c r="G47" s="361"/>
      <c r="H47" s="360" t="s">
        <v>378</v>
      </c>
      <c r="J47" s="765"/>
      <c r="K47" s="761"/>
      <c r="L47" s="758"/>
      <c r="M47" s="763"/>
      <c r="N47" s="758"/>
      <c r="O47" s="763"/>
      <c r="P47" s="758"/>
      <c r="Q47" s="763"/>
      <c r="S47" s="149"/>
      <c r="T47" s="149"/>
      <c r="U47" s="149"/>
      <c r="V47" s="149"/>
      <c r="W47" s="149"/>
    </row>
    <row r="48" spans="4:23" ht="41.25" customHeight="1" x14ac:dyDescent="0.25">
      <c r="D48" s="362">
        <v>7</v>
      </c>
      <c r="E48" s="362"/>
      <c r="F48" s="361" t="s">
        <v>284</v>
      </c>
      <c r="G48" s="361"/>
      <c r="H48" s="360" t="s">
        <v>378</v>
      </c>
      <c r="J48" s="765"/>
      <c r="K48" s="761"/>
      <c r="L48" s="758"/>
      <c r="M48" s="763"/>
      <c r="N48" s="758"/>
      <c r="O48" s="763"/>
      <c r="P48" s="758"/>
      <c r="Q48" s="763"/>
      <c r="S48" s="149"/>
      <c r="T48" s="149"/>
      <c r="U48" s="149"/>
      <c r="V48" s="149"/>
      <c r="W48" s="149"/>
    </row>
    <row r="49" spans="4:25" ht="50.25" customHeight="1" x14ac:dyDescent="0.25">
      <c r="D49" s="362">
        <v>8</v>
      </c>
      <c r="E49" s="362"/>
      <c r="F49" s="361" t="s">
        <v>511</v>
      </c>
      <c r="G49" s="361"/>
      <c r="H49" s="360" t="s">
        <v>378</v>
      </c>
      <c r="J49" s="765"/>
      <c r="K49" s="761"/>
      <c r="L49" s="758"/>
      <c r="M49" s="763"/>
      <c r="N49" s="758"/>
      <c r="O49" s="763"/>
      <c r="P49" s="758"/>
      <c r="Q49" s="763"/>
      <c r="S49" s="149"/>
      <c r="T49" s="149"/>
      <c r="U49" s="149"/>
      <c r="V49" s="149"/>
      <c r="W49" s="149"/>
    </row>
    <row r="50" spans="4:25" ht="42" customHeight="1" x14ac:dyDescent="0.25">
      <c r="D50" s="362">
        <v>9</v>
      </c>
      <c r="E50" s="362"/>
      <c r="F50" s="361" t="s">
        <v>285</v>
      </c>
      <c r="G50" s="361"/>
      <c r="H50" s="360" t="s">
        <v>378</v>
      </c>
      <c r="J50" s="765"/>
      <c r="K50" s="761"/>
      <c r="L50" s="758"/>
      <c r="M50" s="763"/>
      <c r="N50" s="758"/>
      <c r="O50" s="763"/>
      <c r="P50" s="758"/>
      <c r="Q50" s="763"/>
      <c r="S50" s="149"/>
      <c r="T50" s="149"/>
      <c r="U50" s="149"/>
      <c r="V50" s="149"/>
      <c r="W50" s="149"/>
    </row>
    <row r="51" spans="4:25" ht="42" customHeight="1" x14ac:dyDescent="0.25">
      <c r="D51" s="362">
        <v>10</v>
      </c>
      <c r="E51" s="362"/>
      <c r="F51" s="361" t="s">
        <v>289</v>
      </c>
      <c r="G51" s="361"/>
      <c r="H51" s="360" t="s">
        <v>377</v>
      </c>
      <c r="J51" s="765"/>
      <c r="K51" s="761"/>
      <c r="L51" s="758"/>
      <c r="M51" s="763"/>
      <c r="N51" s="758"/>
      <c r="O51" s="763"/>
      <c r="P51" s="758"/>
      <c r="Q51" s="763"/>
      <c r="X51" s="359"/>
    </row>
    <row r="52" spans="4:25" ht="48.75" customHeight="1" x14ac:dyDescent="0.25">
      <c r="D52" s="362">
        <v>11</v>
      </c>
      <c r="E52" s="362"/>
      <c r="F52" s="361" t="s">
        <v>290</v>
      </c>
      <c r="G52" s="361"/>
      <c r="H52" s="360" t="s">
        <v>377</v>
      </c>
      <c r="J52" s="764"/>
      <c r="K52" s="761"/>
      <c r="L52" s="758"/>
      <c r="M52" s="763"/>
      <c r="N52" s="758"/>
      <c r="O52" s="763"/>
      <c r="P52" s="758"/>
      <c r="Q52" s="763"/>
      <c r="S52" s="758"/>
      <c r="T52" s="758"/>
      <c r="U52" s="758"/>
      <c r="V52" s="760"/>
      <c r="W52" s="359"/>
      <c r="X52" s="359"/>
      <c r="Y52" s="163"/>
    </row>
    <row r="53" spans="4:25" ht="21" customHeight="1" x14ac:dyDescent="0.25">
      <c r="D53" s="362">
        <v>12</v>
      </c>
      <c r="E53" s="362"/>
      <c r="F53" s="361" t="s">
        <v>296</v>
      </c>
      <c r="G53" s="361"/>
      <c r="H53" s="360" t="s">
        <v>377</v>
      </c>
      <c r="J53" s="764"/>
      <c r="K53" s="761"/>
      <c r="L53" s="758"/>
      <c r="M53" s="763"/>
      <c r="N53" s="758"/>
      <c r="O53" s="763"/>
      <c r="P53" s="758"/>
      <c r="Q53" s="763"/>
      <c r="S53" s="758"/>
      <c r="T53" s="758"/>
      <c r="U53" s="758"/>
      <c r="V53" s="760"/>
      <c r="W53" s="359"/>
      <c r="X53" s="359"/>
      <c r="Y53" s="163"/>
    </row>
    <row r="54" spans="4:25" ht="27.75" customHeight="1" x14ac:dyDescent="0.25">
      <c r="D54" s="362">
        <v>13</v>
      </c>
      <c r="E54" s="362"/>
      <c r="F54" s="361" t="s">
        <v>297</v>
      </c>
      <c r="G54" s="361"/>
      <c r="H54" s="360" t="s">
        <v>378</v>
      </c>
      <c r="J54" s="764"/>
      <c r="K54" s="761"/>
      <c r="L54" s="758"/>
      <c r="M54" s="763"/>
      <c r="N54" s="758"/>
      <c r="O54" s="763"/>
      <c r="P54" s="758"/>
      <c r="Q54" s="763"/>
      <c r="S54" s="758"/>
      <c r="T54" s="758"/>
      <c r="U54" s="758"/>
      <c r="V54" s="760"/>
      <c r="W54" s="359"/>
      <c r="Y54" s="163"/>
    </row>
    <row r="55" spans="4:25" ht="48" customHeight="1" x14ac:dyDescent="0.25">
      <c r="D55" s="362">
        <v>14</v>
      </c>
      <c r="E55" s="362"/>
      <c r="F55" s="361" t="s">
        <v>298</v>
      </c>
      <c r="G55" s="361"/>
      <c r="H55" s="360" t="s">
        <v>378</v>
      </c>
      <c r="J55" s="758"/>
      <c r="K55" s="761"/>
      <c r="L55" s="762"/>
      <c r="M55" s="763"/>
      <c r="N55" s="762"/>
      <c r="O55" s="763"/>
      <c r="P55" s="762"/>
      <c r="Q55" s="763"/>
      <c r="Y55" s="163"/>
    </row>
    <row r="56" spans="4:25" ht="48" customHeight="1" x14ac:dyDescent="0.25">
      <c r="D56" s="362">
        <v>15</v>
      </c>
      <c r="E56" s="362"/>
      <c r="F56" s="361" t="s">
        <v>302</v>
      </c>
      <c r="G56" s="361"/>
      <c r="H56" s="360" t="s">
        <v>377</v>
      </c>
      <c r="J56" s="758"/>
      <c r="K56" s="761"/>
      <c r="L56" s="762"/>
      <c r="M56" s="763"/>
      <c r="N56" s="762"/>
      <c r="O56" s="763"/>
      <c r="P56" s="762"/>
      <c r="Q56" s="763"/>
      <c r="Y56" s="163"/>
    </row>
    <row r="57" spans="4:25" ht="63" customHeight="1" x14ac:dyDescent="0.25">
      <c r="D57" s="164">
        <v>16</v>
      </c>
      <c r="E57" s="164"/>
      <c r="F57" s="297" t="s">
        <v>303</v>
      </c>
      <c r="G57" s="297"/>
      <c r="H57" s="360" t="s">
        <v>378</v>
      </c>
      <c r="K57" s="177"/>
      <c r="L57" s="177"/>
      <c r="M57" s="385"/>
      <c r="N57" s="163"/>
      <c r="O57" s="385"/>
      <c r="P57" s="163"/>
      <c r="Q57" s="385"/>
      <c r="Y57" s="163"/>
    </row>
    <row r="58" spans="4:25" ht="45" customHeight="1" x14ac:dyDescent="0.25">
      <c r="D58" s="362">
        <v>17</v>
      </c>
      <c r="E58" s="362"/>
      <c r="F58" s="298" t="s">
        <v>306</v>
      </c>
      <c r="G58" s="298"/>
      <c r="H58" s="360" t="s">
        <v>377</v>
      </c>
      <c r="J58" s="758"/>
      <c r="L58" s="154"/>
      <c r="M58" s="358"/>
      <c r="N58" s="177"/>
      <c r="O58" s="358"/>
      <c r="P58" s="177"/>
      <c r="Q58" s="358"/>
      <c r="Y58" s="163"/>
    </row>
    <row r="59" spans="4:25" ht="31.5" customHeight="1" x14ac:dyDescent="0.25">
      <c r="D59" s="362">
        <v>18</v>
      </c>
      <c r="E59" s="362"/>
      <c r="F59" s="298" t="s">
        <v>309</v>
      </c>
      <c r="G59" s="298"/>
      <c r="H59" s="360" t="s">
        <v>378</v>
      </c>
      <c r="J59" s="758"/>
      <c r="K59" s="168"/>
      <c r="L59" s="168"/>
      <c r="R59" s="758"/>
      <c r="Y59" s="163"/>
    </row>
    <row r="60" spans="4:25" ht="36.75" customHeight="1" x14ac:dyDescent="0.25">
      <c r="D60" s="363">
        <v>19</v>
      </c>
      <c r="E60" s="363"/>
      <c r="F60" s="176" t="s">
        <v>311</v>
      </c>
      <c r="G60" s="176"/>
      <c r="H60" s="360" t="s">
        <v>378</v>
      </c>
      <c r="J60" s="758"/>
      <c r="K60" s="168"/>
      <c r="L60" s="154"/>
      <c r="M60" s="759"/>
      <c r="N60" s="759"/>
      <c r="O60" s="759"/>
      <c r="P60" s="759"/>
      <c r="Q60" s="759"/>
      <c r="R60" s="758"/>
      <c r="S60" s="358"/>
      <c r="Y60" s="163"/>
    </row>
    <row r="61" spans="4:25" ht="33" customHeight="1" x14ac:dyDescent="0.25">
      <c r="F61" s="351" t="s">
        <v>314</v>
      </c>
      <c r="G61" s="351"/>
      <c r="H61" s="351">
        <f>COUNTIF(H42:H60,"Si")</f>
        <v>8</v>
      </c>
      <c r="J61" s="758"/>
      <c r="K61" s="168"/>
      <c r="L61" s="154"/>
      <c r="M61" s="759"/>
      <c r="N61" s="759"/>
      <c r="O61" s="759"/>
      <c r="P61" s="759"/>
      <c r="Q61" s="759"/>
      <c r="R61" s="758"/>
      <c r="S61" s="358"/>
      <c r="Y61" s="163"/>
    </row>
    <row r="62" spans="4:25" x14ac:dyDescent="0.25">
      <c r="J62" s="358"/>
      <c r="K62" s="157"/>
      <c r="R62" s="358"/>
      <c r="S62" s="358"/>
      <c r="Y62" s="163"/>
    </row>
    <row r="63" spans="4:25" x14ac:dyDescent="0.25">
      <c r="S63" s="358"/>
      <c r="Y63" s="163"/>
    </row>
    <row r="64" spans="4:25" x14ac:dyDescent="0.25">
      <c r="X64" s="163"/>
      <c r="Y64" s="163"/>
    </row>
    <row r="65" spans="4:25" x14ac:dyDescent="0.25">
      <c r="T65" s="163"/>
      <c r="U65" s="163"/>
      <c r="V65" s="163"/>
      <c r="W65" s="163"/>
      <c r="X65" s="163"/>
      <c r="Y65" s="163"/>
    </row>
    <row r="66" spans="4:25" x14ac:dyDescent="0.25">
      <c r="T66" s="163"/>
      <c r="U66" s="163"/>
      <c r="V66" s="163"/>
      <c r="W66" s="163"/>
    </row>
    <row r="79" spans="4:25" ht="21" customHeight="1" x14ac:dyDescent="0.3">
      <c r="D79" s="757" t="s">
        <v>522</v>
      </c>
      <c r="E79" s="757"/>
      <c r="F79" s="757"/>
      <c r="G79" s="146"/>
      <c r="I79" s="609" t="s">
        <v>469</v>
      </c>
      <c r="J79" s="609"/>
      <c r="K79" s="609"/>
      <c r="L79" s="609"/>
      <c r="M79" s="609"/>
    </row>
    <row r="80" spans="4:25" ht="21" customHeight="1" x14ac:dyDescent="0.3">
      <c r="D80" s="310" t="s">
        <v>514</v>
      </c>
      <c r="E80" s="310"/>
      <c r="F80" s="305">
        <v>0.2</v>
      </c>
      <c r="G80" s="371"/>
      <c r="I80" s="1"/>
      <c r="J80" s="5"/>
      <c r="K80" s="295" t="s">
        <v>13</v>
      </c>
      <c r="L80" s="295" t="s">
        <v>498</v>
      </c>
      <c r="M80" s="1"/>
      <c r="N80" s="140" t="s">
        <v>265</v>
      </c>
    </row>
    <row r="81" spans="4:14" ht="21" customHeight="1" x14ac:dyDescent="0.3">
      <c r="D81" s="310" t="s">
        <v>515</v>
      </c>
      <c r="E81" s="310"/>
      <c r="F81" s="305">
        <v>0.4</v>
      </c>
      <c r="G81" s="371"/>
      <c r="I81" s="1"/>
      <c r="J81" s="5"/>
      <c r="K81" s="1" t="s">
        <v>14</v>
      </c>
      <c r="L81" s="1" t="s">
        <v>595</v>
      </c>
      <c r="M81" s="1"/>
      <c r="N81" s="140" t="s">
        <v>559</v>
      </c>
    </row>
    <row r="82" spans="4:14" ht="21" customHeight="1" x14ac:dyDescent="0.3">
      <c r="D82" s="311" t="s">
        <v>516</v>
      </c>
      <c r="E82" s="311"/>
      <c r="F82" s="306">
        <v>0.6</v>
      </c>
      <c r="G82" s="372"/>
      <c r="I82"/>
      <c r="J82" s="5"/>
      <c r="K82" s="1" t="s">
        <v>15</v>
      </c>
      <c r="L82" s="1" t="s">
        <v>9</v>
      </c>
      <c r="M82" s="1"/>
    </row>
    <row r="83" spans="4:14" ht="21" customHeight="1" x14ac:dyDescent="0.3">
      <c r="D83" s="311" t="s">
        <v>517</v>
      </c>
      <c r="E83" s="311"/>
      <c r="F83" s="306">
        <v>0.8</v>
      </c>
      <c r="G83" s="372"/>
      <c r="I83" s="1"/>
      <c r="J83" s="5"/>
      <c r="K83" s="1" t="s">
        <v>16</v>
      </c>
      <c r="L83" s="1"/>
      <c r="M83" s="1"/>
      <c r="N83" s="140" t="s">
        <v>560</v>
      </c>
    </row>
    <row r="84" spans="4:14" ht="21" customHeight="1" x14ac:dyDescent="0.3">
      <c r="D84" s="312" t="s">
        <v>518</v>
      </c>
      <c r="E84" s="312"/>
      <c r="F84" s="307">
        <v>1</v>
      </c>
      <c r="G84" s="373"/>
      <c r="I84" s="1"/>
      <c r="J84" s="5"/>
      <c r="K84" s="1"/>
      <c r="L84" s="1"/>
      <c r="M84" s="1"/>
      <c r="N84" s="140" t="s">
        <v>561</v>
      </c>
    </row>
    <row r="85" spans="4:14" ht="21" customHeight="1" x14ac:dyDescent="0.3">
      <c r="D85" s="146"/>
      <c r="E85" s="146"/>
      <c r="F85" s="146"/>
      <c r="G85" s="146"/>
      <c r="I85" s="1"/>
      <c r="J85" s="5"/>
      <c r="K85" s="295" t="s">
        <v>18</v>
      </c>
      <c r="L85" s="295" t="s">
        <v>21</v>
      </c>
      <c r="M85" s="1"/>
    </row>
    <row r="86" spans="4:14" ht="21" customHeight="1" x14ac:dyDescent="0.3">
      <c r="D86" s="146"/>
      <c r="E86" s="146"/>
      <c r="F86" s="146"/>
      <c r="G86" s="146"/>
      <c r="I86" s="1"/>
      <c r="J86" s="5"/>
      <c r="K86" s="1" t="s">
        <v>493</v>
      </c>
      <c r="L86" s="1" t="s">
        <v>22</v>
      </c>
      <c r="M86" s="1"/>
      <c r="N86" s="140" t="s">
        <v>276</v>
      </c>
    </row>
    <row r="87" spans="4:14" ht="21" customHeight="1" x14ac:dyDescent="0.3">
      <c r="D87" s="757" t="s">
        <v>523</v>
      </c>
      <c r="E87" s="757"/>
      <c r="F87" s="757"/>
      <c r="G87" s="146"/>
      <c r="I87" s="1"/>
      <c r="J87" s="5"/>
      <c r="K87" s="1" t="s">
        <v>494</v>
      </c>
      <c r="L87" s="1" t="s">
        <v>23</v>
      </c>
      <c r="M87" s="1"/>
      <c r="N87" s="140" t="s">
        <v>562</v>
      </c>
    </row>
    <row r="88" spans="4:14" ht="21" customHeight="1" x14ac:dyDescent="0.3">
      <c r="D88" s="313" t="s">
        <v>519</v>
      </c>
      <c r="E88" s="313"/>
      <c r="F88" s="308">
        <v>0.2</v>
      </c>
      <c r="G88" s="374"/>
      <c r="I88" s="1"/>
      <c r="J88" s="5"/>
      <c r="K88" s="1"/>
      <c r="L88" s="1"/>
      <c r="M88" s="1"/>
    </row>
    <row r="89" spans="4:14" ht="21" customHeight="1" x14ac:dyDescent="0.3">
      <c r="D89" s="313" t="s">
        <v>520</v>
      </c>
      <c r="E89" s="313"/>
      <c r="F89" s="308">
        <v>0.4</v>
      </c>
      <c r="G89" s="374"/>
      <c r="I89" s="1"/>
      <c r="J89" s="5"/>
      <c r="K89" s="1"/>
      <c r="L89" s="1"/>
      <c r="M89" s="1"/>
      <c r="N89" s="140" t="s">
        <v>282</v>
      </c>
    </row>
    <row r="90" spans="4:14" ht="21" customHeight="1" x14ac:dyDescent="0.3">
      <c r="D90" s="311" t="s">
        <v>447</v>
      </c>
      <c r="E90" s="311"/>
      <c r="F90" s="306">
        <v>0.6</v>
      </c>
      <c r="G90" s="372"/>
      <c r="I90" s="1"/>
      <c r="J90" s="5"/>
      <c r="K90" s="295" t="s">
        <v>496</v>
      </c>
      <c r="L90" s="295" t="s">
        <v>29</v>
      </c>
      <c r="M90" s="1"/>
      <c r="N90" s="140" t="s">
        <v>336</v>
      </c>
    </row>
    <row r="91" spans="4:14" ht="21" customHeight="1" x14ac:dyDescent="0.3">
      <c r="D91" s="312" t="s">
        <v>521</v>
      </c>
      <c r="E91" s="312"/>
      <c r="F91" s="307">
        <v>0.8</v>
      </c>
      <c r="G91" s="373"/>
      <c r="I91" s="1"/>
      <c r="J91" s="5"/>
      <c r="K91" s="1" t="s">
        <v>497</v>
      </c>
      <c r="L91" s="1" t="s">
        <v>30</v>
      </c>
      <c r="M91" s="1"/>
      <c r="N91" s="140" t="s">
        <v>563</v>
      </c>
    </row>
    <row r="92" spans="4:14" ht="21" customHeight="1" x14ac:dyDescent="0.3">
      <c r="D92" s="314" t="s">
        <v>524</v>
      </c>
      <c r="E92" s="314"/>
      <c r="F92" s="309">
        <v>1</v>
      </c>
      <c r="G92" s="375"/>
      <c r="I92" s="1"/>
      <c r="J92" s="5"/>
      <c r="K92" s="1" t="s">
        <v>27</v>
      </c>
      <c r="L92" s="1" t="s">
        <v>504</v>
      </c>
      <c r="M92" s="1"/>
    </row>
    <row r="93" spans="4:14" ht="16.5" x14ac:dyDescent="0.3">
      <c r="I93" s="1"/>
      <c r="J93" s="5"/>
      <c r="K93" s="1"/>
      <c r="L93" s="1" t="s">
        <v>31</v>
      </c>
      <c r="M93" s="1"/>
      <c r="N93" s="140" t="s">
        <v>288</v>
      </c>
    </row>
    <row r="94" spans="4:14" ht="16.5" x14ac:dyDescent="0.3">
      <c r="I94" s="1"/>
      <c r="J94" s="5"/>
      <c r="K94" s="295" t="s">
        <v>39</v>
      </c>
      <c r="L94" s="1" t="s">
        <v>505</v>
      </c>
      <c r="M94" s="1"/>
      <c r="N94" s="140" t="s">
        <v>564</v>
      </c>
    </row>
    <row r="95" spans="4:14" ht="16.5" x14ac:dyDescent="0.3">
      <c r="I95" s="1"/>
      <c r="J95" s="5"/>
      <c r="K95" s="1" t="s">
        <v>40</v>
      </c>
      <c r="L95" s="1" t="s">
        <v>32</v>
      </c>
      <c r="M95" s="1"/>
    </row>
    <row r="96" spans="4:14" x14ac:dyDescent="0.25">
      <c r="K96" s="140" t="s">
        <v>41</v>
      </c>
      <c r="N96" s="140" t="s">
        <v>293</v>
      </c>
    </row>
    <row r="97" spans="14:14" x14ac:dyDescent="0.25">
      <c r="N97" s="140" t="s">
        <v>565</v>
      </c>
    </row>
    <row r="99" spans="14:14" x14ac:dyDescent="0.25">
      <c r="N99" s="140" t="s">
        <v>301</v>
      </c>
    </row>
    <row r="100" spans="14:14" x14ac:dyDescent="0.25">
      <c r="N100" s="140" t="s">
        <v>566</v>
      </c>
    </row>
    <row r="101" spans="14:14" x14ac:dyDescent="0.25">
      <c r="N101" s="140" t="s">
        <v>567</v>
      </c>
    </row>
    <row r="119" spans="6:6" x14ac:dyDescent="0.25">
      <c r="F119" s="140" t="s">
        <v>395</v>
      </c>
    </row>
    <row r="121" spans="6:6" x14ac:dyDescent="0.25">
      <c r="F121" s="140" t="s">
        <v>377</v>
      </c>
    </row>
    <row r="122" spans="6:6" x14ac:dyDescent="0.25">
      <c r="F122" s="140" t="s">
        <v>378</v>
      </c>
    </row>
    <row r="284" spans="4:20" x14ac:dyDescent="0.25">
      <c r="J284" s="165"/>
      <c r="K284" s="165"/>
      <c r="L284" s="165"/>
    </row>
    <row r="287" spans="4:20" x14ac:dyDescent="0.25">
      <c r="M287" s="165"/>
      <c r="N287" s="165"/>
      <c r="O287" s="165"/>
      <c r="S287" s="165"/>
      <c r="T287" s="165"/>
    </row>
    <row r="288" spans="4:20" x14ac:dyDescent="0.25">
      <c r="D288" s="143"/>
    </row>
    <row r="289" spans="4:18" x14ac:dyDescent="0.25">
      <c r="D289" s="143"/>
    </row>
    <row r="290" spans="4:18" x14ac:dyDescent="0.25">
      <c r="D290" s="143"/>
    </row>
    <row r="291" spans="4:18" x14ac:dyDescent="0.25">
      <c r="D291" s="143"/>
    </row>
    <row r="292" spans="4:18" x14ac:dyDescent="0.25">
      <c r="D292" s="143"/>
      <c r="I292" s="165"/>
      <c r="P292" s="165"/>
      <c r="Q292" s="165"/>
    </row>
    <row r="293" spans="4:18" x14ac:dyDescent="0.25">
      <c r="D293" s="166"/>
      <c r="E293" s="165"/>
      <c r="F293" s="165"/>
      <c r="G293" s="165"/>
      <c r="H293" s="165"/>
    </row>
    <row r="301" spans="4:18" x14ac:dyDescent="0.25">
      <c r="R301" s="165"/>
    </row>
  </sheetData>
  <mergeCells count="133">
    <mergeCell ref="I4:O4"/>
    <mergeCell ref="P4:S4"/>
    <mergeCell ref="T4:W4"/>
    <mergeCell ref="X4:AA4"/>
    <mergeCell ref="C6:AQ7"/>
    <mergeCell ref="C8:F8"/>
    <mergeCell ref="G8:S8"/>
    <mergeCell ref="T8:V8"/>
    <mergeCell ref="M15:M16"/>
    <mergeCell ref="O15:O16"/>
    <mergeCell ref="K15:K16"/>
    <mergeCell ref="L15:L16"/>
    <mergeCell ref="C9:F9"/>
    <mergeCell ref="G9:S9"/>
    <mergeCell ref="D10:F10"/>
    <mergeCell ref="I10:AA10"/>
    <mergeCell ref="C12:AA12"/>
    <mergeCell ref="C14:D14"/>
    <mergeCell ref="E14:F14"/>
    <mergeCell ref="G14:H14"/>
    <mergeCell ref="I14:J14"/>
    <mergeCell ref="C18:AG18"/>
    <mergeCell ref="C20:I21"/>
    <mergeCell ref="J20:R20"/>
    <mergeCell ref="S20:Y20"/>
    <mergeCell ref="Z20:AG20"/>
    <mergeCell ref="J21:J22"/>
    <mergeCell ref="K21:K22"/>
    <mergeCell ref="L21:L22"/>
    <mergeCell ref="M21:R21"/>
    <mergeCell ref="S21:S22"/>
    <mergeCell ref="H22:I22"/>
    <mergeCell ref="C23:C25"/>
    <mergeCell ref="D23:D25"/>
    <mergeCell ref="E23:E25"/>
    <mergeCell ref="F23:F25"/>
    <mergeCell ref="G23:G25"/>
    <mergeCell ref="H23:I25"/>
    <mergeCell ref="Z21:Z22"/>
    <mergeCell ref="AA21:AA22"/>
    <mergeCell ref="T21:T22"/>
    <mergeCell ref="U21:U22"/>
    <mergeCell ref="V21:V22"/>
    <mergeCell ref="W21:W22"/>
    <mergeCell ref="X21:X22"/>
    <mergeCell ref="Y21:Y22"/>
    <mergeCell ref="J30:J33"/>
    <mergeCell ref="K30:L33"/>
    <mergeCell ref="M30:N33"/>
    <mergeCell ref="O30:O33"/>
    <mergeCell ref="P30:P33"/>
    <mergeCell ref="Q30:Q33"/>
    <mergeCell ref="J26:J29"/>
    <mergeCell ref="AF21:AF22"/>
    <mergeCell ref="AG21:AG22"/>
    <mergeCell ref="AB21:AB22"/>
    <mergeCell ref="AC21:AC22"/>
    <mergeCell ref="AD21:AD22"/>
    <mergeCell ref="AE21:AE22"/>
    <mergeCell ref="S37:W38"/>
    <mergeCell ref="D38:H38"/>
    <mergeCell ref="J38:Q38"/>
    <mergeCell ref="D40:D41"/>
    <mergeCell ref="F40:F41"/>
    <mergeCell ref="L40:M40"/>
    <mergeCell ref="N40:O40"/>
    <mergeCell ref="P40:Q40"/>
    <mergeCell ref="S40:S42"/>
    <mergeCell ref="T40:T42"/>
    <mergeCell ref="U40:U42"/>
    <mergeCell ref="V40:V42"/>
    <mergeCell ref="W40:W42"/>
    <mergeCell ref="J42:J44"/>
    <mergeCell ref="K42:K43"/>
    <mergeCell ref="L42:L43"/>
    <mergeCell ref="M42:M43"/>
    <mergeCell ref="N42:N43"/>
    <mergeCell ref="O42:O43"/>
    <mergeCell ref="P42:P43"/>
    <mergeCell ref="N47:N49"/>
    <mergeCell ref="O47:O49"/>
    <mergeCell ref="Q42:Q43"/>
    <mergeCell ref="J45:J46"/>
    <mergeCell ref="K45:K46"/>
    <mergeCell ref="L45:L46"/>
    <mergeCell ref="M45:M46"/>
    <mergeCell ref="N45:N46"/>
    <mergeCell ref="O45:O46"/>
    <mergeCell ref="P45:P46"/>
    <mergeCell ref="Q45:Q46"/>
    <mergeCell ref="R59:R61"/>
    <mergeCell ref="M60:Q60"/>
    <mergeCell ref="M61:Q61"/>
    <mergeCell ref="P52:P54"/>
    <mergeCell ref="Q52:Q54"/>
    <mergeCell ref="S52:U54"/>
    <mergeCell ref="V52:V54"/>
    <mergeCell ref="J55:J56"/>
    <mergeCell ref="K55:K56"/>
    <mergeCell ref="L55:L56"/>
    <mergeCell ref="M55:M56"/>
    <mergeCell ref="N55:N56"/>
    <mergeCell ref="O55:O56"/>
    <mergeCell ref="J52:J54"/>
    <mergeCell ref="K52:K54"/>
    <mergeCell ref="L52:L54"/>
    <mergeCell ref="M52:M54"/>
    <mergeCell ref="N52:N54"/>
    <mergeCell ref="O52:O54"/>
    <mergeCell ref="D79:F79"/>
    <mergeCell ref="I79:M79"/>
    <mergeCell ref="D87:F87"/>
    <mergeCell ref="C15:D16"/>
    <mergeCell ref="E15:F16"/>
    <mergeCell ref="G15:H16"/>
    <mergeCell ref="I15:J16"/>
    <mergeCell ref="P55:P56"/>
    <mergeCell ref="Q55:Q56"/>
    <mergeCell ref="J58:J61"/>
    <mergeCell ref="P47:P49"/>
    <mergeCell ref="Q47:Q49"/>
    <mergeCell ref="J50:J51"/>
    <mergeCell ref="K50:K51"/>
    <mergeCell ref="L50:L51"/>
    <mergeCell ref="M50:M51"/>
    <mergeCell ref="N50:N51"/>
    <mergeCell ref="O50:O51"/>
    <mergeCell ref="P50:P51"/>
    <mergeCell ref="Q50:Q51"/>
    <mergeCell ref="J47:J49"/>
    <mergeCell ref="K47:K49"/>
    <mergeCell ref="L47:L49"/>
    <mergeCell ref="M47:M49"/>
  </mergeCells>
  <conditionalFormatting sqref="H23">
    <cfRule type="containsText" dxfId="297" priority="55" operator="containsText" text="Extremo">
      <formula>NOT(ISERROR(SEARCH("Extremo",H23)))</formula>
    </cfRule>
    <cfRule type="containsText" dxfId="296" priority="56" operator="containsText" text="Alto">
      <formula>NOT(ISERROR(SEARCH("Alto",H23)))</formula>
    </cfRule>
    <cfRule type="containsText" dxfId="295" priority="57" operator="containsText" text="Moderado">
      <formula>NOT(ISERROR(SEARCH("Moderado",H23)))</formula>
    </cfRule>
    <cfRule type="containsText" dxfId="294" priority="58" operator="containsText" text="Bajo">
      <formula>NOT(ISERROR(SEARCH("Bajo",H23)))</formula>
    </cfRule>
  </conditionalFormatting>
  <conditionalFormatting sqref="R30:S33">
    <cfRule type="containsText" dxfId="293" priority="52" operator="containsText" text="Fuerte">
      <formula>NOT(ISERROR(SEARCH("Fuerte",R30)))</formula>
    </cfRule>
    <cfRule type="containsText" dxfId="292" priority="53" operator="containsText" text="Moderado">
      <formula>NOT(ISERROR(SEARCH("Moderado",R30)))</formula>
    </cfRule>
    <cfRule type="containsText" dxfId="291" priority="54" operator="containsText" text="Débil">
      <formula>NOT(ISERROR(SEARCH("Débil",R30)))</formula>
    </cfRule>
  </conditionalFormatting>
  <conditionalFormatting sqref="D23">
    <cfRule type="cellIs" dxfId="290" priority="47" operator="equal">
      <formula>"Muy Alta"</formula>
    </cfRule>
    <cfRule type="cellIs" dxfId="289" priority="48" operator="equal">
      <formula>"Alta"</formula>
    </cfRule>
    <cfRule type="cellIs" dxfId="288" priority="49" operator="equal">
      <formula>"Media"</formula>
    </cfRule>
    <cfRule type="cellIs" dxfId="287" priority="50" operator="equal">
      <formula>"Baja"</formula>
    </cfRule>
    <cfRule type="cellIs" dxfId="286" priority="51" operator="equal">
      <formula>"Muy Baja"</formula>
    </cfRule>
  </conditionalFormatting>
  <conditionalFormatting sqref="S25:S26">
    <cfRule type="containsText" dxfId="285" priority="15" operator="containsText" text="Fuerte">
      <formula>NOT(ISERROR(SEARCH("Fuerte",S25)))</formula>
    </cfRule>
    <cfRule type="containsText" dxfId="284" priority="16" operator="containsText" text="Moderado">
      <formula>NOT(ISERROR(SEARCH("Moderado",S25)))</formula>
    </cfRule>
    <cfRule type="containsText" dxfId="283" priority="17" operator="containsText" text="Débil">
      <formula>NOT(ISERROR(SEARCH("Débil",S25)))</formula>
    </cfRule>
  </conditionalFormatting>
  <conditionalFormatting sqref="T23:T26">
    <cfRule type="cellIs" dxfId="282" priority="10" operator="equal">
      <formula>"Muy Alta"</formula>
    </cfRule>
    <cfRule type="cellIs" dxfId="281" priority="11" operator="equal">
      <formula>"Alta"</formula>
    </cfRule>
    <cfRule type="cellIs" dxfId="280" priority="12" operator="equal">
      <formula>"Media"</formula>
    </cfRule>
    <cfRule type="cellIs" dxfId="279" priority="13" operator="equal">
      <formula>"Baja"</formula>
    </cfRule>
    <cfRule type="cellIs" dxfId="278" priority="14" operator="equal">
      <formula>"Muy Baja"</formula>
    </cfRule>
  </conditionalFormatting>
  <conditionalFormatting sqref="V23:V26">
    <cfRule type="cellIs" dxfId="277" priority="5" operator="equal">
      <formula>"Catastrófico"</formula>
    </cfRule>
    <cfRule type="cellIs" dxfId="276" priority="6" operator="equal">
      <formula>"Mayor"</formula>
    </cfRule>
    <cfRule type="cellIs" dxfId="275" priority="7" operator="equal">
      <formula>"Moderado"</formula>
    </cfRule>
    <cfRule type="cellIs" dxfId="274" priority="8" operator="equal">
      <formula>"Menor"</formula>
    </cfRule>
    <cfRule type="cellIs" dxfId="273" priority="9" operator="equal">
      <formula>"Leve"</formula>
    </cfRule>
  </conditionalFormatting>
  <conditionalFormatting sqref="X23:X26">
    <cfRule type="cellIs" dxfId="272" priority="1" operator="equal">
      <formula>"Extremo"</formula>
    </cfRule>
    <cfRule type="cellIs" dxfId="271" priority="2" operator="equal">
      <formula>"Alto"</formula>
    </cfRule>
    <cfRule type="cellIs" dxfId="270" priority="3" operator="equal">
      <formula>"Moderado"</formula>
    </cfRule>
    <cfRule type="cellIs" dxfId="269" priority="4" operator="equal">
      <formula>"Bajo"</formula>
    </cfRule>
  </conditionalFormatting>
  <dataValidations count="15">
    <dataValidation type="list" allowBlank="1" showInputMessage="1" showErrorMessage="1" sqref="H42:H60" xr:uid="{9C6BAA88-DF9E-4FC1-AF89-D03C41C9C19B}">
      <formula1>$F$121:$F$122</formula1>
    </dataValidation>
    <dataValidation type="list" allowBlank="1" showInputMessage="1" showErrorMessage="1" sqref="M23:M24" xr:uid="{88D8B44F-2BFE-4003-91D8-5F4134CE8128}">
      <formula1>$K$81:$K$83</formula1>
    </dataValidation>
    <dataValidation type="list" allowBlank="1" showInputMessage="1" showErrorMessage="1" sqref="N23:N24" xr:uid="{F67D3C73-A488-409D-9B06-71772C0AEC2B}">
      <formula1>$L$81:$L$82</formula1>
    </dataValidation>
    <dataValidation type="list" allowBlank="1" showInputMessage="1" showErrorMessage="1" sqref="P23:P24" xr:uid="{8AFDE3CB-BE6B-41EA-83E8-4350E99E4467}">
      <formula1>$K$86:$K$87</formula1>
    </dataValidation>
    <dataValidation type="list" allowBlank="1" showInputMessage="1" showErrorMessage="1" sqref="Q23:Q24" xr:uid="{385FEB6F-F5BA-41AC-B274-43FFBA2EF498}">
      <formula1>$L$86:$L$87</formula1>
    </dataValidation>
    <dataValidation type="list" allowBlank="1" showInputMessage="1" showErrorMessage="1" sqref="R23:R24" xr:uid="{374076E2-61B7-4B9D-8945-752833AB0418}">
      <formula1>$K$91:$K$92</formula1>
    </dataValidation>
    <dataValidation type="list" allowBlank="1" showInputMessage="1" showErrorMessage="1" sqref="Y23:Y25" xr:uid="{9050C815-469F-45A1-8E43-A39EFFB5EF11}">
      <formula1>$L$91:$L$95</formula1>
    </dataValidation>
    <dataValidation type="list" allowBlank="1" showInputMessage="1" showErrorMessage="1" sqref="AG23:AG24" xr:uid="{826BA05A-168A-48DE-948A-58E692EADE06}">
      <formula1>$K$95:$K$96</formula1>
    </dataValidation>
    <dataValidation type="list" allowBlank="1" showInputMessage="1" showErrorMessage="1" sqref="L42:L43 P42:P43 N42:N43" xr:uid="{569F2B82-85A5-4EF0-8248-08A36F5E40F2}">
      <formula1>$N$80:$N$81</formula1>
    </dataValidation>
    <dataValidation type="list" allowBlank="1" showInputMessage="1" showErrorMessage="1" sqref="L44 P44 N44" xr:uid="{E9CD9620-E1F4-4821-9BA8-347ABFF4614E}">
      <formula1>$N$83:$N$84</formula1>
    </dataValidation>
    <dataValidation type="list" allowBlank="1" showInputMessage="1" showErrorMessage="1" sqref="L45:L46 P45:P46 N45:N46" xr:uid="{F1940C02-206C-432B-B54D-96D50E739C17}">
      <formula1>$N$86:$N$87</formula1>
    </dataValidation>
    <dataValidation type="list" allowBlank="1" showInputMessage="1" showErrorMessage="1" sqref="L47:L49 P47:P49 N47:N49" xr:uid="{5D0E499E-094D-436D-8707-80AD08D25864}">
      <formula1>$N$89:$N$91</formula1>
    </dataValidation>
    <dataValidation type="list" allowBlank="1" showInputMessage="1" showErrorMessage="1" sqref="L50:L51 P50:P51 N50:N51" xr:uid="{F90574F9-1E86-49C3-8836-8EFA4DEC42D1}">
      <formula1>$N$93:$N$94</formula1>
    </dataValidation>
    <dataValidation type="list" allowBlank="1" showInputMessage="1" showErrorMessage="1" sqref="L52:L54 P52:P54 N52:N54" xr:uid="{811E2192-59C2-4B02-829C-D9B6DE456423}">
      <formula1>$N$96:$N$97</formula1>
    </dataValidation>
    <dataValidation type="list" allowBlank="1" showInputMessage="1" showErrorMessage="1" sqref="L55:L56 P55:P56 N55:N56" xr:uid="{1CF9212D-4167-4895-87D8-7EC73C68B555}">
      <formula1>$N$99:$N$101</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2" stopIfTrue="1" operator="containsText" id="{49A01021-AF6E-4AF4-9D59-011A32F3AB5E}">
            <xm:f>NOT(ISERROR(SEARCH($D$91,F23)))</xm:f>
            <xm:f>$D$91</xm:f>
            <x14:dxf>
              <fill>
                <patternFill>
                  <bgColor theme="9" tint="-0.24994659260841701"/>
                </patternFill>
              </fill>
            </x14:dxf>
          </x14:cfRule>
          <x14:cfRule type="containsText" priority="43" stopIfTrue="1" operator="containsText" id="{8AE70CC9-337A-43D6-AF5F-0C8997738F29}">
            <xm:f>NOT(ISERROR(SEARCH($D$92,F23)))</xm:f>
            <xm:f>$D$92</xm:f>
            <x14:dxf>
              <fill>
                <patternFill>
                  <bgColor rgb="FFFF0000"/>
                </patternFill>
              </fill>
            </x14:dxf>
          </x14:cfRule>
          <x14:cfRule type="containsText" priority="44" stopIfTrue="1" operator="containsText" id="{0638ED84-2AA3-4F19-9094-F8A2249C2334}">
            <xm:f>NOT(ISERROR(SEARCH($D$89,F23)))</xm:f>
            <xm:f>$D$89</xm:f>
            <x14:dxf>
              <fill>
                <patternFill>
                  <bgColor theme="6"/>
                </patternFill>
              </fill>
            </x14:dxf>
          </x14:cfRule>
          <x14:cfRule type="containsText" priority="45" stopIfTrue="1" operator="containsText" id="{A9EE2BF5-DEDB-4C68-B6FB-4F252BC68FC6}">
            <xm:f>NOT(ISERROR(SEARCH($D$90,F23)))</xm:f>
            <xm:f>$D$90</xm:f>
            <x14:dxf>
              <fill>
                <patternFill>
                  <bgColor rgb="FFFFFF00"/>
                </patternFill>
              </fill>
            </x14:dxf>
          </x14:cfRule>
          <x14:cfRule type="containsText" priority="46" stopIfTrue="1" operator="containsText" id="{033BCF50-CC47-4E1D-96AC-4992564DFF9D}">
            <xm:f>NOT(ISERROR(SEARCH($D$88,F23)))</xm:f>
            <xm:f>$D$88</xm:f>
            <x14:dxf>
              <fill>
                <patternFill>
                  <bgColor theme="6"/>
                </patternFill>
              </fill>
            </x14:dxf>
          </x14:cfRule>
          <xm:sqref>F23:G23 F24:F25</xm:sqref>
        </x14:conditionalFormatting>
        <x14:conditionalFormatting xmlns:xm="http://schemas.microsoft.com/office/excel/2006/main">
          <x14:cfRule type="containsText" priority="37" stopIfTrue="1" operator="containsText" id="{D442F3C5-F63A-4854-A49B-A9536B1B5268}">
            <xm:f>NOT(ISERROR(SEARCH($F$84,D26)))</xm:f>
            <xm:f>$F$84</xm:f>
            <x14:dxf>
              <fill>
                <patternFill>
                  <bgColor theme="9" tint="-0.24994659260841701"/>
                </patternFill>
              </fill>
            </x14:dxf>
          </x14:cfRule>
          <x14:cfRule type="containsText" priority="38" stopIfTrue="1" operator="containsText" id="{002695B6-2B91-44F6-AB09-BBCE28A2A2BE}">
            <xm:f>NOT(ISERROR(SEARCH($F$83,D26)))</xm:f>
            <xm:f>$F$83</xm:f>
            <x14:dxf>
              <fill>
                <patternFill>
                  <bgColor rgb="FFFFFF00"/>
                </patternFill>
              </fill>
            </x14:dxf>
          </x14:cfRule>
          <x14:cfRule type="containsText" priority="39" stopIfTrue="1" operator="containsText" id="{C499455B-22A2-4789-B6C9-0EBADA706212}">
            <xm:f>NOT(ISERROR(SEARCH($F$82,D26)))</xm:f>
            <xm:f>$F$82</xm:f>
            <x14:dxf>
              <fill>
                <patternFill>
                  <bgColor rgb="FFFFFF00"/>
                </patternFill>
              </fill>
            </x14:dxf>
          </x14:cfRule>
          <x14:cfRule type="containsText" priority="40" stopIfTrue="1" operator="containsText" id="{22824253-13A6-4924-A730-4444730D22AF}">
            <xm:f>NOT(ISERROR(SEARCH($F$81,D26)))</xm:f>
            <xm:f>$F$81</xm:f>
            <x14:dxf>
              <fill>
                <patternFill>
                  <bgColor rgb="FF92D050"/>
                </patternFill>
              </fill>
            </x14:dxf>
          </x14:cfRule>
          <x14:cfRule type="containsText" priority="41" stopIfTrue="1" operator="containsText" id="{08DC94FD-0248-4165-AB8A-7FFD02E0D471}">
            <xm:f>NOT(ISERROR(SEARCH($F$80,D26)))</xm:f>
            <xm:f>$F$80</xm:f>
            <x14:dxf>
              <fill>
                <patternFill>
                  <bgColor rgb="FF92D050"/>
                </patternFill>
              </fill>
            </x14:dxf>
          </x14:cfRule>
          <xm:sqref>D26:E26</xm:sqref>
        </x14:conditionalFormatting>
        <x14:conditionalFormatting xmlns:xm="http://schemas.microsoft.com/office/excel/2006/main">
          <x14:cfRule type="containsText" priority="32" stopIfTrue="1" operator="containsText" id="{8F5653CE-F853-404E-8BD8-C7C46FBC45A6}">
            <xm:f>NOT(ISERROR(SEARCH($F$92,F26)))</xm:f>
            <xm:f>$F$92</xm:f>
            <x14:dxf>
              <fill>
                <patternFill>
                  <bgColor rgb="FFFF0000"/>
                </patternFill>
              </fill>
            </x14:dxf>
          </x14:cfRule>
          <x14:cfRule type="containsText" priority="33" stopIfTrue="1" operator="containsText" id="{DCEDDF09-66EE-44DD-AB7B-08488A2F84AD}">
            <xm:f>NOT(ISERROR(SEARCH($F$91,F26)))</xm:f>
            <xm:f>$F$91</xm:f>
            <x14:dxf>
              <fill>
                <patternFill>
                  <bgColor theme="9" tint="-0.24994659260841701"/>
                </patternFill>
              </fill>
            </x14:dxf>
          </x14:cfRule>
          <x14:cfRule type="containsText" priority="34" stopIfTrue="1" operator="containsText" id="{21152316-0EA2-4B11-9501-B99279C9F43B}">
            <xm:f>NOT(ISERROR(SEARCH($F$90,F26)))</xm:f>
            <xm:f>$F$90</xm:f>
            <x14:dxf>
              <fill>
                <patternFill>
                  <bgColor rgb="FFFFFF00"/>
                </patternFill>
              </fill>
            </x14:dxf>
          </x14:cfRule>
          <x14:cfRule type="containsText" priority="35" stopIfTrue="1" operator="containsText" id="{8F672DCF-057A-4619-9426-1CEA0A074506}">
            <xm:f>NOT(ISERROR(SEARCH($F$89,F26)))</xm:f>
            <xm:f>$F$89</xm:f>
            <x14:dxf>
              <fill>
                <patternFill>
                  <bgColor rgb="FF92D050"/>
                </patternFill>
              </fill>
            </x14:dxf>
          </x14:cfRule>
          <x14:cfRule type="containsText" priority="36" stopIfTrue="1" operator="containsText" id="{0983D7C6-9D21-4789-8625-A9304C03CABA}">
            <xm:f>NOT(ISERROR(SEARCH($F$88,F26)))</xm:f>
            <xm:f>$F$88</xm:f>
            <x14:dxf>
              <fill>
                <patternFill>
                  <bgColor rgb="FF92D050"/>
                </patternFill>
              </fill>
            </x14:dxf>
          </x14:cfRule>
          <xm:sqref>F26:G26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Portada</vt:lpstr>
      <vt:lpstr>Datos del proceso</vt:lpstr>
      <vt:lpstr>Intructivo</vt:lpstr>
      <vt:lpstr>Riesg de corrupción</vt:lpstr>
      <vt:lpstr>Riesgos de gestión</vt:lpstr>
      <vt:lpstr>Riesgo de gestión</vt:lpstr>
      <vt:lpstr>R.corrupción estimulos</vt:lpstr>
      <vt:lpstr>R.corrupción alquiler</vt:lpstr>
      <vt:lpstr>R. corrupción formación</vt:lpstr>
      <vt:lpstr>R.corrupción expo</vt:lpstr>
      <vt:lpstr>R.corrupción nuevo</vt:lpstr>
      <vt:lpstr>Riesgos de segInf</vt:lpstr>
      <vt:lpstr>Riesgos Seguridad D información</vt:lpstr>
      <vt:lpstr>SARLAF</vt:lpstr>
      <vt:lpstr>Tabla probabilidad</vt:lpstr>
      <vt:lpstr>Tabla Impacto</vt:lpstr>
      <vt:lpstr>Tabla Valoración controles</vt:lpstr>
      <vt:lpstr>Matrices</vt:lpstr>
      <vt:lpstr>Matriz Calor Inherente</vt:lpstr>
      <vt:lpstr>Matriz Calor Residual</vt:lpstr>
      <vt:lpstr>Opciones Tratamiento</vt:lpstr>
      <vt:lpstr>Hoja1</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Usuario</cp:lastModifiedBy>
  <cp:lastPrinted>2020-05-13T01:12:22Z</cp:lastPrinted>
  <dcterms:created xsi:type="dcterms:W3CDTF">2020-03-24T23:12:47Z</dcterms:created>
  <dcterms:modified xsi:type="dcterms:W3CDTF">2023-01-30T14:24:47Z</dcterms:modified>
</cp:coreProperties>
</file>