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persons/person.xml" ContentType="application/vnd.ms-excel.person+xml"/>
  <Override PartName="/xl/richData/rdRichValueTypes.xml" ContentType="application/vnd.ms-excel.rdrichvaluetypes+xml"/>
  <Override PartName="/xl/richData/rdrichvaluestructure.xml" ContentType="application/vnd.ms-excel.rdrichvaluestructur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24226"/>
  <mc:AlternateContent xmlns:mc="http://schemas.openxmlformats.org/markup-compatibility/2006">
    <mc:Choice Requires="x15">
      <x15ac:absPath xmlns:x15ac="http://schemas.microsoft.com/office/spreadsheetml/2010/11/ac" url="C:\Users\Usuario\Documents\FUGA 2023\Junio\Obligación 8\"/>
    </mc:Choice>
  </mc:AlternateContent>
  <xr:revisionPtr revIDLastSave="0" documentId="13_ncr:1_{A40789D3-63B2-41E1-B29C-981633940253}" xr6:coauthVersionLast="47" xr6:coauthVersionMax="47" xr10:uidLastSave="{00000000-0000-0000-0000-000000000000}"/>
  <bookViews>
    <workbookView xWindow="-24120" yWindow="-120" windowWidth="24240" windowHeight="13140" tabRatio="752" activeTab="6" xr2:uid="{00000000-000D-0000-FFFF-FFFF00000000}"/>
  </bookViews>
  <sheets>
    <sheet name="Portada" sheetId="24" r:id="rId1"/>
    <sheet name="Datos del proceso" sheetId="21" r:id="rId2"/>
    <sheet name="Intructivo" sheetId="20" r:id="rId3"/>
    <sheet name="Riesg de corrupción" sheetId="30" state="hidden" r:id="rId4"/>
    <sheet name="Riesgos de gestión" sheetId="1" state="hidden" r:id="rId5"/>
    <sheet name="Hoja2" sheetId="33" state="hidden" r:id="rId6"/>
    <sheet name="Riesgo de gestión" sheetId="26" r:id="rId7"/>
    <sheet name="R.corrupción financiera" sheetId="32" r:id="rId8"/>
    <sheet name="Riesgos de segInf" sheetId="31" r:id="rId9"/>
    <sheet name="Riesgos Seguridad D información" sheetId="23" state="hidden" r:id="rId10"/>
    <sheet name="SARLAF" sheetId="25" r:id="rId11"/>
    <sheet name="Tabla probabilidad" sheetId="12" r:id="rId12"/>
    <sheet name="Tabla Impacto" sheetId="13" r:id="rId13"/>
    <sheet name="Tabla Valoración controles" sheetId="15" r:id="rId14"/>
    <sheet name="Matrices" sheetId="28" r:id="rId15"/>
    <sheet name="Matriz Calor Inherente" sheetId="18" r:id="rId16"/>
    <sheet name="Matriz Calor Residual" sheetId="19" r:id="rId17"/>
    <sheet name="Opciones Tratamiento" sheetId="16" state="hidden" r:id="rId18"/>
    <sheet name="Hoja1" sheetId="11" state="hidden" r:id="rId19"/>
  </sheets>
  <externalReferences>
    <externalReference r:id="rId20"/>
    <externalReference r:id="rId21"/>
    <externalReference r:id="rId22"/>
    <externalReference r:id="rId23"/>
  </externalReferences>
  <definedNames>
    <definedName name="_xlnm._FilterDatabase" localSheetId="1" hidden="1">'Datos del proceso'!$A$9:$I$9</definedName>
    <definedName name="Clase">[1]CONTROL!$R$8:$R$9</definedName>
    <definedName name="Documentación">[1]CONTROL!$L$2:$L$3</definedName>
    <definedName name="EVIDENCIA">[1]CONTROL!$N$3:$N$5</definedName>
    <definedName name="FRECUENCIA">[1]CONTROL!$L$9:$L$10</definedName>
    <definedName name="HALLAZGO_AUDITORIA_ANTERIOR">[1]CONTROL!$X$19:$X$20</definedName>
    <definedName name="Impacto_1">[1]RIESGOS!$C$5:$C$7</definedName>
    <definedName name="INCORECCIONES">[1]CONTROL!$T$20:$T$22</definedName>
    <definedName name="OBJETIVO">[1]CONTROL!$I$2:$I$5</definedName>
    <definedName name="Riesgo">[1]CONTROL!$K$28:$K$29</definedName>
    <definedName name="Segregación2">[1]CONTROL!$R$12:$R$13</definedName>
    <definedName name="TIPO_CONTROL">[1]CONTROL!$N$23:$N$24</definedName>
  </definedNames>
  <calcPr calcId="191029"/>
  <pivotCaches>
    <pivotCache cacheId="1" r:id="rId24"/>
  </pivotCaches>
</workbook>
</file>

<file path=xl/calcChain.xml><?xml version="1.0" encoding="utf-8"?>
<calcChain xmlns="http://schemas.openxmlformats.org/spreadsheetml/2006/main">
  <c r="V11" i="31" l="1"/>
  <c r="S11" i="31"/>
  <c r="Z11" i="31" s="1"/>
  <c r="I11" i="31"/>
  <c r="A24" i="33" l="1"/>
  <c r="T13" i="26" l="1"/>
  <c r="Q13" i="26"/>
  <c r="H60" i="32" l="1"/>
  <c r="L22" i="32"/>
  <c r="D22" i="32"/>
  <c r="E22" i="32"/>
  <c r="O22" i="32"/>
  <c r="S22" i="32"/>
  <c r="O23" i="32"/>
  <c r="S24" i="32"/>
  <c r="S25" i="32"/>
  <c r="T25" i="32"/>
  <c r="L23" i="32"/>
  <c r="W25" i="32"/>
  <c r="V25" i="32"/>
  <c r="X25" i="32"/>
  <c r="U25" i="32"/>
  <c r="F22" i="32"/>
  <c r="F25" i="32"/>
  <c r="D25" i="32"/>
  <c r="S23" i="32"/>
  <c r="T23" i="32"/>
  <c r="W23" i="32"/>
  <c r="V23" i="32"/>
  <c r="X23" i="32"/>
  <c r="U23" i="32"/>
  <c r="T22" i="32"/>
  <c r="G22" i="32"/>
  <c r="W22" i="32"/>
  <c r="V22" i="32"/>
  <c r="X22" i="32"/>
  <c r="U22" i="32"/>
  <c r="H22" i="32"/>
  <c r="G9" i="32"/>
  <c r="G8" i="32"/>
  <c r="Q12" i="26"/>
  <c r="T12" i="26"/>
  <c r="H12" i="26"/>
  <c r="I12" i="26" s="1"/>
  <c r="L17" i="26"/>
  <c r="M17" i="26" s="1"/>
  <c r="L23" i="26"/>
  <c r="M23" i="26" s="1"/>
  <c r="L21" i="26"/>
  <c r="L19" i="26"/>
  <c r="M19" i="26" s="1"/>
  <c r="L12" i="26"/>
  <c r="M12" i="26" s="1"/>
  <c r="T16" i="26"/>
  <c r="H14" i="26"/>
  <c r="Q16" i="26"/>
  <c r="I14" i="26"/>
  <c r="C8" i="26"/>
  <c r="V30" i="31"/>
  <c r="S30" i="31"/>
  <c r="M30" i="31"/>
  <c r="V29" i="31"/>
  <c r="S29" i="31"/>
  <c r="N29" i="31"/>
  <c r="O29" i="31"/>
  <c r="M29" i="31"/>
  <c r="J29" i="31"/>
  <c r="V28" i="31"/>
  <c r="S28" i="31"/>
  <c r="M28" i="31"/>
  <c r="V27" i="31"/>
  <c r="S27" i="31"/>
  <c r="AD27" i="31"/>
  <c r="AC27" i="31"/>
  <c r="N27" i="31"/>
  <c r="M27" i="31"/>
  <c r="J27" i="31"/>
  <c r="K27" i="31"/>
  <c r="V26" i="31"/>
  <c r="S26" i="31"/>
  <c r="M26" i="31"/>
  <c r="V25" i="31"/>
  <c r="S25" i="31"/>
  <c r="AD25" i="31"/>
  <c r="AC25" i="31"/>
  <c r="N25" i="31"/>
  <c r="O25" i="31"/>
  <c r="M25" i="31"/>
  <c r="J25" i="31"/>
  <c r="K25" i="31"/>
  <c r="V24" i="31"/>
  <c r="S24" i="31"/>
  <c r="M24" i="31"/>
  <c r="V23" i="31"/>
  <c r="S23" i="31"/>
  <c r="Z23" i="31"/>
  <c r="N23" i="31"/>
  <c r="O23" i="31"/>
  <c r="M23" i="31"/>
  <c r="J23" i="31"/>
  <c r="K23" i="31"/>
  <c r="V22" i="31"/>
  <c r="S22" i="31"/>
  <c r="M22" i="31"/>
  <c r="V21" i="31"/>
  <c r="S21" i="31"/>
  <c r="N21" i="31"/>
  <c r="O21" i="31"/>
  <c r="M21" i="31"/>
  <c r="J21" i="31"/>
  <c r="K21" i="31"/>
  <c r="V20" i="31"/>
  <c r="S20" i="31"/>
  <c r="M20" i="31"/>
  <c r="V19" i="31"/>
  <c r="S19" i="31"/>
  <c r="Z19" i="31"/>
  <c r="AB19" i="31"/>
  <c r="N19" i="31"/>
  <c r="O19" i="31"/>
  <c r="M19" i="31"/>
  <c r="J19" i="31"/>
  <c r="V18" i="31"/>
  <c r="S18" i="31"/>
  <c r="M18" i="31"/>
  <c r="V17" i="31"/>
  <c r="S17" i="31"/>
  <c r="Z17" i="31"/>
  <c r="N17" i="31"/>
  <c r="O17" i="31"/>
  <c r="M17" i="31"/>
  <c r="J17" i="31"/>
  <c r="V16" i="31"/>
  <c r="S16" i="31"/>
  <c r="M16" i="31"/>
  <c r="V15" i="31"/>
  <c r="S15" i="31"/>
  <c r="AD15" i="31"/>
  <c r="AC15" i="31"/>
  <c r="N15" i="31"/>
  <c r="O15" i="31"/>
  <c r="M15" i="31"/>
  <c r="J15" i="31"/>
  <c r="K15" i="31"/>
  <c r="V14" i="31"/>
  <c r="S14" i="31"/>
  <c r="M14" i="31"/>
  <c r="V13" i="31"/>
  <c r="S13" i="31"/>
  <c r="AD13" i="31"/>
  <c r="AC13" i="31"/>
  <c r="N13" i="31"/>
  <c r="O13" i="31"/>
  <c r="M13" i="31"/>
  <c r="J13" i="31"/>
  <c r="V12" i="31"/>
  <c r="S12" i="31"/>
  <c r="M12" i="31"/>
  <c r="N11" i="31"/>
  <c r="O11" i="31" s="1"/>
  <c r="AD11" i="31" s="1"/>
  <c r="M11" i="31"/>
  <c r="J11" i="31"/>
  <c r="K11" i="31" s="1"/>
  <c r="C7" i="31"/>
  <c r="C6" i="31"/>
  <c r="F10" i="23"/>
  <c r="F9" i="23"/>
  <c r="F17" i="30"/>
  <c r="I17" i="30"/>
  <c r="K17" i="30"/>
  <c r="L17" i="30"/>
  <c r="M17" i="30"/>
  <c r="K18" i="30"/>
  <c r="T30" i="30"/>
  <c r="Q30" i="30"/>
  <c r="K30" i="30"/>
  <c r="T29" i="30"/>
  <c r="Q29" i="30"/>
  <c r="L29" i="30"/>
  <c r="M29" i="30"/>
  <c r="K29" i="30"/>
  <c r="H29" i="30"/>
  <c r="I29" i="30"/>
  <c r="T28" i="30"/>
  <c r="Q28" i="30"/>
  <c r="K28" i="30"/>
  <c r="T27" i="30"/>
  <c r="Q27" i="30"/>
  <c r="X27" i="30"/>
  <c r="L27" i="30"/>
  <c r="M27" i="30"/>
  <c r="K27" i="30"/>
  <c r="I27" i="30"/>
  <c r="T26" i="30"/>
  <c r="Q26" i="30"/>
  <c r="K26" i="30"/>
  <c r="T25" i="30"/>
  <c r="Q25" i="30"/>
  <c r="L25" i="30"/>
  <c r="M25" i="30"/>
  <c r="K25" i="30"/>
  <c r="H25" i="30"/>
  <c r="T24" i="30"/>
  <c r="Q24" i="30"/>
  <c r="K24" i="30"/>
  <c r="T23" i="30"/>
  <c r="Q23" i="30"/>
  <c r="X23" i="30"/>
  <c r="Y23" i="30"/>
  <c r="L23" i="30"/>
  <c r="M23" i="30"/>
  <c r="K23" i="30"/>
  <c r="H23" i="30"/>
  <c r="T22" i="30"/>
  <c r="Q22" i="30"/>
  <c r="K22" i="30"/>
  <c r="T21" i="30"/>
  <c r="Q21" i="30"/>
  <c r="L21" i="30"/>
  <c r="K21" i="30"/>
  <c r="H21" i="30"/>
  <c r="I21" i="30"/>
  <c r="T20" i="30"/>
  <c r="Q20" i="30"/>
  <c r="K20" i="30"/>
  <c r="T19" i="30"/>
  <c r="Q19" i="30"/>
  <c r="AB19" i="30"/>
  <c r="AA19" i="30"/>
  <c r="L19" i="30"/>
  <c r="M19" i="30"/>
  <c r="K19" i="30"/>
  <c r="H19" i="30"/>
  <c r="I19" i="30"/>
  <c r="T18" i="30"/>
  <c r="Q18" i="30"/>
  <c r="T17" i="30"/>
  <c r="Q17" i="30"/>
  <c r="C6" i="30"/>
  <c r="C5" i="30"/>
  <c r="L14" i="26"/>
  <c r="M14" i="26" s="1"/>
  <c r="AB14" i="26" s="1"/>
  <c r="H17" i="26"/>
  <c r="I17" i="26" s="1"/>
  <c r="K17" i="26"/>
  <c r="K18" i="26"/>
  <c r="H19" i="26"/>
  <c r="I19" i="26" s="1"/>
  <c r="K19" i="26"/>
  <c r="K20" i="26"/>
  <c r="H21" i="26"/>
  <c r="I21" i="26" s="1"/>
  <c r="K21" i="26"/>
  <c r="M21" i="26"/>
  <c r="K22" i="26"/>
  <c r="H23" i="26"/>
  <c r="I23" i="26" s="1"/>
  <c r="K23" i="26"/>
  <c r="H24" i="26"/>
  <c r="I24" i="26" s="1"/>
  <c r="K24" i="26"/>
  <c r="L24" i="26"/>
  <c r="M24" i="26" s="1"/>
  <c r="K25" i="26"/>
  <c r="H26" i="26"/>
  <c r="I26" i="26" s="1"/>
  <c r="K26" i="26"/>
  <c r="L26" i="26"/>
  <c r="M26" i="26" s="1"/>
  <c r="K27" i="26"/>
  <c r="H28" i="26"/>
  <c r="I28" i="26" s="1"/>
  <c r="K28" i="26"/>
  <c r="L28" i="26"/>
  <c r="M28" i="26" s="1"/>
  <c r="K29" i="26"/>
  <c r="H30" i="26"/>
  <c r="I30" i="26"/>
  <c r="K30" i="26"/>
  <c r="L30" i="26"/>
  <c r="M30" i="26"/>
  <c r="K31" i="26"/>
  <c r="C7" i="26"/>
  <c r="F72" i="25"/>
  <c r="G72" i="25"/>
  <c r="E72" i="25"/>
  <c r="E73" i="25"/>
  <c r="E74" i="25"/>
  <c r="E22" i="25"/>
  <c r="E23" i="25"/>
  <c r="F22" i="25"/>
  <c r="G22" i="25"/>
  <c r="T31" i="26"/>
  <c r="Q31" i="26"/>
  <c r="X31" i="26" s="1"/>
  <c r="T30" i="26"/>
  <c r="Q30" i="26"/>
  <c r="X30" i="26"/>
  <c r="Z30" i="26" s="1"/>
  <c r="T29" i="26"/>
  <c r="Q29" i="26"/>
  <c r="T28" i="26"/>
  <c r="Q28" i="26"/>
  <c r="AB28" i="26" s="1"/>
  <c r="AA28" i="26" s="1"/>
  <c r="AC28" i="26" s="1"/>
  <c r="T27" i="26"/>
  <c r="Q27" i="26"/>
  <c r="T26" i="26"/>
  <c r="Q26" i="26"/>
  <c r="X26" i="26"/>
  <c r="Z26" i="26" s="1"/>
  <c r="T25" i="26"/>
  <c r="Q25" i="26"/>
  <c r="T24" i="26"/>
  <c r="Q24" i="26"/>
  <c r="X25" i="26" s="1"/>
  <c r="AB24" i="26"/>
  <c r="AA24" i="26" s="1"/>
  <c r="T23" i="26"/>
  <c r="Q23" i="26"/>
  <c r="AB23" i="26" s="1"/>
  <c r="AA23" i="26" s="1"/>
  <c r="T22" i="26"/>
  <c r="Q22" i="26"/>
  <c r="T21" i="26"/>
  <c r="Q21" i="26"/>
  <c r="T19" i="26"/>
  <c r="Q19" i="26"/>
  <c r="T18" i="26"/>
  <c r="Q18" i="26"/>
  <c r="T17" i="26"/>
  <c r="Q17" i="26"/>
  <c r="T15" i="26"/>
  <c r="Q15" i="26"/>
  <c r="K12" i="26"/>
  <c r="K59" i="23"/>
  <c r="I59" i="23"/>
  <c r="G59" i="23"/>
  <c r="K56" i="23"/>
  <c r="I56" i="23"/>
  <c r="G56" i="23"/>
  <c r="K54" i="23"/>
  <c r="I54" i="23"/>
  <c r="G54" i="23"/>
  <c r="K51" i="23"/>
  <c r="I51" i="23"/>
  <c r="G51" i="23"/>
  <c r="K49" i="23"/>
  <c r="I49" i="23"/>
  <c r="G49" i="23"/>
  <c r="K47" i="23"/>
  <c r="I47" i="23"/>
  <c r="G47" i="23"/>
  <c r="K45" i="23"/>
  <c r="I45" i="23"/>
  <c r="G45" i="23"/>
  <c r="M33" i="23"/>
  <c r="I33" i="23"/>
  <c r="M29" i="23"/>
  <c r="AC23" i="23"/>
  <c r="V25" i="23"/>
  <c r="M25" i="23"/>
  <c r="F25" i="23"/>
  <c r="N33" i="23"/>
  <c r="O33" i="23"/>
  <c r="X14" i="26"/>
  <c r="Z14" i="26" s="1"/>
  <c r="X15" i="26" s="1"/>
  <c r="AD22" i="31"/>
  <c r="AC22" i="31"/>
  <c r="P29" i="31"/>
  <c r="AD16" i="31"/>
  <c r="AC16" i="31"/>
  <c r="P17" i="31"/>
  <c r="AD19" i="31"/>
  <c r="AC19" i="31"/>
  <c r="K29" i="31"/>
  <c r="Z14" i="31"/>
  <c r="AB14" i="31"/>
  <c r="P19" i="31"/>
  <c r="Z25" i="31"/>
  <c r="AA25" i="31"/>
  <c r="AE25" i="31"/>
  <c r="Z24" i="31"/>
  <c r="AB24" i="31"/>
  <c r="AD26" i="31"/>
  <c r="AC26" i="31"/>
  <c r="P13" i="31"/>
  <c r="Z21" i="31"/>
  <c r="AB21" i="31"/>
  <c r="AD20" i="31"/>
  <c r="AC20" i="31"/>
  <c r="K13" i="31"/>
  <c r="P15" i="31"/>
  <c r="P27" i="31"/>
  <c r="AD30" i="31"/>
  <c r="AC30" i="31"/>
  <c r="Z26" i="31"/>
  <c r="AB26" i="31"/>
  <c r="Z28" i="31"/>
  <c r="AB28" i="31"/>
  <c r="AD28" i="31"/>
  <c r="AC28" i="31"/>
  <c r="AD14" i="31"/>
  <c r="AC14" i="31" s="1"/>
  <c r="AE14" i="31" s="1"/>
  <c r="Z22" i="31"/>
  <c r="AA22" i="31"/>
  <c r="AD23" i="31"/>
  <c r="AC23" i="31"/>
  <c r="AD29" i="31"/>
  <c r="AC29" i="31"/>
  <c r="P23" i="31"/>
  <c r="AA23" i="31"/>
  <c r="AB23" i="31"/>
  <c r="AB17" i="31"/>
  <c r="AA17" i="31"/>
  <c r="AA19" i="31"/>
  <c r="Z20" i="31"/>
  <c r="Z15" i="31"/>
  <c r="K17" i="31"/>
  <c r="Z18" i="31"/>
  <c r="P25" i="31"/>
  <c r="Z13" i="31"/>
  <c r="Z16" i="31"/>
  <c r="AD21" i="31"/>
  <c r="AC21" i="31"/>
  <c r="AD24" i="31"/>
  <c r="AC24" i="31"/>
  <c r="Z29" i="31"/>
  <c r="K19" i="31"/>
  <c r="P21" i="31"/>
  <c r="Z27" i="31"/>
  <c r="Z30" i="31"/>
  <c r="O27" i="31"/>
  <c r="AD17" i="31"/>
  <c r="AC17" i="31"/>
  <c r="AD18" i="31"/>
  <c r="AC18" i="31"/>
  <c r="N17" i="30"/>
  <c r="AB30" i="30"/>
  <c r="AA30" i="30"/>
  <c r="AB23" i="30"/>
  <c r="AA23" i="30"/>
  <c r="AC23" i="30"/>
  <c r="X22" i="30"/>
  <c r="Y22" i="30"/>
  <c r="N21" i="30"/>
  <c r="X19" i="30"/>
  <c r="Z19" i="30"/>
  <c r="AB24" i="30"/>
  <c r="AA24" i="30"/>
  <c r="X17" i="30"/>
  <c r="Z17" i="30"/>
  <c r="X18" i="30"/>
  <c r="X26" i="30"/>
  <c r="Y26" i="30"/>
  <c r="N27" i="30"/>
  <c r="AB17" i="30"/>
  <c r="AA17" i="30"/>
  <c r="AB20" i="30"/>
  <c r="AA20" i="30"/>
  <c r="X25" i="30"/>
  <c r="Z25" i="30"/>
  <c r="N29" i="30"/>
  <c r="N23" i="30"/>
  <c r="AB28" i="30"/>
  <c r="AA28" i="30"/>
  <c r="AB22" i="30"/>
  <c r="AA22" i="30"/>
  <c r="AB26" i="30"/>
  <c r="AA26" i="30"/>
  <c r="AB25" i="30"/>
  <c r="AA25" i="30"/>
  <c r="AB27" i="30"/>
  <c r="AA27" i="30"/>
  <c r="X20" i="30"/>
  <c r="Z20" i="30"/>
  <c r="N25" i="30"/>
  <c r="Z23" i="30"/>
  <c r="X30" i="30"/>
  <c r="Y30" i="30"/>
  <c r="X28" i="30"/>
  <c r="Z28" i="30"/>
  <c r="Z27" i="30"/>
  <c r="Y27" i="30"/>
  <c r="N19" i="30"/>
  <c r="I25" i="30"/>
  <c r="X21" i="30"/>
  <c r="I23" i="30"/>
  <c r="X24" i="30"/>
  <c r="AB29" i="30"/>
  <c r="AA29" i="30"/>
  <c r="M21" i="30"/>
  <c r="AB21" i="30"/>
  <c r="AA21" i="30"/>
  <c r="X29" i="30"/>
  <c r="N24" i="26"/>
  <c r="N28" i="26"/>
  <c r="N30" i="26"/>
  <c r="X28" i="26"/>
  <c r="Y28" i="26"/>
  <c r="AB27" i="26"/>
  <c r="AA27" i="26" s="1"/>
  <c r="AC27" i="26" s="1"/>
  <c r="AB26" i="26"/>
  <c r="AA26" i="26" s="1"/>
  <c r="AB29" i="26"/>
  <c r="AA29" i="26" s="1"/>
  <c r="AC29" i="26" s="1"/>
  <c r="AB17" i="26"/>
  <c r="AA17" i="26" s="1"/>
  <c r="AB22" i="26"/>
  <c r="AA22" i="26" s="1"/>
  <c r="Y26" i="26"/>
  <c r="Y30" i="26"/>
  <c r="X21" i="26"/>
  <c r="Y21" i="26" s="1"/>
  <c r="X27" i="26"/>
  <c r="Z27" i="26" s="1"/>
  <c r="AB30" i="26"/>
  <c r="AA30" i="26" s="1"/>
  <c r="AC30" i="26" s="1"/>
  <c r="AB21" i="26"/>
  <c r="AA21" i="26" s="1"/>
  <c r="AB31" i="26"/>
  <c r="AA31" i="26" s="1"/>
  <c r="AA28" i="31"/>
  <c r="AE28" i="31"/>
  <c r="AE22" i="31"/>
  <c r="AA14" i="31"/>
  <c r="AA26" i="31"/>
  <c r="AE26" i="31"/>
  <c r="AA21" i="31"/>
  <c r="AE21" i="31"/>
  <c r="AE19" i="31"/>
  <c r="AE23" i="31"/>
  <c r="AA24" i="31"/>
  <c r="AE24" i="31"/>
  <c r="AB25" i="31"/>
  <c r="AB22" i="31"/>
  <c r="AE17" i="31"/>
  <c r="AB27" i="31"/>
  <c r="AA27" i="31"/>
  <c r="AE27" i="31"/>
  <c r="AB18" i="31"/>
  <c r="AA18" i="31"/>
  <c r="AE18" i="31"/>
  <c r="AB20" i="31"/>
  <c r="AA20" i="31"/>
  <c r="AE20" i="31"/>
  <c r="AB30" i="31"/>
  <c r="AA30" i="31"/>
  <c r="AE30" i="31"/>
  <c r="AB13" i="31"/>
  <c r="AA13" i="31"/>
  <c r="AE13" i="31"/>
  <c r="AB29" i="31"/>
  <c r="AA29" i="31"/>
  <c r="AE29" i="31"/>
  <c r="AB15" i="31"/>
  <c r="AA15" i="31"/>
  <c r="AE15" i="31"/>
  <c r="AB16" i="31"/>
  <c r="AA16" i="31"/>
  <c r="AE16" i="31"/>
  <c r="AC30" i="30"/>
  <c r="Z26" i="30"/>
  <c r="AC22" i="30"/>
  <c r="Z22" i="30"/>
  <c r="Y28" i="30"/>
  <c r="AC28" i="30"/>
  <c r="AC27" i="30"/>
  <c r="AB18" i="30"/>
  <c r="AA18" i="30"/>
  <c r="Y20" i="30"/>
  <c r="AC20" i="30"/>
  <c r="Y19" i="30"/>
  <c r="AC19" i="30"/>
  <c r="Y17" i="30"/>
  <c r="AC17" i="30"/>
  <c r="Z30" i="30"/>
  <c r="Y25" i="30"/>
  <c r="AC25" i="30"/>
  <c r="AC26" i="30"/>
  <c r="Z18" i="30"/>
  <c r="Y18" i="30"/>
  <c r="Z24" i="30"/>
  <c r="Y24" i="30"/>
  <c r="AC24" i="30"/>
  <c r="Z21" i="30"/>
  <c r="Y21" i="30"/>
  <c r="AC21" i="30"/>
  <c r="Y29" i="30"/>
  <c r="AC29" i="30"/>
  <c r="Z29" i="30"/>
  <c r="Z28" i="26"/>
  <c r="X29" i="26"/>
  <c r="Z29" i="26"/>
  <c r="X22" i="26"/>
  <c r="Y22" i="26" s="1"/>
  <c r="Y27" i="26"/>
  <c r="AC18" i="30"/>
  <c r="Y29" i="26"/>
  <c r="T10" i="1"/>
  <c r="Q10" i="1"/>
  <c r="H10" i="1"/>
  <c r="I10" i="1"/>
  <c r="K62" i="1"/>
  <c r="K59" i="1"/>
  <c r="K57" i="1"/>
  <c r="K31" i="1"/>
  <c r="K69" i="1"/>
  <c r="K17" i="1"/>
  <c r="K29" i="1"/>
  <c r="K49" i="1"/>
  <c r="K60" i="1"/>
  <c r="K54" i="1"/>
  <c r="K30" i="1"/>
  <c r="K38" i="1"/>
  <c r="K48" i="1"/>
  <c r="K27" i="1"/>
  <c r="K35" i="1"/>
  <c r="K63" i="1"/>
  <c r="K47" i="1"/>
  <c r="K56" i="1"/>
  <c r="K39" i="1"/>
  <c r="K24" i="1"/>
  <c r="K65" i="1"/>
  <c r="K50" i="1"/>
  <c r="K66" i="1"/>
  <c r="K37" i="1"/>
  <c r="K41" i="1"/>
  <c r="K21" i="1"/>
  <c r="K19" i="1"/>
  <c r="K55" i="1"/>
  <c r="K18" i="1"/>
  <c r="K32" i="1"/>
  <c r="K26" i="1"/>
  <c r="K33" i="1"/>
  <c r="K42" i="1"/>
  <c r="K20" i="1"/>
  <c r="K36" i="1"/>
  <c r="K67" i="1"/>
  <c r="K23" i="1"/>
  <c r="K68" i="1"/>
  <c r="K53" i="1"/>
  <c r="K43" i="1"/>
  <c r="K25" i="1"/>
  <c r="K51" i="1"/>
  <c r="K61" i="1"/>
  <c r="K44" i="1"/>
  <c r="K45" i="1"/>
  <c r="F221" i="13"/>
  <c r="F211" i="13"/>
  <c r="F212" i="13"/>
  <c r="F213" i="13"/>
  <c r="F214" i="13"/>
  <c r="F215" i="13"/>
  <c r="F216" i="13"/>
  <c r="F217" i="13"/>
  <c r="F218" i="13"/>
  <c r="F219" i="13"/>
  <c r="F220" i="13"/>
  <c r="F210" i="13"/>
  <c r="K15" i="1"/>
  <c r="K14" i="1"/>
  <c r="K11" i="1"/>
  <c r="K12" i="1"/>
  <c r="B221" i="13" a="1"/>
  <c r="B222" i="13" s="1"/>
  <c r="K13" i="1"/>
  <c r="Q52" i="1"/>
  <c r="Q47" i="1"/>
  <c r="Q41" i="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69" i="1"/>
  <c r="Q69" i="1"/>
  <c r="T68" i="1"/>
  <c r="Q68" i="1"/>
  <c r="T67" i="1"/>
  <c r="Q67" i="1"/>
  <c r="T66" i="1"/>
  <c r="Q66" i="1"/>
  <c r="T65" i="1"/>
  <c r="Q65" i="1"/>
  <c r="T64" i="1"/>
  <c r="Q64" i="1"/>
  <c r="H64" i="1"/>
  <c r="I64" i="1"/>
  <c r="T63" i="1"/>
  <c r="Q63" i="1"/>
  <c r="T62" i="1"/>
  <c r="Q62" i="1"/>
  <c r="T61" i="1"/>
  <c r="Q61" i="1"/>
  <c r="T60" i="1"/>
  <c r="Q60" i="1"/>
  <c r="T59" i="1"/>
  <c r="Q59" i="1"/>
  <c r="T58" i="1"/>
  <c r="Q58" i="1"/>
  <c r="H58" i="1"/>
  <c r="I58" i="1"/>
  <c r="T57" i="1"/>
  <c r="Q57" i="1"/>
  <c r="T56" i="1"/>
  <c r="Q56" i="1"/>
  <c r="T55" i="1"/>
  <c r="Q55" i="1"/>
  <c r="T54" i="1"/>
  <c r="Q54" i="1"/>
  <c r="T53" i="1"/>
  <c r="Q53" i="1"/>
  <c r="T52" i="1"/>
  <c r="H52" i="1"/>
  <c r="I52" i="1"/>
  <c r="T51" i="1"/>
  <c r="Q51" i="1"/>
  <c r="T50" i="1"/>
  <c r="Q50" i="1"/>
  <c r="T49" i="1"/>
  <c r="Q49" i="1"/>
  <c r="T48" i="1"/>
  <c r="Q48" i="1"/>
  <c r="T47" i="1"/>
  <c r="T46" i="1"/>
  <c r="Q46" i="1"/>
  <c r="H46" i="1"/>
  <c r="I46" i="1"/>
  <c r="T45" i="1"/>
  <c r="Q45" i="1"/>
  <c r="T44" i="1"/>
  <c r="Q44" i="1"/>
  <c r="T43" i="1"/>
  <c r="Q43" i="1"/>
  <c r="T42" i="1"/>
  <c r="Q42" i="1"/>
  <c r="T41" i="1"/>
  <c r="T40" i="1"/>
  <c r="Q40" i="1"/>
  <c r="H40" i="1"/>
  <c r="I40" i="1"/>
  <c r="T39" i="1"/>
  <c r="Q39" i="1"/>
  <c r="T38" i="1"/>
  <c r="Q38" i="1"/>
  <c r="T37" i="1"/>
  <c r="Q37" i="1"/>
  <c r="T36" i="1"/>
  <c r="Q36" i="1"/>
  <c r="T35" i="1"/>
  <c r="Q35" i="1"/>
  <c r="T34" i="1"/>
  <c r="Q34" i="1"/>
  <c r="H34" i="1"/>
  <c r="I34" i="1"/>
  <c r="T33" i="1"/>
  <c r="Q33" i="1"/>
  <c r="T32" i="1"/>
  <c r="Q32" i="1"/>
  <c r="T31" i="1"/>
  <c r="Q31" i="1"/>
  <c r="T30" i="1"/>
  <c r="Q30" i="1"/>
  <c r="T29" i="1"/>
  <c r="Q29" i="1"/>
  <c r="T28" i="1"/>
  <c r="Q28" i="1"/>
  <c r="H28" i="1"/>
  <c r="I28" i="1"/>
  <c r="T27" i="1"/>
  <c r="Q27" i="1"/>
  <c r="T26" i="1"/>
  <c r="Q26" i="1"/>
  <c r="T25" i="1"/>
  <c r="Q25" i="1"/>
  <c r="T24" i="1"/>
  <c r="Q24" i="1"/>
  <c r="T23" i="1"/>
  <c r="Q23" i="1"/>
  <c r="T22" i="1"/>
  <c r="Q22" i="1"/>
  <c r="H22" i="1"/>
  <c r="I22" i="1"/>
  <c r="H16" i="1"/>
  <c r="Q15" i="1"/>
  <c r="Q14" i="1"/>
  <c r="Q13" i="1"/>
  <c r="T21" i="1"/>
  <c r="Q21" i="1"/>
  <c r="T20" i="1"/>
  <c r="Q20" i="1"/>
  <c r="T19" i="1"/>
  <c r="Q19" i="1"/>
  <c r="T18" i="1"/>
  <c r="Q18" i="1"/>
  <c r="T17" i="1"/>
  <c r="Q17" i="1"/>
  <c r="T16" i="1"/>
  <c r="Q16" i="1"/>
  <c r="AB50" i="1"/>
  <c r="AA50" i="1"/>
  <c r="AB51" i="1"/>
  <c r="AA51" i="1"/>
  <c r="I16" i="1"/>
  <c r="X64" i="1"/>
  <c r="X58" i="1"/>
  <c r="X52" i="1"/>
  <c r="X46" i="1"/>
  <c r="X50" i="1"/>
  <c r="X51" i="1"/>
  <c r="X40" i="1"/>
  <c r="X34" i="1"/>
  <c r="X28" i="1"/>
  <c r="X22" i="1"/>
  <c r="X16" i="1"/>
  <c r="Y64" i="1"/>
  <c r="Z64" i="1"/>
  <c r="X65" i="1"/>
  <c r="Y65" i="1"/>
  <c r="Y58" i="1"/>
  <c r="Z58" i="1"/>
  <c r="X59" i="1"/>
  <c r="Z59" i="1"/>
  <c r="X60" i="1"/>
  <c r="Y52" i="1"/>
  <c r="Z52" i="1"/>
  <c r="X53" i="1"/>
  <c r="Z53" i="1"/>
  <c r="X54" i="1"/>
  <c r="Y51" i="1"/>
  <c r="Z51" i="1"/>
  <c r="Y50" i="1"/>
  <c r="Z50" i="1"/>
  <c r="Y46" i="1"/>
  <c r="Z46" i="1"/>
  <c r="Y40" i="1"/>
  <c r="Z40" i="1"/>
  <c r="X41" i="1"/>
  <c r="Z41" i="1"/>
  <c r="X42" i="1"/>
  <c r="Y34" i="1"/>
  <c r="Z34" i="1"/>
  <c r="Y28" i="1"/>
  <c r="Z28" i="1"/>
  <c r="X29" i="1"/>
  <c r="Z29" i="1"/>
  <c r="X30" i="1"/>
  <c r="Y30" i="1"/>
  <c r="Y22" i="1"/>
  <c r="Z22" i="1"/>
  <c r="X23" i="1"/>
  <c r="Y23" i="1"/>
  <c r="Y16" i="1"/>
  <c r="Z16" i="1"/>
  <c r="X17" i="1"/>
  <c r="Y59" i="1"/>
  <c r="Y53" i="1"/>
  <c r="Z23" i="1"/>
  <c r="X24" i="1"/>
  <c r="Y24" i="1"/>
  <c r="Y41" i="1"/>
  <c r="Y29" i="1"/>
  <c r="Y42" i="1"/>
  <c r="Z42" i="1"/>
  <c r="Z60" i="1"/>
  <c r="X61" i="1"/>
  <c r="Y60" i="1"/>
  <c r="Z54" i="1"/>
  <c r="X55" i="1"/>
  <c r="Y54" i="1"/>
  <c r="Z65" i="1"/>
  <c r="X66" i="1"/>
  <c r="X35" i="1"/>
  <c r="X47" i="1"/>
  <c r="X48" i="1"/>
  <c r="Z30" i="1"/>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AC50" i="1"/>
  <c r="AC51" i="1"/>
  <c r="T11" i="1"/>
  <c r="T12" i="1"/>
  <c r="T13" i="1"/>
  <c r="T14" i="1"/>
  <c r="T15" i="1"/>
  <c r="Y61" i="1"/>
  <c r="Z61" i="1"/>
  <c r="Y55" i="1"/>
  <c r="Z55" i="1"/>
  <c r="X56" i="1"/>
  <c r="Z24" i="1"/>
  <c r="X25" i="1"/>
  <c r="Z25" i="1"/>
  <c r="Y48" i="1"/>
  <c r="Z48" i="1"/>
  <c r="X49" i="1"/>
  <c r="Y66" i="1"/>
  <c r="Z66" i="1"/>
  <c r="X67" i="1"/>
  <c r="Y47" i="1"/>
  <c r="Z47" i="1"/>
  <c r="X43" i="1"/>
  <c r="Y35" i="1"/>
  <c r="Z35" i="1"/>
  <c r="X36" i="1"/>
  <c r="Y36" i="1"/>
  <c r="X32" i="1"/>
  <c r="Y32" i="1"/>
  <c r="X31" i="1"/>
  <c r="Y17" i="1"/>
  <c r="Z17" i="1"/>
  <c r="X18" i="1"/>
  <c r="Y18" i="1"/>
  <c r="Z36" i="1"/>
  <c r="X37" i="1"/>
  <c r="Z37" i="1"/>
  <c r="X38" i="1"/>
  <c r="Y56" i="1"/>
  <c r="Z56" i="1"/>
  <c r="X57" i="1"/>
  <c r="X62" i="1"/>
  <c r="X63" i="1"/>
  <c r="Y25" i="1"/>
  <c r="Y43" i="1"/>
  <c r="Z43" i="1"/>
  <c r="X44" i="1"/>
  <c r="Y44" i="1"/>
  <c r="Y49" i="1"/>
  <c r="Z49" i="1"/>
  <c r="X26" i="1"/>
  <c r="Z67" i="1"/>
  <c r="Y67" i="1"/>
  <c r="Y31" i="1"/>
  <c r="Z31" i="1"/>
  <c r="Z32" i="1"/>
  <c r="X33" i="1"/>
  <c r="Z18" i="1"/>
  <c r="X19" i="1"/>
  <c r="Y19" i="1"/>
  <c r="Q12" i="1"/>
  <c r="Y37" i="1"/>
  <c r="Y63" i="1"/>
  <c r="Z63" i="1"/>
  <c r="Y62" i="1"/>
  <c r="Z62" i="1"/>
  <c r="Y57" i="1"/>
  <c r="Z57" i="1"/>
  <c r="X68" i="1"/>
  <c r="X69" i="1"/>
  <c r="Z44" i="1"/>
  <c r="X45" i="1"/>
  <c r="Y45" i="1"/>
  <c r="Z38" i="1"/>
  <c r="X39" i="1"/>
  <c r="Y38" i="1"/>
  <c r="Y26" i="1"/>
  <c r="Z26" i="1"/>
  <c r="X27" i="1"/>
  <c r="Y27" i="1"/>
  <c r="Y33" i="1"/>
  <c r="Z33" i="1"/>
  <c r="Z19" i="1"/>
  <c r="X20" i="1"/>
  <c r="Z20" i="1"/>
  <c r="X21" i="1"/>
  <c r="X10" i="1"/>
  <c r="Y10" i="1"/>
  <c r="Y69" i="1"/>
  <c r="Z69" i="1"/>
  <c r="Y68" i="1"/>
  <c r="Z68" i="1"/>
  <c r="Y39" i="1"/>
  <c r="Z39" i="1"/>
  <c r="Z45" i="1"/>
  <c r="Z27" i="1"/>
  <c r="Y20" i="1"/>
  <c r="Y21" i="1"/>
  <c r="Z21" i="1"/>
  <c r="Q11" i="1"/>
  <c r="Z10" i="1"/>
  <c r="X11" i="1"/>
  <c r="Y11" i="1"/>
  <c r="Z11" i="1"/>
  <c r="X12" i="1"/>
  <c r="Y12" i="1"/>
  <c r="Z12" i="1"/>
  <c r="X13" i="1"/>
  <c r="Z13" i="1"/>
  <c r="X14" i="1"/>
  <c r="Y14" i="1"/>
  <c r="Z14" i="1"/>
  <c r="X15" i="1"/>
  <c r="Y13" i="1"/>
  <c r="Y15" i="1"/>
  <c r="Z15" i="1"/>
  <c r="AB29" i="1"/>
  <c r="AB28" i="1"/>
  <c r="AA28" i="1"/>
  <c r="AB66" i="1"/>
  <c r="AB59" i="1"/>
  <c r="AB58" i="1"/>
  <c r="AB41" i="1"/>
  <c r="AB40" i="1"/>
  <c r="AA40" i="1"/>
  <c r="AB53" i="1"/>
  <c r="AB52" i="1"/>
  <c r="AA52" i="1"/>
  <c r="AB11" i="1"/>
  <c r="AB17" i="1"/>
  <c r="AB16" i="1"/>
  <c r="AA16" i="1"/>
  <c r="AB23" i="1"/>
  <c r="AB22" i="1"/>
  <c r="AA22" i="1"/>
  <c r="AB47" i="1"/>
  <c r="AB46" i="1"/>
  <c r="AA46" i="1"/>
  <c r="AB35" i="1"/>
  <c r="AB34" i="1"/>
  <c r="AA34" i="1"/>
  <c r="J40" i="19"/>
  <c r="V30" i="19"/>
  <c r="AH20" i="19"/>
  <c r="J30" i="19"/>
  <c r="V20" i="19"/>
  <c r="AH10" i="19"/>
  <c r="P10" i="19"/>
  <c r="AB50" i="19"/>
  <c r="J50" i="19"/>
  <c r="AB40" i="19"/>
  <c r="P30" i="19"/>
  <c r="V50" i="19"/>
  <c r="P50" i="19"/>
  <c r="AB10" i="19"/>
  <c r="AH30" i="19"/>
  <c r="AH40" i="19"/>
  <c r="J10" i="19"/>
  <c r="AB20" i="19"/>
  <c r="AH50" i="19"/>
  <c r="AC34" i="1"/>
  <c r="V10" i="19"/>
  <c r="P20" i="19"/>
  <c r="J20" i="19"/>
  <c r="P40" i="19"/>
  <c r="V40" i="19"/>
  <c r="AB30" i="19"/>
  <c r="J11" i="19"/>
  <c r="V11" i="19"/>
  <c r="AB21" i="19"/>
  <c r="P31" i="19"/>
  <c r="J31" i="19"/>
  <c r="AB41" i="19"/>
  <c r="AC40" i="1"/>
  <c r="AH41" i="19"/>
  <c r="P41" i="19"/>
  <c r="J21" i="19"/>
  <c r="AB31" i="19"/>
  <c r="AB51" i="19"/>
  <c r="P21" i="19"/>
  <c r="V41" i="19"/>
  <c r="V31" i="19"/>
  <c r="AH21" i="19"/>
  <c r="AB11" i="19"/>
  <c r="P51" i="19"/>
  <c r="V21" i="19"/>
  <c r="AH31" i="19"/>
  <c r="V51" i="19"/>
  <c r="J51" i="19"/>
  <c r="AH51" i="19"/>
  <c r="AH11" i="19"/>
  <c r="J41" i="19"/>
  <c r="P11" i="19"/>
  <c r="AA23" i="1"/>
  <c r="AB24" i="1"/>
  <c r="J47" i="19"/>
  <c r="V27" i="19"/>
  <c r="AH7" i="19"/>
  <c r="P47" i="19"/>
  <c r="AB27" i="19"/>
  <c r="J17" i="19"/>
  <c r="V47" i="19"/>
  <c r="J37" i="19"/>
  <c r="AC16" i="1"/>
  <c r="AB37" i="19"/>
  <c r="J27" i="19"/>
  <c r="V7" i="19"/>
  <c r="AH37" i="19"/>
  <c r="P27" i="19"/>
  <c r="AB7" i="19"/>
  <c r="P17" i="19"/>
  <c r="V17" i="19"/>
  <c r="AH47" i="19"/>
  <c r="P37" i="19"/>
  <c r="AB17" i="19"/>
  <c r="J7" i="19"/>
  <c r="V37" i="19"/>
  <c r="AH17" i="19"/>
  <c r="P7" i="19"/>
  <c r="AH27" i="19"/>
  <c r="AB47" i="19"/>
  <c r="AC52" i="1"/>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AA58" i="1"/>
  <c r="AB65" i="1"/>
  <c r="AA65" i="1"/>
  <c r="AC28" i="1"/>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C22" i="1"/>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AB12" i="1"/>
  <c r="AA11" i="1"/>
  <c r="AA66" i="1"/>
  <c r="AB67" i="1"/>
  <c r="AB36" i="1"/>
  <c r="AA35" i="1"/>
  <c r="AA41" i="1"/>
  <c r="AB42" i="1"/>
  <c r="AA42" i="1"/>
  <c r="AB43" i="1"/>
  <c r="V32" i="19"/>
  <c r="P42" i="19"/>
  <c r="J12" i="19"/>
  <c r="J32" i="19"/>
  <c r="AB52" i="19"/>
  <c r="AC46" i="1"/>
  <c r="J22" i="19"/>
  <c r="V22" i="19"/>
  <c r="J52" i="19"/>
  <c r="AH12" i="19"/>
  <c r="J42" i="19"/>
  <c r="AH42" i="19"/>
  <c r="P32" i="19"/>
  <c r="AB12" i="19"/>
  <c r="AH32" i="19"/>
  <c r="AB32" i="19"/>
  <c r="AB42" i="19"/>
  <c r="V42" i="19"/>
  <c r="V12" i="19"/>
  <c r="V52" i="19"/>
  <c r="AB22" i="19"/>
  <c r="AH52" i="19"/>
  <c r="AH22" i="19"/>
  <c r="P22" i="19"/>
  <c r="P12" i="19"/>
  <c r="P52" i="19"/>
  <c r="AB48" i="1"/>
  <c r="AA48" i="1"/>
  <c r="AB49" i="1"/>
  <c r="AA49" i="1"/>
  <c r="AA47" i="1"/>
  <c r="AB18" i="1"/>
  <c r="AA17" i="1"/>
  <c r="AA53" i="1"/>
  <c r="AB54" i="1"/>
  <c r="AA59" i="1"/>
  <c r="AB60" i="1"/>
  <c r="AA29" i="1"/>
  <c r="AB30" i="1"/>
  <c r="W37" i="19"/>
  <c r="AI7" i="19"/>
  <c r="W17" i="19"/>
  <c r="W27" i="19"/>
  <c r="Q47" i="19"/>
  <c r="W7" i="19"/>
  <c r="AI17" i="19"/>
  <c r="K47" i="19"/>
  <c r="AI47" i="19"/>
  <c r="Q27" i="19"/>
  <c r="AC27" i="19"/>
  <c r="AC47" i="19"/>
  <c r="AC37" i="19"/>
  <c r="AI37" i="19"/>
  <c r="AC17" i="1"/>
  <c r="AC17" i="19"/>
  <c r="K37" i="19"/>
  <c r="AC7" i="19"/>
  <c r="W47" i="19"/>
  <c r="Q37" i="19"/>
  <c r="AI27" i="19"/>
  <c r="Q7" i="19"/>
  <c r="K27" i="19"/>
  <c r="K17" i="19"/>
  <c r="K7" i="19"/>
  <c r="Q17" i="19"/>
  <c r="AA67" i="1"/>
  <c r="AB68" i="1"/>
  <c r="K35" i="19"/>
  <c r="AC25" i="19"/>
  <c r="K45" i="19"/>
  <c r="AI45" i="19"/>
  <c r="W45" i="19"/>
  <c r="Q35" i="19"/>
  <c r="K55" i="19"/>
  <c r="AC15" i="19"/>
  <c r="Q15" i="19"/>
  <c r="AC35" i="19"/>
  <c r="AI35" i="19"/>
  <c r="Q55" i="19"/>
  <c r="AI25" i="19"/>
  <c r="AC65" i="1"/>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AC59" i="1"/>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C41" i="1"/>
  <c r="AD55" i="19"/>
  <c r="R15" i="19"/>
  <c r="AJ35" i="19"/>
  <c r="AC66" i="1"/>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AC58" i="1"/>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C48" i="1"/>
  <c r="AD12" i="19"/>
  <c r="AD32" i="19"/>
  <c r="AD22" i="19"/>
  <c r="X52" i="19"/>
  <c r="AD52" i="19"/>
  <c r="L42" i="19"/>
  <c r="R42" i="19"/>
  <c r="AJ21" i="19"/>
  <c r="AD31" i="19"/>
  <c r="R21" i="19"/>
  <c r="AD41" i="19"/>
  <c r="AJ11" i="19"/>
  <c r="AJ51" i="19"/>
  <c r="AC42" i="1"/>
  <c r="L41" i="19"/>
  <c r="AD11" i="19"/>
  <c r="L21" i="19"/>
  <c r="L11" i="19"/>
  <c r="X51" i="19"/>
  <c r="X21" i="19"/>
  <c r="R11" i="19"/>
  <c r="R31" i="19"/>
  <c r="AJ41" i="19"/>
  <c r="L31" i="19"/>
  <c r="R51" i="19"/>
  <c r="X31" i="19"/>
  <c r="X11" i="19"/>
  <c r="X41" i="19"/>
  <c r="AJ31" i="19"/>
  <c r="AD51" i="19"/>
  <c r="R41" i="19"/>
  <c r="AD21" i="19"/>
  <c r="L51" i="19"/>
  <c r="AB19" i="1"/>
  <c r="AA18" i="1"/>
  <c r="AA30" i="1"/>
  <c r="AB31" i="1"/>
  <c r="AA54" i="1"/>
  <c r="AB55" i="1"/>
  <c r="K42" i="19"/>
  <c r="AC32" i="19"/>
  <c r="W42" i="19"/>
  <c r="AI52" i="19"/>
  <c r="K22" i="19"/>
  <c r="Q32" i="19"/>
  <c r="AI12" i="19"/>
  <c r="AC52" i="19"/>
  <c r="Q42" i="19"/>
  <c r="AC42" i="19"/>
  <c r="K12" i="19"/>
  <c r="Q22" i="19"/>
  <c r="W52" i="19"/>
  <c r="AI42" i="19"/>
  <c r="W32" i="19"/>
  <c r="AI22" i="19"/>
  <c r="W12" i="19"/>
  <c r="AI32" i="19"/>
  <c r="AC12" i="19"/>
  <c r="Q12" i="19"/>
  <c r="Q52" i="19"/>
  <c r="AC47" i="1"/>
  <c r="K32" i="19"/>
  <c r="W22" i="19"/>
  <c r="K52" i="19"/>
  <c r="AC22" i="19"/>
  <c r="AC40" i="19"/>
  <c r="W10" i="19"/>
  <c r="AC50" i="19"/>
  <c r="Q10" i="19"/>
  <c r="Q30" i="19"/>
  <c r="W50" i="19"/>
  <c r="K40" i="19"/>
  <c r="Q50" i="19"/>
  <c r="W20" i="19"/>
  <c r="AC35" i="1"/>
  <c r="K10" i="19"/>
  <c r="Q40" i="19"/>
  <c r="K30" i="19"/>
  <c r="AI50" i="19"/>
  <c r="AI20" i="19"/>
  <c r="K50" i="19"/>
  <c r="AI40" i="19"/>
  <c r="W40" i="19"/>
  <c r="K20" i="19"/>
  <c r="AC10" i="19"/>
  <c r="AI10" i="19"/>
  <c r="AC20" i="19"/>
  <c r="AI30" i="19"/>
  <c r="AC30" i="19"/>
  <c r="W30" i="19"/>
  <c r="Q20" i="19"/>
  <c r="AC11" i="1"/>
  <c r="AI6" i="19"/>
  <c r="W26" i="19"/>
  <c r="AI36" i="19"/>
  <c r="W36" i="19"/>
  <c r="K46" i="19"/>
  <c r="Q46" i="19"/>
  <c r="W16" i="19"/>
  <c r="Q6" i="19"/>
  <c r="AI16" i="19"/>
  <c r="K26" i="19"/>
  <c r="AI26" i="19"/>
  <c r="AC36" i="19"/>
  <c r="AI46" i="19"/>
  <c r="AC26" i="19"/>
  <c r="K36" i="19"/>
  <c r="K6" i="19"/>
  <c r="Q36" i="19"/>
  <c r="W46" i="19"/>
  <c r="AC6" i="19"/>
  <c r="K16" i="19"/>
  <c r="AC46" i="19"/>
  <c r="AC16" i="19"/>
  <c r="Q26" i="19"/>
  <c r="Q16" i="19"/>
  <c r="W6" i="19"/>
  <c r="AB25" i="1"/>
  <c r="AA24" i="1"/>
  <c r="AA60" i="1"/>
  <c r="AB61" i="1"/>
  <c r="K39" i="19"/>
  <c r="AC39" i="19"/>
  <c r="W29" i="19"/>
  <c r="AI49" i="19"/>
  <c r="W9" i="19"/>
  <c r="AC19" i="19"/>
  <c r="Q49" i="19"/>
  <c r="W49" i="19"/>
  <c r="AC9" i="19"/>
  <c r="AI9" i="19"/>
  <c r="Q29" i="19"/>
  <c r="W39" i="19"/>
  <c r="Q39" i="19"/>
  <c r="AC29" i="1"/>
  <c r="K9" i="19"/>
  <c r="W19" i="19"/>
  <c r="AI39" i="19"/>
  <c r="K29" i="19"/>
  <c r="AC49" i="19"/>
  <c r="AI19" i="19"/>
  <c r="AC29" i="19"/>
  <c r="K19" i="19"/>
  <c r="K49" i="19"/>
  <c r="Q19" i="19"/>
  <c r="Q9" i="19"/>
  <c r="AI29" i="19"/>
  <c r="K23" i="19"/>
  <c r="AI43" i="19"/>
  <c r="AC43" i="19"/>
  <c r="AC53" i="19"/>
  <c r="W43" i="19"/>
  <c r="K13" i="19"/>
  <c r="Q53" i="19"/>
  <c r="AI53" i="19"/>
  <c r="K33" i="19"/>
  <c r="K43" i="19"/>
  <c r="AI33" i="19"/>
  <c r="AC33" i="19"/>
  <c r="AC53" i="1"/>
  <c r="Q33" i="19"/>
  <c r="AI23" i="19"/>
  <c r="K53" i="19"/>
  <c r="AC23" i="19"/>
  <c r="AC13" i="19"/>
  <c r="W23" i="19"/>
  <c r="W33" i="19"/>
  <c r="Q13" i="19"/>
  <c r="W13" i="19"/>
  <c r="AI13" i="19"/>
  <c r="Q43" i="19"/>
  <c r="Q23" i="19"/>
  <c r="W53" i="19"/>
  <c r="M12" i="19"/>
  <c r="AK42" i="19"/>
  <c r="AE32" i="19"/>
  <c r="AC49" i="1"/>
  <c r="M52" i="19"/>
  <c r="S12" i="19"/>
  <c r="M32" i="19"/>
  <c r="S52" i="19"/>
  <c r="Y52" i="19"/>
  <c r="Y42" i="19"/>
  <c r="AK12" i="19"/>
  <c r="S22" i="19"/>
  <c r="AE12" i="19"/>
  <c r="Y22" i="19"/>
  <c r="S32" i="19"/>
  <c r="AK52" i="19"/>
  <c r="M22" i="19"/>
  <c r="AK32" i="19"/>
  <c r="AE22" i="19"/>
  <c r="AE42" i="19"/>
  <c r="Y32" i="19"/>
  <c r="M42" i="19"/>
  <c r="Y12" i="19"/>
  <c r="AE52" i="19"/>
  <c r="AK22" i="19"/>
  <c r="S42" i="19"/>
  <c r="AA43" i="1"/>
  <c r="AB45" i="1"/>
  <c r="AA45" i="1"/>
  <c r="AB44" i="1"/>
  <c r="AA44" i="1"/>
  <c r="AA36" i="1"/>
  <c r="AB37" i="1"/>
  <c r="AB13" i="1"/>
  <c r="AA13" i="1"/>
  <c r="AA12" i="1"/>
  <c r="AB14" i="1"/>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AC23" i="1"/>
  <c r="AA14" i="1"/>
  <c r="AB15" i="1"/>
  <c r="AA15" i="1"/>
  <c r="R40" i="19"/>
  <c r="AD10" i="19"/>
  <c r="X40" i="19"/>
  <c r="AJ10" i="19"/>
  <c r="R50" i="19"/>
  <c r="X10" i="19"/>
  <c r="R30" i="19"/>
  <c r="AC36" i="1"/>
  <c r="L10" i="19"/>
  <c r="L50" i="19"/>
  <c r="AJ20" i="19"/>
  <c r="AJ40" i="19"/>
  <c r="AD30" i="19"/>
  <c r="R20" i="19"/>
  <c r="AD50" i="19"/>
  <c r="AJ30" i="19"/>
  <c r="AJ50" i="19"/>
  <c r="X30" i="19"/>
  <c r="AD20" i="19"/>
  <c r="L40" i="19"/>
  <c r="X50" i="19"/>
  <c r="X20" i="19"/>
  <c r="AD40" i="19"/>
  <c r="R10" i="19"/>
  <c r="L30" i="19"/>
  <c r="L20" i="19"/>
  <c r="AA55" i="1"/>
  <c r="AB56" i="1"/>
  <c r="AA68" i="1"/>
  <c r="AB69" i="1"/>
  <c r="AA69" i="1"/>
  <c r="AD47" i="19"/>
  <c r="AJ27" i="19"/>
  <c r="AD27" i="19"/>
  <c r="AJ7" i="19"/>
  <c r="AJ37" i="19"/>
  <c r="L27" i="19"/>
  <c r="AD17" i="19"/>
  <c r="L37" i="19"/>
  <c r="R17" i="19"/>
  <c r="AJ17" i="19"/>
  <c r="X7" i="19"/>
  <c r="X47" i="19"/>
  <c r="L7" i="19"/>
  <c r="L17" i="19"/>
  <c r="R27" i="19"/>
  <c r="X27" i="19"/>
  <c r="R7" i="19"/>
  <c r="X17" i="19"/>
  <c r="AJ47" i="19"/>
  <c r="L47" i="19"/>
  <c r="R37" i="19"/>
  <c r="AD7" i="19"/>
  <c r="X37" i="19"/>
  <c r="AC18" i="1"/>
  <c r="R47" i="19"/>
  <c r="AD37" i="19"/>
  <c r="AB26" i="1"/>
  <c r="AA26" i="1"/>
  <c r="AA25" i="1"/>
  <c r="AB27" i="1"/>
  <c r="AA27" i="1"/>
  <c r="AJ43" i="19"/>
  <c r="AD33" i="19"/>
  <c r="X33" i="19"/>
  <c r="X13" i="19"/>
  <c r="AD43" i="19"/>
  <c r="L43" i="19"/>
  <c r="AC54" i="1"/>
  <c r="X23" i="19"/>
  <c r="R33" i="19"/>
  <c r="R43" i="19"/>
  <c r="AD53" i="19"/>
  <c r="AJ13" i="19"/>
  <c r="R23" i="19"/>
  <c r="R13" i="19"/>
  <c r="AJ53" i="19"/>
  <c r="L33" i="19"/>
  <c r="L23" i="19"/>
  <c r="X43" i="19"/>
  <c r="X53" i="19"/>
  <c r="AD13" i="19"/>
  <c r="L53" i="19"/>
  <c r="L13" i="19"/>
  <c r="AD23" i="19"/>
  <c r="AJ33" i="19"/>
  <c r="AJ23" i="19"/>
  <c r="R53" i="19"/>
  <c r="AA19" i="1"/>
  <c r="AB20" i="1"/>
  <c r="M55" i="19"/>
  <c r="AK15" i="19"/>
  <c r="AE25" i="19"/>
  <c r="AC67" i="1"/>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C24" i="1"/>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C44" i="1"/>
  <c r="AL21" i="19"/>
  <c r="T41" i="19"/>
  <c r="AF41" i="19"/>
  <c r="AE46" i="19"/>
  <c r="M36" i="19"/>
  <c r="Y16" i="19"/>
  <c r="AK46" i="19"/>
  <c r="S36" i="19"/>
  <c r="AE16" i="19"/>
  <c r="M6" i="19"/>
  <c r="AK16" i="19"/>
  <c r="M26" i="19"/>
  <c r="S46" i="19"/>
  <c r="AE26" i="19"/>
  <c r="M16" i="19"/>
  <c r="Y46" i="19"/>
  <c r="AK26" i="19"/>
  <c r="S16" i="19"/>
  <c r="Y6" i="19"/>
  <c r="AK36" i="19"/>
  <c r="S26" i="19"/>
  <c r="AE6" i="19"/>
  <c r="M46" i="19"/>
  <c r="Y26" i="19"/>
  <c r="AK6" i="19"/>
  <c r="Y36" i="19"/>
  <c r="S6" i="19"/>
  <c r="AE36" i="19"/>
  <c r="AC13" i="1"/>
  <c r="O11" i="19"/>
  <c r="O21" i="19"/>
  <c r="O51" i="19"/>
  <c r="AA31" i="19"/>
  <c r="AM31" i="19"/>
  <c r="AG51" i="19"/>
  <c r="AA41" i="19"/>
  <c r="AM11" i="19"/>
  <c r="U21" i="19"/>
  <c r="AG41" i="19"/>
  <c r="AM21" i="19"/>
  <c r="AM51" i="19"/>
  <c r="O41" i="19"/>
  <c r="U11" i="19"/>
  <c r="AG31" i="19"/>
  <c r="U41" i="19"/>
  <c r="AC45" i="1"/>
  <c r="AG11" i="19"/>
  <c r="AM41" i="19"/>
  <c r="AA21" i="19"/>
  <c r="AA51" i="19"/>
  <c r="U51" i="19"/>
  <c r="U31" i="19"/>
  <c r="AA11" i="19"/>
  <c r="AG21" i="19"/>
  <c r="O31" i="19"/>
  <c r="AA61" i="1"/>
  <c r="AB62" i="1"/>
  <c r="AA31" i="1"/>
  <c r="AB32" i="1"/>
  <c r="AA32" i="1"/>
  <c r="AB33" i="1"/>
  <c r="AA33" i="1"/>
  <c r="AJ46" i="19"/>
  <c r="AD46" i="19"/>
  <c r="L36" i="19"/>
  <c r="X16" i="19"/>
  <c r="AJ26" i="19"/>
  <c r="L46" i="19"/>
  <c r="X6" i="19"/>
  <c r="R36" i="19"/>
  <c r="X36" i="19"/>
  <c r="R6" i="19"/>
  <c r="AJ6" i="19"/>
  <c r="AD36" i="19"/>
  <c r="R46" i="19"/>
  <c r="AD26" i="19"/>
  <c r="L16" i="19"/>
  <c r="AD16" i="19"/>
  <c r="AC12" i="1"/>
  <c r="X46" i="19"/>
  <c r="X26" i="19"/>
  <c r="AJ36" i="19"/>
  <c r="R26" i="19"/>
  <c r="AD6" i="19"/>
  <c r="L6" i="19"/>
  <c r="L26" i="19"/>
  <c r="R16" i="19"/>
  <c r="AJ16" i="19"/>
  <c r="AA37" i="1"/>
  <c r="AB38" i="1"/>
  <c r="AE11" i="19"/>
  <c r="Y41" i="19"/>
  <c r="M41" i="19"/>
  <c r="Y21" i="19"/>
  <c r="AK41" i="19"/>
  <c r="S31" i="19"/>
  <c r="M31" i="19"/>
  <c r="M51" i="19"/>
  <c r="Y51" i="19"/>
  <c r="AK21" i="19"/>
  <c r="AK31" i="19"/>
  <c r="Y11" i="19"/>
  <c r="AE41" i="19"/>
  <c r="AE21" i="19"/>
  <c r="S51" i="19"/>
  <c r="AE51" i="19"/>
  <c r="AK51" i="19"/>
  <c r="M21" i="19"/>
  <c r="AE31" i="19"/>
  <c r="AC43" i="1"/>
  <c r="S41" i="19"/>
  <c r="AK11" i="19"/>
  <c r="S11" i="19"/>
  <c r="Y31" i="19"/>
  <c r="S21" i="19"/>
  <c r="M11" i="19"/>
  <c r="L54" i="19"/>
  <c r="AJ14" i="19"/>
  <c r="AD44" i="19"/>
  <c r="X54" i="19"/>
  <c r="R14" i="19"/>
  <c r="AD24" i="19"/>
  <c r="AD34" i="19"/>
  <c r="R54" i="19"/>
  <c r="L34" i="19"/>
  <c r="AJ34" i="19"/>
  <c r="X24" i="19"/>
  <c r="AJ24" i="19"/>
  <c r="X44" i="19"/>
  <c r="R24" i="19"/>
  <c r="AC60" i="1"/>
  <c r="X34" i="19"/>
  <c r="L14" i="19"/>
  <c r="AD14" i="19"/>
  <c r="L44" i="19"/>
  <c r="R44" i="19"/>
  <c r="AD54" i="19"/>
  <c r="X14" i="19"/>
  <c r="AJ44" i="19"/>
  <c r="R34" i="19"/>
  <c r="AJ54" i="19"/>
  <c r="L24" i="19"/>
  <c r="AD29" i="19"/>
  <c r="AD19" i="19"/>
  <c r="R39" i="19"/>
  <c r="R9" i="19"/>
  <c r="X49" i="19"/>
  <c r="X9" i="19"/>
  <c r="AD39" i="19"/>
  <c r="R29" i="19"/>
  <c r="L49" i="19"/>
  <c r="X19" i="19"/>
  <c r="X29" i="19"/>
  <c r="X39" i="19"/>
  <c r="L9" i="19"/>
  <c r="AC30" i="1"/>
  <c r="AD9" i="19"/>
  <c r="AJ49" i="19"/>
  <c r="L39" i="19"/>
  <c r="R19" i="19"/>
  <c r="AJ39" i="19"/>
  <c r="AJ29" i="19"/>
  <c r="AJ19" i="19"/>
  <c r="AJ9" i="19"/>
  <c r="AD49" i="19"/>
  <c r="L19" i="19"/>
  <c r="L29" i="19"/>
  <c r="R49" i="19"/>
  <c r="AA38" i="1"/>
  <c r="AB39" i="1"/>
  <c r="AA39" i="1"/>
  <c r="AG39" i="19"/>
  <c r="AG29" i="19"/>
  <c r="AM19" i="19"/>
  <c r="O39" i="19"/>
  <c r="AC33" i="1"/>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C61" i="1"/>
  <c r="AE24" i="19"/>
  <c r="S14" i="19"/>
  <c r="AK17" i="19"/>
  <c r="S27" i="19"/>
  <c r="S37" i="19"/>
  <c r="AE27" i="19"/>
  <c r="Y47" i="19"/>
  <c r="S7" i="19"/>
  <c r="M17" i="19"/>
  <c r="AE17" i="19"/>
  <c r="AK27" i="19"/>
  <c r="Y7" i="19"/>
  <c r="Y37" i="19"/>
  <c r="AE37" i="19"/>
  <c r="Y27" i="19"/>
  <c r="M47" i="19"/>
  <c r="AC19" i="1"/>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C25" i="1"/>
  <c r="AE28" i="19"/>
  <c r="AA55" i="19"/>
  <c r="O45" i="19"/>
  <c r="AA15" i="19"/>
  <c r="AM55" i="19"/>
  <c r="O55" i="19"/>
  <c r="AG35" i="19"/>
  <c r="AM25" i="19"/>
  <c r="AM35" i="19"/>
  <c r="AA25" i="19"/>
  <c r="AM45" i="19"/>
  <c r="AG25" i="19"/>
  <c r="AA35" i="19"/>
  <c r="O25" i="19"/>
  <c r="U25" i="19"/>
  <c r="AG45" i="19"/>
  <c r="U35" i="19"/>
  <c r="AA45" i="19"/>
  <c r="AM15" i="19"/>
  <c r="U45" i="19"/>
  <c r="O35" i="19"/>
  <c r="O15" i="19"/>
  <c r="AC69" i="1"/>
  <c r="AG15" i="19"/>
  <c r="U15" i="19"/>
  <c r="AG55" i="19"/>
  <c r="U55" i="19"/>
  <c r="AE40" i="19"/>
  <c r="Y30" i="19"/>
  <c r="M20" i="19"/>
  <c r="AC37" i="1"/>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AC32" i="1"/>
  <c r="T19" i="19"/>
  <c r="AL49" i="19"/>
  <c r="T29" i="19"/>
  <c r="AF29" i="19"/>
  <c r="T18" i="19"/>
  <c r="N48" i="19"/>
  <c r="N8" i="19"/>
  <c r="T28" i="19"/>
  <c r="AF38" i="19"/>
  <c r="Z28" i="19"/>
  <c r="Z18" i="19"/>
  <c r="AF8" i="19"/>
  <c r="AC26" i="1"/>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AC68" i="1"/>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AC31" i="1"/>
  <c r="M9" i="19"/>
  <c r="Y29" i="19"/>
  <c r="AA56" i="1"/>
  <c r="AB57" i="1"/>
  <c r="AA57" i="1"/>
  <c r="AM46" i="19"/>
  <c r="U36" i="19"/>
  <c r="AG16" i="19"/>
  <c r="O6" i="19"/>
  <c r="AA36" i="19"/>
  <c r="AM16" i="19"/>
  <c r="U6" i="19"/>
  <c r="AG46" i="19"/>
  <c r="AA16" i="19"/>
  <c r="AC15" i="1"/>
  <c r="AA6" i="19"/>
  <c r="AG6" i="19"/>
  <c r="AA46" i="19"/>
  <c r="AM26" i="19"/>
  <c r="U16" i="19"/>
  <c r="O36" i="19"/>
  <c r="U26" i="19"/>
  <c r="O46" i="19"/>
  <c r="AA26" i="19"/>
  <c r="AM6" i="19"/>
  <c r="U46" i="19"/>
  <c r="AG26" i="19"/>
  <c r="O16" i="19"/>
  <c r="AG36" i="19"/>
  <c r="O26" i="19"/>
  <c r="AM36" i="19"/>
  <c r="AA62" i="1"/>
  <c r="AB63" i="1"/>
  <c r="AA63" i="1"/>
  <c r="AB21" i="1"/>
  <c r="AA21" i="1"/>
  <c r="AA20" i="1"/>
  <c r="O8" i="19"/>
  <c r="AA48" i="19"/>
  <c r="AM38" i="19"/>
  <c r="U48" i="19"/>
  <c r="AA18" i="19"/>
  <c r="AG18" i="19"/>
  <c r="AG48" i="19"/>
  <c r="AM18" i="19"/>
  <c r="AA28" i="19"/>
  <c r="AG28" i="19"/>
  <c r="AA8" i="19"/>
  <c r="U18" i="19"/>
  <c r="AG38" i="19"/>
  <c r="U38" i="19"/>
  <c r="AM8" i="19"/>
  <c r="AA38" i="19"/>
  <c r="AM48" i="19"/>
  <c r="U28" i="19"/>
  <c r="O38" i="19"/>
  <c r="U8" i="19"/>
  <c r="AG8" i="19"/>
  <c r="AC27" i="1"/>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AC55" i="1"/>
  <c r="M33" i="19"/>
  <c r="AF6" i="19"/>
  <c r="N46" i="19"/>
  <c r="Z26" i="19"/>
  <c r="AL6" i="19"/>
  <c r="AL36" i="19"/>
  <c r="AF26" i="19"/>
  <c r="Z6" i="19"/>
  <c r="T26" i="19"/>
  <c r="Z46" i="19"/>
  <c r="AF46" i="19"/>
  <c r="T46" i="19"/>
  <c r="T6" i="19"/>
  <c r="AF36" i="19"/>
  <c r="N26" i="19"/>
  <c r="Z16" i="19"/>
  <c r="AL26" i="19"/>
  <c r="Z36" i="19"/>
  <c r="N36" i="19"/>
  <c r="AL46" i="19"/>
  <c r="T36" i="19"/>
  <c r="AF16" i="19"/>
  <c r="N6" i="19"/>
  <c r="N16" i="19"/>
  <c r="AC14" i="1"/>
  <c r="AL16" i="19"/>
  <c r="T16" i="19"/>
  <c r="AG24" i="19"/>
  <c r="O44" i="19"/>
  <c r="O24" i="19"/>
  <c r="AM14" i="19"/>
  <c r="AG34" i="19"/>
  <c r="O34" i="19"/>
  <c r="AA44" i="19"/>
  <c r="O14" i="19"/>
  <c r="AA54" i="19"/>
  <c r="U14" i="19"/>
  <c r="AM44" i="19"/>
  <c r="AA34" i="19"/>
  <c r="AM24" i="19"/>
  <c r="AM54" i="19"/>
  <c r="AG14" i="19"/>
  <c r="AM34" i="19"/>
  <c r="U54" i="19"/>
  <c r="AG44" i="19"/>
  <c r="AA24" i="19"/>
  <c r="AG54" i="19"/>
  <c r="U34" i="19"/>
  <c r="U24" i="19"/>
  <c r="AC63" i="1"/>
  <c r="AA14" i="19"/>
  <c r="O54" i="19"/>
  <c r="U44" i="19"/>
  <c r="U43" i="19"/>
  <c r="U13" i="19"/>
  <c r="AM53" i="19"/>
  <c r="AA53" i="19"/>
  <c r="AA43" i="19"/>
  <c r="O53" i="19"/>
  <c r="O23" i="19"/>
  <c r="O13" i="19"/>
  <c r="AG43" i="19"/>
  <c r="U33" i="19"/>
  <c r="U23" i="19"/>
  <c r="AM13" i="19"/>
  <c r="AM23" i="19"/>
  <c r="AG13" i="19"/>
  <c r="AA23" i="19"/>
  <c r="AG33" i="19"/>
  <c r="AA33" i="19"/>
  <c r="AM33" i="19"/>
  <c r="AA13" i="19"/>
  <c r="AC57" i="1"/>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C62" i="1"/>
  <c r="AF53" i="19"/>
  <c r="T43" i="19"/>
  <c r="Z53" i="19"/>
  <c r="N43" i="19"/>
  <c r="T23" i="19"/>
  <c r="AF43" i="19"/>
  <c r="Z13" i="19"/>
  <c r="Z43" i="19"/>
  <c r="AF23" i="19"/>
  <c r="AL13" i="19"/>
  <c r="Z23" i="19"/>
  <c r="AL43" i="19"/>
  <c r="AF13" i="19"/>
  <c r="AL23" i="19"/>
  <c r="N13" i="19"/>
  <c r="T33" i="19"/>
  <c r="AL53" i="19"/>
  <c r="N23" i="19"/>
  <c r="N53" i="19"/>
  <c r="AF33" i="19"/>
  <c r="N33" i="19"/>
  <c r="AC56" i="1"/>
  <c r="T53" i="19"/>
  <c r="AL33" i="19"/>
  <c r="T13" i="19"/>
  <c r="Z33" i="19"/>
  <c r="Z47" i="19"/>
  <c r="T7" i="19"/>
  <c r="AL37" i="19"/>
  <c r="T17" i="19"/>
  <c r="Z17" i="19"/>
  <c r="AF7" i="19"/>
  <c r="AF37" i="19"/>
  <c r="N17" i="19"/>
  <c r="AF27" i="19"/>
  <c r="AC20" i="1"/>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C39" i="1"/>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C21" i="1"/>
  <c r="AA17" i="19"/>
  <c r="O7" i="19"/>
  <c r="AA37" i="19"/>
  <c r="AA27" i="19"/>
  <c r="AM27" i="19"/>
  <c r="U17" i="19"/>
  <c r="U47" i="19"/>
  <c r="AG17" i="19"/>
  <c r="O47" i="19"/>
  <c r="Z40" i="19"/>
  <c r="AC38" i="1"/>
  <c r="T10" i="19"/>
  <c r="AF10" i="19"/>
  <c r="T20" i="19"/>
  <c r="N30" i="19"/>
  <c r="Z20" i="19"/>
  <c r="AF50" i="19"/>
  <c r="T50" i="19"/>
  <c r="AL30" i="19"/>
  <c r="T40" i="19"/>
  <c r="AF40" i="19"/>
  <c r="AF30" i="19"/>
  <c r="N50" i="19"/>
  <c r="AL40" i="19"/>
  <c r="AL20" i="19"/>
  <c r="Z10" i="19"/>
  <c r="AF20" i="19"/>
  <c r="N10" i="19"/>
  <c r="Z50" i="19"/>
  <c r="AL50" i="19"/>
  <c r="N40" i="19"/>
  <c r="T30" i="19"/>
  <c r="Z30" i="19"/>
  <c r="AL10" i="19"/>
  <c r="N20" i="19"/>
  <c r="AB64" i="1"/>
  <c r="AA64" i="1"/>
  <c r="V25" i="19"/>
  <c r="V45" i="19"/>
  <c r="J15" i="19"/>
  <c r="AB45" i="19"/>
  <c r="AH25" i="19"/>
  <c r="AH55" i="19"/>
  <c r="AB15" i="19"/>
  <c r="P15" i="19"/>
  <c r="P45" i="19"/>
  <c r="V15" i="19"/>
  <c r="J35" i="19"/>
  <c r="AH45" i="19"/>
  <c r="J25" i="19"/>
  <c r="AB35" i="19"/>
  <c r="AH15" i="19"/>
  <c r="V35" i="19"/>
  <c r="J55" i="19"/>
  <c r="AB55" i="19"/>
  <c r="AC64" i="1"/>
  <c r="AB25" i="19"/>
  <c r="J45" i="19"/>
  <c r="P25" i="19"/>
  <c r="P35" i="19"/>
  <c r="AH35" i="19"/>
  <c r="V55" i="19"/>
  <c r="P55" i="19"/>
  <c r="Z25" i="26" l="1"/>
  <c r="Y25" i="26"/>
  <c r="Y31" i="26"/>
  <c r="Z31" i="26"/>
  <c r="AB25" i="26"/>
  <c r="AA25" i="26" s="1"/>
  <c r="AC26" i="26"/>
  <c r="X24" i="26"/>
  <c r="N21" i="26"/>
  <c r="N17" i="26"/>
  <c r="AC31" i="26"/>
  <c r="AD12" i="31"/>
  <c r="AC12" i="31" s="1"/>
  <c r="AC11" i="31"/>
  <c r="AB11" i="31"/>
  <c r="Z12" i="31" s="1"/>
  <c r="AA11" i="31"/>
  <c r="AE11" i="31" s="1"/>
  <c r="P11" i="31"/>
  <c r="X12" i="26"/>
  <c r="Y12" i="26" s="1"/>
  <c r="G61" i="23"/>
  <c r="G62" i="23" s="1"/>
  <c r="I25" i="23" s="1"/>
  <c r="N25" i="23" s="1"/>
  <c r="O25" i="23" s="1"/>
  <c r="I61" i="23"/>
  <c r="I62" i="23" s="1"/>
  <c r="I29" i="23" s="1"/>
  <c r="N29" i="23" s="1"/>
  <c r="O29" i="23" s="1"/>
  <c r="G64" i="23"/>
  <c r="G65" i="23" s="1"/>
  <c r="P25" i="23" s="1"/>
  <c r="AB19" i="26"/>
  <c r="AA19" i="26" s="1"/>
  <c r="X23" i="26"/>
  <c r="Z23" i="26" s="1"/>
  <c r="X19" i="26"/>
  <c r="Y19" i="26" s="1"/>
  <c r="X17" i="26"/>
  <c r="Z17" i="26" s="1"/>
  <c r="X18" i="26" s="1"/>
  <c r="AB12" i="26"/>
  <c r="AA12" i="26" s="1"/>
  <c r="AB18" i="26"/>
  <c r="AA18" i="26" s="1"/>
  <c r="AA14" i="26"/>
  <c r="AC22" i="26"/>
  <c r="N14" i="26"/>
  <c r="AC21" i="26"/>
  <c r="N26" i="26"/>
  <c r="Y15" i="26"/>
  <c r="Z15" i="26"/>
  <c r="X16" i="26" s="1"/>
  <c r="Y14" i="26"/>
  <c r="Y23" i="26"/>
  <c r="AC23" i="26" s="1"/>
  <c r="Z19" i="26"/>
  <c r="Z22" i="26"/>
  <c r="N23" i="26"/>
  <c r="N19" i="26"/>
  <c r="Z21" i="26"/>
  <c r="AB15" i="26"/>
  <c r="AA15" i="26" s="1"/>
  <c r="AB16" i="26"/>
  <c r="AA16" i="26" s="1"/>
  <c r="N12" i="26"/>
  <c r="B221" i="13"/>
  <c r="B223" i="13"/>
  <c r="Y24" i="26" l="1"/>
  <c r="AC24" i="26" s="1"/>
  <c r="Z24" i="26"/>
  <c r="AC25" i="26"/>
  <c r="Y17" i="26"/>
  <c r="AC17" i="26" s="1"/>
  <c r="AA12" i="31"/>
  <c r="AE12" i="31" s="1"/>
  <c r="AB12" i="31"/>
  <c r="AB13" i="26"/>
  <c r="AA13" i="26"/>
  <c r="AC19" i="26"/>
  <c r="Z12" i="26"/>
  <c r="X13" i="26" s="1"/>
  <c r="AC14" i="26"/>
  <c r="AC15" i="26"/>
  <c r="Y16" i="26"/>
  <c r="AC16" i="26" s="1"/>
  <c r="Z16" i="26"/>
  <c r="Z18" i="26"/>
  <c r="Y18" i="26"/>
  <c r="AC18" i="26" s="1"/>
  <c r="AC12" i="26"/>
  <c r="K40" i="1"/>
  <c r="L40" i="1" s="1"/>
  <c r="K10" i="1"/>
  <c r="L10" i="1" s="1"/>
  <c r="K22" i="1"/>
  <c r="L22" i="1" s="1"/>
  <c r="K58" i="1"/>
  <c r="L58" i="1" s="1"/>
  <c r="K64" i="1"/>
  <c r="L64" i="1" s="1"/>
  <c r="K34" i="1"/>
  <c r="L34" i="1" s="1"/>
  <c r="K28" i="1"/>
  <c r="L28" i="1" s="1"/>
  <c r="K46" i="1"/>
  <c r="L46" i="1" s="1"/>
  <c r="K52" i="1"/>
  <c r="L52" i="1" s="1"/>
  <c r="K16" i="1"/>
  <c r="L16" i="1" s="1"/>
  <c r="Z13" i="26" l="1"/>
  <c r="Y13" i="26"/>
  <c r="AC13" i="26" s="1"/>
  <c r="P34" i="18"/>
  <c r="AB34" i="18"/>
  <c r="AH18" i="18"/>
  <c r="AB42" i="18"/>
  <c r="V10" i="18"/>
  <c r="P42" i="18"/>
  <c r="AB26" i="18"/>
  <c r="AH34" i="18"/>
  <c r="V18" i="18"/>
  <c r="V42" i="18"/>
  <c r="AB18" i="18"/>
  <c r="J10" i="18"/>
  <c r="M46" i="1"/>
  <c r="P18" i="18"/>
  <c r="J26" i="18"/>
  <c r="J42" i="18"/>
  <c r="AH42" i="18"/>
  <c r="P26" i="18"/>
  <c r="P10" i="18"/>
  <c r="AB10" i="18"/>
  <c r="AH10" i="18"/>
  <c r="J18" i="18"/>
  <c r="J34" i="18"/>
  <c r="V34" i="18"/>
  <c r="N46" i="1"/>
  <c r="AH26" i="18"/>
  <c r="V26" i="18"/>
  <c r="AB16" i="18"/>
  <c r="AB8" i="18"/>
  <c r="J8" i="18"/>
  <c r="J40" i="18"/>
  <c r="V16" i="18"/>
  <c r="V24" i="18"/>
  <c r="P8" i="18"/>
  <c r="M28" i="1"/>
  <c r="V40" i="18"/>
  <c r="N28" i="1"/>
  <c r="P16" i="18"/>
  <c r="V8" i="18"/>
  <c r="AH8" i="18"/>
  <c r="J24" i="18"/>
  <c r="P24" i="18"/>
  <c r="AB40" i="18"/>
  <c r="J32" i="18"/>
  <c r="AH32" i="18"/>
  <c r="P40" i="18"/>
  <c r="V32" i="18"/>
  <c r="J16" i="18"/>
  <c r="P32" i="18"/>
  <c r="AH16" i="18"/>
  <c r="AB32" i="18"/>
  <c r="AB24" i="18"/>
  <c r="AH40" i="18"/>
  <c r="AH24" i="18"/>
  <c r="R40" i="18"/>
  <c r="X24" i="18"/>
  <c r="L40" i="18"/>
  <c r="X40" i="18"/>
  <c r="M34" i="1"/>
  <c r="AD8" i="18"/>
  <c r="L24" i="18"/>
  <c r="AJ8" i="18"/>
  <c r="AJ24" i="18"/>
  <c r="AJ40" i="18"/>
  <c r="R8" i="18"/>
  <c r="R24" i="18"/>
  <c r="AD24" i="18"/>
  <c r="AD40" i="18"/>
  <c r="X16" i="18"/>
  <c r="N34" i="1"/>
  <c r="AJ16" i="18"/>
  <c r="AD16" i="18"/>
  <c r="R32" i="18"/>
  <c r="L16" i="18"/>
  <c r="AJ32" i="18"/>
  <c r="L8" i="18"/>
  <c r="L32" i="18"/>
  <c r="AD32" i="18"/>
  <c r="R16" i="18"/>
  <c r="X8" i="18"/>
  <c r="X32" i="18"/>
  <c r="AJ10" i="18"/>
  <c r="L10" i="18"/>
  <c r="X18" i="18"/>
  <c r="L34" i="18"/>
  <c r="AD34" i="18"/>
  <c r="R42" i="18"/>
  <c r="AJ42" i="18"/>
  <c r="L42" i="18"/>
  <c r="AJ18" i="18"/>
  <c r="R34" i="18"/>
  <c r="R18" i="18"/>
  <c r="X10" i="18"/>
  <c r="R26" i="18"/>
  <c r="AJ26" i="18"/>
  <c r="AD26" i="18"/>
  <c r="AD18" i="18"/>
  <c r="L18" i="18"/>
  <c r="N52" i="1"/>
  <c r="AD42" i="18"/>
  <c r="AD10" i="18"/>
  <c r="L26" i="18"/>
  <c r="R10" i="18"/>
  <c r="X42" i="18"/>
  <c r="AJ34" i="18"/>
  <c r="X34" i="18"/>
  <c r="M52" i="1"/>
  <c r="X26" i="18"/>
  <c r="P44" i="18"/>
  <c r="P36" i="18"/>
  <c r="V44" i="18"/>
  <c r="J44" i="18"/>
  <c r="AH28" i="18"/>
  <c r="V20" i="18"/>
  <c r="AB36" i="18"/>
  <c r="P12" i="18"/>
  <c r="V28" i="18"/>
  <c r="AB12" i="18"/>
  <c r="AB28" i="18"/>
  <c r="V36" i="18"/>
  <c r="J20" i="18"/>
  <c r="AH44" i="18"/>
  <c r="AB20" i="18"/>
  <c r="J36" i="18"/>
  <c r="V12" i="18"/>
  <c r="P20" i="18"/>
  <c r="P28" i="18"/>
  <c r="N64" i="1"/>
  <c r="M64" i="1"/>
  <c r="AH12" i="18"/>
  <c r="J12" i="18"/>
  <c r="AH20" i="18"/>
  <c r="J28" i="18"/>
  <c r="AH36" i="18"/>
  <c r="AB44" i="18"/>
  <c r="Z10" i="18"/>
  <c r="AL26" i="18"/>
  <c r="Z26" i="18"/>
  <c r="N26" i="18"/>
  <c r="T18" i="18"/>
  <c r="T26" i="18"/>
  <c r="Z18" i="18"/>
  <c r="N58" i="1"/>
  <c r="AL42" i="18"/>
  <c r="AF26" i="18"/>
  <c r="T10" i="18"/>
  <c r="AL18" i="18"/>
  <c r="AF10" i="18"/>
  <c r="Z34" i="18"/>
  <c r="N18" i="18"/>
  <c r="AL10" i="18"/>
  <c r="AL34" i="18"/>
  <c r="AF42" i="18"/>
  <c r="M58" i="1"/>
  <c r="Z42" i="18"/>
  <c r="N42" i="18"/>
  <c r="N10" i="18"/>
  <c r="T42" i="18"/>
  <c r="T34" i="18"/>
  <c r="AF34" i="18"/>
  <c r="AF18" i="18"/>
  <c r="N34" i="18"/>
  <c r="T38" i="18"/>
  <c r="AL30" i="18"/>
  <c r="N14" i="18"/>
  <c r="Z6" i="18"/>
  <c r="AF6" i="18"/>
  <c r="AL14" i="18"/>
  <c r="Z14" i="18"/>
  <c r="AF22" i="18"/>
  <c r="AF38" i="18"/>
  <c r="N22" i="18"/>
  <c r="Z22" i="18"/>
  <c r="Z38" i="18"/>
  <c r="AL22" i="18"/>
  <c r="AL38" i="18"/>
  <c r="T30" i="18"/>
  <c r="AL6" i="18"/>
  <c r="T14" i="18"/>
  <c r="AF30" i="18"/>
  <c r="T22" i="18"/>
  <c r="T6" i="18"/>
  <c r="Z30" i="18"/>
  <c r="AF14" i="18"/>
  <c r="N22" i="1"/>
  <c r="N30" i="18"/>
  <c r="M22" i="1"/>
  <c r="N6" i="18"/>
  <c r="N38" i="18"/>
  <c r="J30" i="18"/>
  <c r="J14" i="18"/>
  <c r="V14" i="18"/>
  <c r="P6" i="18"/>
  <c r="AH14" i="18"/>
  <c r="V22" i="18"/>
  <c r="M10" i="1"/>
  <c r="AB10" i="1" s="1"/>
  <c r="AA10" i="1" s="1"/>
  <c r="J6" i="18"/>
  <c r="N10" i="1"/>
  <c r="V30" i="18"/>
  <c r="V38" i="18"/>
  <c r="AB14" i="18"/>
  <c r="AB22" i="18"/>
  <c r="AH6" i="18"/>
  <c r="AH38" i="18"/>
  <c r="J38" i="18"/>
  <c r="P30" i="18"/>
  <c r="AH22" i="18"/>
  <c r="AH30" i="18"/>
  <c r="P22" i="18"/>
  <c r="AB30" i="18"/>
  <c r="P14" i="18"/>
  <c r="P38" i="18"/>
  <c r="J22" i="18"/>
  <c r="AB6" i="18"/>
  <c r="V6" i="18"/>
  <c r="AB38" i="18"/>
  <c r="M16" i="1"/>
  <c r="AJ6" i="18"/>
  <c r="X6" i="18"/>
  <c r="L6" i="18"/>
  <c r="R22" i="18"/>
  <c r="AJ22" i="18"/>
  <c r="AJ38" i="18"/>
  <c r="L22" i="18"/>
  <c r="X14" i="18"/>
  <c r="AD22" i="18"/>
  <c r="R14" i="18"/>
  <c r="L30" i="18"/>
  <c r="X22" i="18"/>
  <c r="AJ30" i="18"/>
  <c r="L38" i="18"/>
  <c r="AJ14" i="18"/>
  <c r="X38" i="18"/>
  <c r="AD6" i="18"/>
  <c r="N16" i="1"/>
  <c r="AD30" i="18"/>
  <c r="AD38" i="18"/>
  <c r="AD14" i="18"/>
  <c r="X30" i="18"/>
  <c r="R38" i="18"/>
  <c r="R6" i="18"/>
  <c r="R30" i="18"/>
  <c r="L14" i="18"/>
  <c r="N32" i="18"/>
  <c r="N40" i="1"/>
  <c r="AL16" i="18"/>
  <c r="T8" i="18"/>
  <c r="AL24" i="18"/>
  <c r="T32" i="18"/>
  <c r="AF40" i="18"/>
  <c r="Z40" i="18"/>
  <c r="T40" i="18"/>
  <c r="M40" i="1"/>
  <c r="T24" i="18"/>
  <c r="Z8" i="18"/>
  <c r="N16" i="18"/>
  <c r="N40" i="18"/>
  <c r="T16" i="18"/>
  <c r="AF32" i="18"/>
  <c r="AL40" i="18"/>
  <c r="AL8" i="18"/>
  <c r="Z16" i="18"/>
  <c r="Z24" i="18"/>
  <c r="AF8" i="18"/>
  <c r="AF16" i="18"/>
  <c r="Z32" i="18"/>
  <c r="N8" i="18"/>
  <c r="N24" i="18"/>
  <c r="AL32" i="18"/>
  <c r="AF24" i="18"/>
  <c r="AB26" i="19" l="1"/>
  <c r="AB46" i="19"/>
  <c r="AB36" i="19"/>
  <c r="V26" i="19"/>
  <c r="J6" i="19"/>
  <c r="P6" i="19"/>
  <c r="P26" i="19"/>
  <c r="P46" i="19"/>
  <c r="AB16" i="19"/>
  <c r="AH46" i="19"/>
  <c r="V16" i="19"/>
  <c r="P16" i="19"/>
  <c r="J46" i="19"/>
  <c r="AH16" i="19"/>
  <c r="V36" i="19"/>
  <c r="V46" i="19"/>
  <c r="AH26" i="19"/>
  <c r="AB6" i="19"/>
  <c r="J36" i="19"/>
  <c r="V6" i="19"/>
  <c r="J26" i="19"/>
  <c r="AH6" i="19"/>
  <c r="P36" i="19"/>
  <c r="J16" i="19"/>
  <c r="AC10" i="1"/>
  <c r="AH3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L10" authorId="0" shapeId="0" xr:uid="{3BCFDA5A-13F5-46DB-B46C-E85B2B0E943A}">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E15" authorId="1" shapeId="0" xr:uid="{2AB6702A-E29E-40D8-B211-26F1695B93DF}">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F15" authorId="2" shapeId="0" xr:uid="{76997C76-55AE-4537-859B-5A89AE69CD10}">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15" authorId="1" shapeId="0" xr:uid="{6604BB23-9735-4CD1-BA73-ED47AC370AED}">
      <text>
        <r>
          <rPr>
            <b/>
            <sz val="9"/>
            <color indexed="81"/>
            <rFont val="Tahoma"/>
            <family val="2"/>
          </rPr>
          <t>Deisy Estupiñan:</t>
        </r>
        <r>
          <rPr>
            <sz val="9"/>
            <color indexed="81"/>
            <rFont val="Tahoma"/>
            <family val="2"/>
          </rPr>
          <t xml:space="preserve">
AUTOMATICO</t>
        </r>
      </text>
    </comment>
    <comment ref="J15" authorId="1" shapeId="0" xr:uid="{7D436C65-8ED9-4426-AF6A-93B11BCCECAA}">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1" shapeId="0" xr:uid="{28DE6CB9-6C05-4014-BC39-FDAC7EA6A2A2}">
      <text>
        <r>
          <rPr>
            <b/>
            <sz val="9"/>
            <color indexed="81"/>
            <rFont val="Tahoma"/>
            <family val="2"/>
          </rPr>
          <t>Deisy Estupiñan:</t>
        </r>
        <r>
          <rPr>
            <sz val="9"/>
            <color indexed="81"/>
            <rFont val="Tahoma"/>
            <family val="2"/>
          </rPr>
          <t xml:space="preserve">
Debe contener Responsable de ejecutar el control, acción y complemento</t>
        </r>
      </text>
    </comment>
    <comment ref="AI15" authorId="1" shapeId="0" xr:uid="{D0C09EB4-2CC8-4F87-9068-ACBA6E53A012}">
      <text>
        <r>
          <rPr>
            <b/>
            <sz val="9"/>
            <color indexed="81"/>
            <rFont val="Tahoma"/>
            <family val="2"/>
          </rPr>
          <t>Deisy Estupiñan:</t>
        </r>
        <r>
          <rPr>
            <sz val="9"/>
            <color indexed="81"/>
            <rFont val="Tahoma"/>
            <family val="2"/>
          </rPr>
          <t xml:space="preserve">
Pasar a a matriz grande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tc={B1C731C1-77D1-4866-AACF-6CA64E614985}</author>
  </authors>
  <commentList>
    <comment ref="H8" authorId="0" shapeId="0" xr:uid="{B1C731C1-77D1-4866-AACF-6CA64E6149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usuario</author>
  </authors>
  <commentList>
    <comment ref="B10" authorId="0" shapeId="0" xr:uid="{EA8DC812-147E-4926-BB41-5E39BED77E8D}">
      <text>
        <r>
          <rPr>
            <b/>
            <sz val="9"/>
            <color indexed="81"/>
            <rFont val="Tahoma"/>
            <family val="2"/>
          </rPr>
          <t>Deisy Estupiñan:</t>
        </r>
        <r>
          <rPr>
            <sz val="9"/>
            <color indexed="81"/>
            <rFont val="Tahoma"/>
            <family val="2"/>
          </rPr>
          <t xml:space="preserve">
Es el ¿Qué?</t>
        </r>
      </text>
    </comment>
    <comment ref="C10" authorId="0" shapeId="0" xr:uid="{FC1295D0-C5AB-4AEF-BB30-54754DCAE8C5}">
      <text>
        <r>
          <rPr>
            <b/>
            <sz val="9"/>
            <color indexed="81"/>
            <rFont val="Tahoma"/>
            <family val="2"/>
          </rPr>
          <t>Deisy Estupiñan:</t>
        </r>
        <r>
          <rPr>
            <sz val="9"/>
            <color indexed="81"/>
            <rFont val="Tahoma"/>
            <family val="2"/>
          </rPr>
          <t xml:space="preserve">
Es el ¿Cómo?</t>
        </r>
      </text>
    </comment>
    <comment ref="D10" authorId="0" shapeId="0" xr:uid="{D3514842-5B1D-4BA6-A033-B102090A5C55}">
      <text>
        <r>
          <rPr>
            <b/>
            <sz val="9"/>
            <color indexed="81"/>
            <rFont val="Tahoma"/>
            <family val="2"/>
          </rPr>
          <t>Deisy Estupiñan:</t>
        </r>
        <r>
          <rPr>
            <sz val="9"/>
            <color indexed="81"/>
            <rFont val="Tahoma"/>
            <family val="2"/>
          </rPr>
          <t xml:space="preserve">
Es el ¿Por qué?</t>
        </r>
      </text>
    </comment>
    <comment ref="E10" authorId="0" shapeId="0" xr:uid="{8B510272-673C-41B6-AB4E-843340083A99}">
      <text>
        <r>
          <rPr>
            <b/>
            <sz val="9"/>
            <color indexed="81"/>
            <rFont val="Tahoma"/>
            <family val="2"/>
          </rPr>
          <t>Deisy Estupiñan:</t>
        </r>
        <r>
          <rPr>
            <sz val="9"/>
            <color indexed="81"/>
            <rFont val="Tahoma"/>
            <family val="2"/>
          </rPr>
          <t xml:space="preserve">
La estructura recomendada es iniciar con ''La posibilidad de'' continuar con el impacto + la causa inmediata + la causa raíz</t>
        </r>
      </text>
    </comment>
    <comment ref="F10" authorId="0" shapeId="0" xr:uid="{CB47CEDA-22D6-412D-94C9-C2A05F5C09B6}">
      <text>
        <r>
          <rPr>
            <b/>
            <sz val="9"/>
            <color indexed="81"/>
            <rFont val="Tahoma"/>
            <family val="2"/>
          </rPr>
          <t>Deisy Estupiñan:</t>
        </r>
        <r>
          <rPr>
            <sz val="9"/>
            <color indexed="81"/>
            <rFont val="Tahoma"/>
            <family val="2"/>
          </rPr>
          <t xml:space="preserve">
Selecciones según la lista desplegable </t>
        </r>
      </text>
    </comment>
    <comment ref="G10" authorId="0" shapeId="0" xr:uid="{794510D1-0149-4668-8965-56625CC1B671}">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H10" authorId="1" shapeId="0" xr:uid="{BDA88BC1-BEA2-4410-B517-02106D744634}">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I10" authorId="0" shapeId="0" xr:uid="{EAFC8551-EA15-4C43-BCFA-42D3E50C5A59}">
      <text>
        <r>
          <rPr>
            <b/>
            <sz val="9"/>
            <color indexed="81"/>
            <rFont val="Tahoma"/>
            <family val="2"/>
          </rPr>
          <t>Deisy Estupiñan:</t>
        </r>
        <r>
          <rPr>
            <sz val="9"/>
            <color indexed="81"/>
            <rFont val="Tahoma"/>
            <family val="2"/>
          </rPr>
          <t xml:space="preserve">
AUTOMATICO</t>
        </r>
      </text>
    </comment>
    <comment ref="J10" authorId="0" shapeId="0" xr:uid="{4EE8CE4F-E00C-4654-8407-3C3D3A3D3924}">
      <text>
        <r>
          <rPr>
            <b/>
            <sz val="9"/>
            <color indexed="81"/>
            <rFont val="Tahoma"/>
            <family val="2"/>
          </rPr>
          <t>Deisy Estupiñan:</t>
        </r>
        <r>
          <rPr>
            <sz val="9"/>
            <color indexed="81"/>
            <rFont val="Tahoma"/>
            <family val="2"/>
          </rPr>
          <t xml:space="preserve">
REPUTACIÓN:
Leve 20%: Menor a 10 SMLMV: El riesgo afecta la imagen de algún área de la organización.
Menor 40%: Entre 10 y 50 SMLMV: El riesgo afecta la imagen de la entidad internamente, desconocimiento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Catastrófico 100%: Mayor a 500 SMLMV: El riesgo afecta la imagen de la entidad a nivel nacional, con efecto publicitario sostenido a nivel país</t>
        </r>
      </text>
    </comment>
    <comment ref="P10" authorId="0" shapeId="0" xr:uid="{7F578326-C0BB-4E97-9262-18FBCD861FA1}">
      <text>
        <r>
          <rPr>
            <b/>
            <sz val="9"/>
            <color indexed="81"/>
            <rFont val="Tahoma"/>
            <family val="2"/>
          </rPr>
          <t>Deisy Estupiñan:</t>
        </r>
        <r>
          <rPr>
            <sz val="9"/>
            <color indexed="81"/>
            <rFont val="Tahoma"/>
            <family val="2"/>
          </rPr>
          <t xml:space="preserve">
Debe contener Responsable de ejecutar el control, acción y complemento</t>
        </r>
      </text>
    </comment>
    <comment ref="G12" authorId="0" shapeId="0" xr:uid="{03666F20-BA91-42FF-8C26-A41435CCC583}">
      <text>
        <r>
          <rPr>
            <b/>
            <sz val="9"/>
            <color indexed="81"/>
            <rFont val="Tahoma"/>
            <family val="2"/>
          </rPr>
          <t>Deisy Estupiñan:</t>
        </r>
        <r>
          <rPr>
            <sz val="9"/>
            <color indexed="81"/>
            <rFont val="Tahoma"/>
            <family val="2"/>
          </rPr>
          <t xml:space="preserve">
No. Actividades PETH 2021
</t>
        </r>
      </text>
    </comment>
    <comment ref="J12" authorId="0" shapeId="0" xr:uid="{65769080-E1CC-4F8C-8B7F-CEE9CAA20040}">
      <text>
        <r>
          <rPr>
            <b/>
            <sz val="9"/>
            <color indexed="81"/>
            <rFont val="Tahoma"/>
            <family val="2"/>
          </rPr>
          <t>Deisy Estupiñan:</t>
        </r>
        <r>
          <rPr>
            <sz val="9"/>
            <color indexed="81"/>
            <rFont val="Tahoma"/>
            <family val="2"/>
          </rPr>
          <t xml:space="preserve">
SMLMV que generarían las sanciones x el numero de actividades 
Afectación reputacional. El riesgo afecta la imagen de la entidad con entes de control como parte interesada  frente al logro
de los objetivos.</t>
        </r>
      </text>
    </comment>
    <comment ref="P12" authorId="0" shapeId="0" xr:uid="{4354183F-68B3-4717-B8DA-AF856F0C7431}">
      <text>
        <r>
          <rPr>
            <b/>
            <sz val="9"/>
            <color indexed="81"/>
            <rFont val="Tahoma"/>
            <family val="2"/>
          </rPr>
          <t>Deisy Estupiñan:</t>
        </r>
        <r>
          <rPr>
            <sz val="9"/>
            <color indexed="81"/>
            <rFont val="Tahoma"/>
            <family val="2"/>
          </rPr>
          <t xml:space="preserve">
¿cuál es la evidencia del  control?
GF-PD-03 PD Eje Psptal v9 integrado en act 6  PC 2 </t>
        </r>
      </text>
    </comment>
    <comment ref="AE12" authorId="2" shapeId="0" xr:uid="{C81CD324-083F-4006-A446-094B4958919C}">
      <text>
        <r>
          <rPr>
            <b/>
            <sz val="9"/>
            <color indexed="81"/>
            <rFont val="Tahoma"/>
            <family val="2"/>
          </rPr>
          <t>usuario:</t>
        </r>
        <r>
          <rPr>
            <sz val="9"/>
            <color indexed="81"/>
            <rFont val="Tahoma"/>
            <family val="2"/>
          </rPr>
          <t xml:space="preserve">
GF-PD-04 Gestión de Ingresos V4 en Act No. 7 PC 2  - 
GF-PD-05 PD Pagos v7   Act  9  Pc 1  
GF-PD-07 pd Inversiones act ultima pc 1 
GF-PD-03 PD Eje Psptal v9 integrado en act 6  PC 4
GF-PD-01 PD G Contable V12 Act 9 
GF-PD-02 Obnlig Trin Dian V4 Act 2-6
GF-PD-08 ObligTribSDH V4 Act 2-5</t>
        </r>
      </text>
    </comment>
    <comment ref="P13" authorId="2" shapeId="0" xr:uid="{2FA3AE14-B4C9-4FC3-A0D3-0CC0A8D266D0}">
      <text>
        <r>
          <rPr>
            <b/>
            <sz val="9"/>
            <color indexed="81"/>
            <rFont val="Tahoma"/>
            <family val="2"/>
          </rPr>
          <t>usuario:</t>
        </r>
        <r>
          <rPr>
            <sz val="9"/>
            <color indexed="81"/>
            <rFont val="Tahoma"/>
            <family val="2"/>
          </rPr>
          <t xml:space="preserve">
GF-PD-01 PD G Contable V12 Act 4 PC 2 </t>
        </r>
      </text>
    </comment>
    <comment ref="AE13" authorId="2" shapeId="0" xr:uid="{E02DDEF7-0DC2-42CB-B5B6-83FF8FB8BA98}">
      <text>
        <r>
          <rPr>
            <b/>
            <sz val="9"/>
            <color indexed="81"/>
            <rFont val="Tahoma"/>
            <family val="2"/>
          </rPr>
          <t>usuario:</t>
        </r>
        <r>
          <rPr>
            <sz val="9"/>
            <color indexed="81"/>
            <rFont val="Tahoma"/>
            <family val="2"/>
          </rPr>
          <t xml:space="preserve">
GF-PD-01 PD G Contable V12 Act 4 PC 2 </t>
        </r>
      </text>
    </comment>
    <comment ref="E21" authorId="0" shapeId="0" xr:uid="{915C6575-6C44-49C1-B555-AA6F87F05A37}">
      <text>
        <r>
          <rPr>
            <b/>
            <sz val="9"/>
            <color indexed="81"/>
            <rFont val="Tahoma"/>
            <family val="2"/>
          </rPr>
          <t>Deisy Estupiñan:</t>
        </r>
        <r>
          <rPr>
            <sz val="9"/>
            <color indexed="81"/>
            <rFont val="Tahoma"/>
            <family val="2"/>
          </rPr>
          <t xml:space="preserve">
Corrupción</t>
        </r>
      </text>
    </comment>
    <comment ref="P21" authorId="0" shapeId="0" xr:uid="{3114AB55-B945-48CD-80E8-5BD739D41423}">
      <text>
        <r>
          <rPr>
            <b/>
            <sz val="9"/>
            <color indexed="81"/>
            <rFont val="Tahoma"/>
            <family val="2"/>
          </rPr>
          <t>Deisy Estupiñan:</t>
        </r>
        <r>
          <rPr>
            <sz val="9"/>
            <color indexed="81"/>
            <rFont val="Tahoma"/>
            <family val="2"/>
          </rPr>
          <t xml:space="preserve">
Falta definir mejor el control, no habla de las inconsistencias. </t>
        </r>
      </text>
    </comment>
    <comment ref="P22" authorId="0" shapeId="0" xr:uid="{87669F4A-5395-42E5-B40E-1EF46172B06C}">
      <text>
        <r>
          <rPr>
            <b/>
            <sz val="9"/>
            <color indexed="81"/>
            <rFont val="Tahoma"/>
            <family val="2"/>
          </rPr>
          <t>Deisy Estupiñan:</t>
        </r>
        <r>
          <rPr>
            <sz val="9"/>
            <color indexed="81"/>
            <rFont val="Tahoma"/>
            <family val="2"/>
          </rPr>
          <t xml:space="preserve">
No esta redactado como control, el verificar esta en el proceso de gestión Jurídica.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usuario</author>
  </authors>
  <commentList>
    <comment ref="K14" authorId="0" shapeId="0" xr:uid="{FA65CE44-34EA-4373-A91F-F5BF3970A6E1}">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2E8B5BAF-9BDF-4992-BC9A-A680D9F3190B}">
      <text>
        <r>
          <rPr>
            <b/>
            <sz val="9"/>
            <color indexed="81"/>
            <rFont val="Tahoma"/>
            <family val="2"/>
          </rPr>
          <t>Deisy Estupiñan:</t>
        </r>
        <r>
          <rPr>
            <sz val="9"/>
            <color indexed="81"/>
            <rFont val="Tahoma"/>
            <family val="2"/>
          </rPr>
          <t xml:space="preserve">
La estructura recomedada es iniciar con ''La posibilidad de'' </t>
        </r>
        <r>
          <rPr>
            <b/>
            <sz val="9"/>
            <color indexed="81"/>
            <rFont val="Tahoma"/>
            <family val="2"/>
          </rPr>
          <t>continuar con el impacto + la causa inmediata + la causa raiz</t>
        </r>
      </text>
    </comment>
    <comment ref="K20" authorId="1" shapeId="0" xr:uid="{9E3FC24D-C239-4620-A3F3-6EEB9010F3C8}">
      <text>
        <r>
          <rPr>
            <b/>
            <sz val="9"/>
            <color indexed="81"/>
            <rFont val="Tahoma"/>
            <family val="2"/>
          </rPr>
          <t>Deisy Estupiñan:</t>
        </r>
        <r>
          <rPr>
            <sz val="9"/>
            <color indexed="81"/>
            <rFont val="Tahoma"/>
            <family val="2"/>
          </rPr>
          <t xml:space="preserve">
Debe contener Responsable de ejecutar el control, acción y complemento</t>
        </r>
      </text>
    </comment>
    <comment ref="AE20" authorId="1" shapeId="0" xr:uid="{BFFFECBF-5031-420D-B184-AF431EBD9C0C}">
      <text>
        <r>
          <rPr>
            <b/>
            <sz val="9"/>
            <color indexed="81"/>
            <rFont val="Tahoma"/>
            <family val="2"/>
          </rPr>
          <t>Deisy Estupiñan:</t>
        </r>
        <r>
          <rPr>
            <sz val="9"/>
            <color indexed="81"/>
            <rFont val="Tahoma"/>
            <family val="2"/>
          </rPr>
          <t xml:space="preserve">
Pasar a a matriz grande</t>
        </r>
      </text>
    </comment>
    <comment ref="D21" authorId="2" shapeId="0" xr:uid="{6CB92443-4DF9-43EF-B142-D4A37698ABFD}">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E21" authorId="1" shapeId="0" xr:uid="{EF846EE4-5958-4A11-A37C-123F21BDCAA7}">
      <text>
        <r>
          <rPr>
            <b/>
            <sz val="9"/>
            <color indexed="81"/>
            <rFont val="Tahoma"/>
            <family val="2"/>
          </rPr>
          <t>Deisy Estupiñan:</t>
        </r>
        <r>
          <rPr>
            <sz val="9"/>
            <color indexed="81"/>
            <rFont val="Tahoma"/>
            <family val="2"/>
          </rPr>
          <t xml:space="preserve">
AUTOMATICO</t>
        </r>
      </text>
    </comment>
    <comment ref="F21" authorId="0" shapeId="0" xr:uid="{DC91E76F-FBB2-4CDE-A520-6A3580EC746E}">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1" authorId="1" shapeId="0" xr:uid="{4F2F0D6E-80F2-45D6-AACD-0406B8F13A14}">
      <text>
        <r>
          <rPr>
            <b/>
            <sz val="9"/>
            <color indexed="81"/>
            <rFont val="Tahoma"/>
            <family val="2"/>
          </rPr>
          <t>Deisy Estupiñan:</t>
        </r>
        <r>
          <rPr>
            <sz val="9"/>
            <color indexed="81"/>
            <rFont val="Tahoma"/>
            <family val="2"/>
          </rPr>
          <t xml:space="preserve">
AUTOMATICO</t>
        </r>
      </text>
    </comment>
    <comment ref="C22" authorId="1" shapeId="0" xr:uid="{A3919056-9F0C-4D69-A2C4-B43623742E4A}">
      <text>
        <r>
          <rPr>
            <b/>
            <sz val="9"/>
            <color indexed="81"/>
            <rFont val="Tahoma"/>
            <family val="2"/>
          </rPr>
          <t>Deisy Estupiñan:</t>
        </r>
        <r>
          <rPr>
            <sz val="9"/>
            <color indexed="81"/>
            <rFont val="Tahoma"/>
            <family val="2"/>
          </rPr>
          <t xml:space="preserve">
5 días de la semana   por el numero de semanas al mes (4) por los 12 meses de año</t>
        </r>
      </text>
    </comment>
    <comment ref="K22" authorId="3" shapeId="0" xr:uid="{364BA233-B174-49D8-9406-FB500BABCDB8}">
      <text>
        <r>
          <rPr>
            <b/>
            <sz val="9"/>
            <color indexed="81"/>
            <rFont val="Tahoma"/>
            <family val="2"/>
          </rPr>
          <t>usuario:</t>
        </r>
        <r>
          <rPr>
            <sz val="9"/>
            <color indexed="81"/>
            <rFont val="Tahoma"/>
            <family val="2"/>
          </rPr>
          <t xml:space="preserve">
GF-PD-04 Gestión de Ingresos V4. Actividad 4 PC 3 </t>
        </r>
      </text>
    </comment>
    <comment ref="H40" authorId="1" shapeId="0" xr:uid="{C60B164C-7DF0-402C-9EB0-56FA0CB719B3}">
      <text>
        <r>
          <rPr>
            <b/>
            <sz val="9"/>
            <color indexed="81"/>
            <rFont val="Tahoma"/>
            <family val="2"/>
          </rPr>
          <t>Deisy Estupiñan:</t>
        </r>
        <r>
          <rPr>
            <sz val="9"/>
            <color indexed="81"/>
            <rFont val="Tahoma"/>
            <family val="2"/>
          </rPr>
          <t xml:space="preserve">
Seeccionar la opción (SI o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s>
  <commentList>
    <comment ref="E9" authorId="0" shapeId="0" xr:uid="{4D9D5228-3749-441C-81E0-69782DD3080D}">
      <text>
        <r>
          <rPr>
            <b/>
            <sz val="9"/>
            <color indexed="81"/>
            <rFont val="Tahoma"/>
            <family val="2"/>
          </rPr>
          <t>Deisy Estupiñan:</t>
        </r>
        <r>
          <rPr>
            <sz val="9"/>
            <color indexed="81"/>
            <rFont val="Tahoma"/>
            <family val="2"/>
          </rPr>
          <t xml:space="preserve">
Ejemplos: Hardware, Software, ed, información, personal, organización</t>
        </r>
      </text>
    </comment>
    <comment ref="F9" authorId="0" shapeId="0" xr:uid="{3E425FB8-28F3-47F3-8091-C533CC1725BF}">
      <text>
        <r>
          <rPr>
            <b/>
            <sz val="9"/>
            <color indexed="81"/>
            <rFont val="Tahoma"/>
            <family val="2"/>
          </rPr>
          <t>Deisy Estupiñan:</t>
        </r>
        <r>
          <rPr>
            <sz val="9"/>
            <color indexed="81"/>
            <rFont val="Tahoma"/>
            <family val="2"/>
          </rPr>
          <t xml:space="preserve">
Ejemplos: Hurto de medios o documentos, Abuso de los derechos, escucha encubierta, hurto de información, error en el uso. </t>
        </r>
      </text>
    </comment>
    <comment ref="G9" authorId="0" shapeId="0" xr:uid="{4D5389FC-FD7A-40E4-95E5-90BABCFCEA0E}">
      <text>
        <r>
          <rPr>
            <b/>
            <sz val="9"/>
            <color indexed="81"/>
            <rFont val="Tahoma"/>
            <family val="2"/>
          </rPr>
          <t>Deisy Estupiñan:</t>
        </r>
        <r>
          <rPr>
            <sz val="9"/>
            <color indexed="81"/>
            <rFont val="Tahoma"/>
            <family val="2"/>
          </rPr>
          <t xml:space="preserve">
Almacenamiento de medios sin protección, ausencia de parches de seguridad, lineas de comunicación sin protección, falta de controles de acceso físico, falta de capacitación en las herramientas, ausencia de políticas de seguridad </t>
        </r>
      </text>
    </comment>
    <comment ref="H9" authorId="0" shapeId="0" xr:uid="{510983C4-E9C6-4B38-BA91-5899039402A3}">
      <text>
        <r>
          <rPr>
            <b/>
            <sz val="9"/>
            <color indexed="81"/>
            <rFont val="Tahoma"/>
            <family val="2"/>
          </rPr>
          <t>Deisy Estupiñan:</t>
        </r>
        <r>
          <rPr>
            <sz val="9"/>
            <color indexed="81"/>
            <rFont val="Tahoma"/>
            <family val="2"/>
          </rPr>
          <t xml:space="preserve">
ejemplo: posible retraso en el pago de nómina</t>
        </r>
      </text>
    </comment>
    <comment ref="I9" authorId="0" shapeId="0" xr:uid="{27929029-4EB1-480F-9665-183AAF4A501C}">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J9" authorId="1" shapeId="0" xr:uid="{780CF864-2C84-4082-A3A6-89041B1779A2}">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K9" authorId="0" shapeId="0" xr:uid="{16052B25-713B-40AF-8746-1C514C2BEDB1}">
      <text>
        <r>
          <rPr>
            <b/>
            <sz val="9"/>
            <color indexed="81"/>
            <rFont val="Tahoma"/>
            <family val="2"/>
          </rPr>
          <t>Deisy Estupiñan:</t>
        </r>
        <r>
          <rPr>
            <sz val="9"/>
            <color indexed="81"/>
            <rFont val="Tahoma"/>
            <family val="2"/>
          </rPr>
          <t xml:space="preserve">
AUTOMATICO</t>
        </r>
      </text>
    </comment>
    <comment ref="L9" authorId="0" shapeId="0" xr:uid="{4BC27914-704B-410C-BE14-97B8DCB3E303}">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8C47237E-F830-4793-97E1-D302C7D71FBA}">
      <text>
        <r>
          <rPr>
            <b/>
            <sz val="9"/>
            <color indexed="81"/>
            <rFont val="Tahoma"/>
            <family val="2"/>
          </rPr>
          <t>Deisy Estupiñan:</t>
        </r>
        <r>
          <rPr>
            <sz val="9"/>
            <color indexed="81"/>
            <rFont val="Tahoma"/>
            <family val="2"/>
          </rPr>
          <t xml:space="preserve">
Debe contener Responsable de ejecutar el control, acción y complemento</t>
        </r>
      </text>
    </comment>
    <comment ref="AL9" authorId="0" shapeId="0" xr:uid="{A364A497-AF68-4272-9581-B41A8052A33F}">
      <text>
        <r>
          <rPr>
            <b/>
            <sz val="9"/>
            <color indexed="81"/>
            <rFont val="Tahoma"/>
            <family val="2"/>
          </rPr>
          <t>Deisy Estupiñan:</t>
        </r>
        <r>
          <rPr>
            <sz val="9"/>
            <color indexed="81"/>
            <rFont val="Tahoma"/>
            <family val="2"/>
          </rPr>
          <t xml:space="preserve">
Pasar a a matriz grande</t>
        </r>
      </text>
    </comment>
    <comment ref="I11" authorId="0" shapeId="0" xr:uid="{0C47E489-51B5-4D40-AF36-75948549A199}">
      <text>
        <r>
          <rPr>
            <b/>
            <sz val="9"/>
            <color indexed="81"/>
            <rFont val="Tahoma"/>
            <family val="2"/>
          </rPr>
          <t>Deisy Estupiñan:</t>
        </r>
        <r>
          <rPr>
            <sz val="9"/>
            <color indexed="81"/>
            <rFont val="Tahoma"/>
            <family val="2"/>
          </rPr>
          <t xml:space="preserve">
Impuestos distritales y nacionales, pago de seguridad social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Deisy Estupiñan</author>
  </authors>
  <commentList>
    <comment ref="D33" authorId="0" shapeId="0" xr:uid="{75DA12FC-380B-4595-935E-A96FF2D2C0DD}">
      <text>
        <r>
          <rPr>
            <b/>
            <sz val="9"/>
            <color indexed="81"/>
            <rFont val="Tahoma"/>
            <family val="2"/>
          </rPr>
          <t>Deisy Estupiñan:</t>
        </r>
        <r>
          <rPr>
            <sz val="9"/>
            <color indexed="81"/>
            <rFont val="Tahoma"/>
            <family val="2"/>
          </rPr>
          <t xml:space="preserve">
Lavado de Activos
y Financiación del Terrorismo</t>
        </r>
      </text>
    </comment>
    <comment ref="D45" authorId="0" shapeId="0" xr:uid="{444D14CC-A39E-4E85-AA2F-EFBD1DE25089}">
      <text>
        <r>
          <rPr>
            <b/>
            <sz val="9"/>
            <color indexed="81"/>
            <rFont val="Tahoma"/>
            <family val="2"/>
          </rPr>
          <t>Deisy Estupiñan:</t>
        </r>
        <r>
          <rPr>
            <sz val="9"/>
            <color indexed="81"/>
            <rFont val="Tahoma"/>
            <family val="2"/>
          </rPr>
          <t xml:space="preserve">
Unidad de Información y Análisis Financiero (UIAF)
</t>
        </r>
      </text>
    </comment>
    <comment ref="D81" authorId="0" shapeId="0" xr:uid="{2F076C6E-4637-4F6C-87B6-17C5A00154E3}">
      <text>
        <r>
          <rPr>
            <b/>
            <sz val="9"/>
            <color indexed="81"/>
            <rFont val="Tahoma"/>
            <family val="2"/>
          </rPr>
          <t>Deisy Estupiñan:</t>
        </r>
        <r>
          <rPr>
            <sz val="9"/>
            <color indexed="81"/>
            <rFont val="Tahoma"/>
            <family val="2"/>
          </rPr>
          <t xml:space="preserve">
Las fuentes que se refieren a los generadores de riesgo, clientes usuarios, proveedores, usuarios,
productos, jurisdicciones, entre otros;</t>
        </r>
      </text>
    </comment>
    <comment ref="E81" authorId="0" shapeId="0" xr:uid="{2A66E197-2D5A-4F11-B159-0A31ACF97A32}">
      <text>
        <r>
          <rPr>
            <b/>
            <sz val="9"/>
            <color indexed="81"/>
            <rFont val="Tahoma"/>
            <family val="2"/>
          </rPr>
          <t>Deisy Estupiñan:</t>
        </r>
        <r>
          <rPr>
            <sz val="9"/>
            <color indexed="81"/>
            <rFont val="Tahoma"/>
            <family val="2"/>
          </rPr>
          <t xml:space="preserve">
¿cómo?, ¿cuándo? y ¿dónde?;</t>
        </r>
      </text>
    </comment>
    <comment ref="G81" authorId="0" shapeId="0" xr:uid="{BF2D3A8F-B801-4127-8C96-C0F89359ED83}">
      <text>
        <r>
          <rPr>
            <b/>
            <sz val="9"/>
            <color indexed="81"/>
            <rFont val="Tahoma"/>
            <family val="2"/>
          </rPr>
          <t>Deisy Estupiñan:</t>
        </r>
        <r>
          <rPr>
            <sz val="9"/>
            <color indexed="81"/>
            <rFont val="Tahoma"/>
            <family val="2"/>
          </rPr>
          <t xml:space="preserve">
Afectación de los objetivos de la entidad</t>
        </r>
      </text>
    </comment>
    <comment ref="I81" authorId="0" shapeId="0" xr:uid="{DCEBA209-04B7-4DD0-ABC7-A1CFBD78BCB1}">
      <text>
        <r>
          <rPr>
            <b/>
            <sz val="9"/>
            <color indexed="81"/>
            <rFont val="Tahoma"/>
            <family val="2"/>
          </rPr>
          <t>Deisy Estupiñan:</t>
        </r>
        <r>
          <rPr>
            <sz val="9"/>
            <color indexed="81"/>
            <rFont val="Tahoma"/>
            <family val="2"/>
          </rPr>
          <t xml:space="preserve">
como por ejemplo carencia de políticas</t>
        </r>
      </text>
    </comment>
    <comment ref="K81" authorId="0" shapeId="0" xr:uid="{F5305ABB-070B-4BDA-BDF8-916DE0CC1257}">
      <text>
        <r>
          <rPr>
            <b/>
            <sz val="9"/>
            <color indexed="81"/>
            <rFont val="Tahoma"/>
            <family val="2"/>
          </rPr>
          <t>Deisy Estupiñan:</t>
        </r>
        <r>
          <rPr>
            <sz val="9"/>
            <color indexed="81"/>
            <rFont val="Tahoma"/>
            <family val="2"/>
          </rPr>
          <t xml:space="preserve">
como por ejemplo carencia de políticas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<sst xmlns="http://schemas.openxmlformats.org/spreadsheetml/2006/main" count="2972" uniqueCount="635">
  <si>
    <t xml:space="preserve">Referencia </t>
  </si>
  <si>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</si>
  <si>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</si>
  <si>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</si>
  <si>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</si>
  <si>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</si>
  <si>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</si>
  <si>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</si>
  <si>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</si>
  <si>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</si>
  <si>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</si>
  <si>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</si>
  <si>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</si>
  <si>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</si>
  <si>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</si>
  <si>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</si>
  <si>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</si>
  <si>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</si>
  <si>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</si>
  <si>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</si>
  <si>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</si>
  <si>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</si>
  <si>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</si>
  <si>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</si>
  <si>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</si>
  <si>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</si>
  <si>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</si>
  <si>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</si>
  <si>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</si>
  <si>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</si>
  <si>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</si>
  <si>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</si>
  <si>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</si>
  <si>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</si>
  <si>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</si>
  <si>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</si>
  <si>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</si>
  <si>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</si>
  <si>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</si>
  <si>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</si>
  <si>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</si>
  <si>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</si>
  <si>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</si>
  <si>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</si>
  <si>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</si>
  <si>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</si>
  <si>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</si>
  <si>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</si>
  <si>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</si>
  <si>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</si>
  <si>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</si>
  <si>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</si>
  <si>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</si>
  <si>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</si>
  <si>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</si>
  <si>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</si>
  <si>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</si>
  <si>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</si>
  <si>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</si>
  <si>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</si>
  <si>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</si>
  <si>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</si>
  <si>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</si>
  <si>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</si>
  <si>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</si>
  <si>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</si>
  <si>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</si>
  <si>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</si>
  <si>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</si>
  <si>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</si>
  <si>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</si>
  <si>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</si>
  <si>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</si>
  <si>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</si>
  <si>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</si>
  <si>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</si>
  <si>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</si>
  <si>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</si>
  <si>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</si>
  <si>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</si>
  <si>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</si>
  <si>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</si>
  <si>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</si>
  <si>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</si>
  <si>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</si>
  <si>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</si>
  <si>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</si>
  <si>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</si>
  <si>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</si>
  <si>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</si>
  <si>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</si>
  <si>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</si>
  <si>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</si>
  <si>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</si>
  <si>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</si>
  <si>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</si>
  <si>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</si>
  <si>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</si>
  <si>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</si>
  <si>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</si>
  <si>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</si>
  <si>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</si>
  <si>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</si>
  <si>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</si>
  <si>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</si>
  <si>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</si>
  <si>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</si>
  <si>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</si>
  <si>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</si>
  <si>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</si>
  <si>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</si>
  <si>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</si>
  <si>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</si>
  <si>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</si>
  <si>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</si>
  <si>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</si>
  <si>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</si>
  <si>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</si>
  <si>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</si>
  <si>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</si>
  <si>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</si>
  <si>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</si>
  <si>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</si>
  <si>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</si>
  <si>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</si>
  <si>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</si>
  <si>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</si>
  <si>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</si>
  <si>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</si>
  <si>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</si>
  <si>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</si>
  <si>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</si>
  <si>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</si>
  <si>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</si>
  <si>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</si>
  <si>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</si>
  <si>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</si>
  <si>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</si>
  <si>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</si>
  <si>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</si>
  <si>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</si>
  <si>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</si>
  <si>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</si>
  <si>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Fuente:  Adaptado de Curso Riesgo Operativo Universidad del Rosario por Dirección de Gestión y Desempeño Institucional de Función Pública,  2020.</t>
  </si>
  <si>
    <t xml:space="preserve">Formato Mapa Riesgos </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</si>
  <si>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</si>
  <si>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</si>
  <si>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</si>
  <si>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</si>
  <si>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</si>
  <si>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</si>
  <si>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</si>
  <si>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</si>
  <si>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</si>
  <si>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</si>
  <si>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</si>
  <si>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</si>
  <si>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</si>
  <si>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</si>
  <si>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</si>
  <si>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</si>
  <si>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</si>
  <si>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</si>
  <si>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</si>
  <si>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</si>
  <si>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</si>
  <si>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</si>
  <si>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</si>
  <si>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</si>
  <si>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</si>
  <si>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</si>
  <si>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</si>
  <si>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</si>
  <si>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</si>
  <si>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</si>
  <si>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</si>
  <si>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</si>
  <si>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</si>
  <si>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</si>
  <si>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</si>
  <si>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</si>
  <si>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</si>
  <si>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</si>
  <si>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</si>
  <si>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</si>
  <si>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</si>
  <si>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</si>
  <si>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</si>
  <si>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</si>
  <si>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</si>
  <si>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</si>
  <si>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</si>
  <si>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</si>
  <si>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</si>
  <si>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</si>
  <si>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</si>
  <si>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</si>
  <si>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</si>
  <si>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</si>
  <si>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</si>
  <si>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</si>
  <si>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</si>
  <si>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</si>
  <si>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</si>
  <si>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No.</t>
  </si>
  <si>
    <t>Gestión de Mejora</t>
  </si>
  <si>
    <t>Documento:</t>
  </si>
  <si>
    <t xml:space="preserve">Ficha de riesgos </t>
  </si>
  <si>
    <t>Código:</t>
  </si>
  <si>
    <t>GM-FT-09</t>
  </si>
  <si>
    <t>Versión:</t>
  </si>
  <si>
    <t xml:space="preserve">II. Contexto e identificación  </t>
  </si>
  <si>
    <t>Análisis del Contexto</t>
  </si>
  <si>
    <t xml:space="preserve">Identificación del Riesgo </t>
  </si>
  <si>
    <t>Externo</t>
  </si>
  <si>
    <t xml:space="preserve">Descripción  </t>
  </si>
  <si>
    <t xml:space="preserve">Interno </t>
  </si>
  <si>
    <t>Del Proceso</t>
  </si>
  <si>
    <t>Riesgo</t>
  </si>
  <si>
    <t xml:space="preserve">Descripción </t>
  </si>
  <si>
    <t>Consecuencia</t>
  </si>
  <si>
    <t xml:space="preserve">III. Análisis y Valoración  </t>
  </si>
  <si>
    <t xml:space="preserve">Análisis del Riesgo Inherente  </t>
  </si>
  <si>
    <t>Evaluación del Riesgo (Riesgo Residual)</t>
  </si>
  <si>
    <t>IV. Tratamiento del riesgo</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</si>
  <si>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</si>
  <si>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</si>
  <si>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</si>
  <si>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</si>
  <si>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</si>
  <si>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Tratamiento del riesgo  </t>
  </si>
  <si>
    <t xml:space="preserve">¿Aplicar controles para el tratamiento?  </t>
  </si>
  <si>
    <t>Actividad de control</t>
  </si>
  <si>
    <t xml:space="preserve">Tipo de control </t>
  </si>
  <si>
    <t>Indicador</t>
  </si>
  <si>
    <t xml:space="preserve">Responsable (Nombres y Rol)   </t>
  </si>
  <si>
    <t>Fecha de inicio</t>
  </si>
  <si>
    <t xml:space="preserve">Fecha de fin </t>
  </si>
  <si>
    <t>Impacto   (Tabla 1,1,)</t>
  </si>
  <si>
    <t xml:space="preserve">Zona de Riesgo </t>
  </si>
  <si>
    <t>Criterio</t>
  </si>
  <si>
    <t>Resultado</t>
  </si>
  <si>
    <t xml:space="preserve">Impacto  </t>
  </si>
  <si>
    <t>1. Rara vez</t>
  </si>
  <si>
    <t>El control se ejecuta de manera consistente por parte del responsable</t>
  </si>
  <si>
    <t>4. Mayor</t>
  </si>
  <si>
    <t xml:space="preserve">Resultado de los posibles desplazamientos de la probabilidad y el impacto de los riesgos  </t>
  </si>
  <si>
    <t>Tabla  1,1,  Criterios para la evaluación del Impacto -Riesgo inherente</t>
  </si>
  <si>
    <t>Pregunta  
Si el riesgo de corrupción se materializa, se podría…</t>
  </si>
  <si>
    <t>Respuesta</t>
  </si>
  <si>
    <t>Control 1</t>
  </si>
  <si>
    <t>control 2</t>
  </si>
  <si>
    <t>Control 3</t>
  </si>
  <si>
    <t>Solidez del conjunto de los controles</t>
  </si>
  <si>
    <t xml:space="preserve">Controles ayudan a disminuir el impacto  </t>
  </si>
  <si>
    <t># Columnas en la matriz de riesgo que se desplaza en el eje de la probabilidad</t>
  </si>
  <si>
    <t># Columnas en la matriz de riesgo que se desplaza en el eje del impacto</t>
  </si>
  <si>
    <t>Si/No</t>
  </si>
  <si>
    <t xml:space="preserve">Criterio de evaluación </t>
  </si>
  <si>
    <t xml:space="preserve">Aspecto a evaluar en el diseño del control </t>
  </si>
  <si>
    <t xml:space="preserve">Respuesta  </t>
  </si>
  <si>
    <t xml:space="preserve">Peso  </t>
  </si>
  <si>
    <t>¿Afectar al grupo de funcionarios del proceso?</t>
  </si>
  <si>
    <t>1. Responsable</t>
  </si>
  <si>
    <t>¿Existe un responsable asignado a la ejecución
del control?</t>
  </si>
  <si>
    <t>Asignado</t>
  </si>
  <si>
    <t>¿Afectar el cumplimiento de metas y objetivos de la dependencia?</t>
  </si>
  <si>
    <t xml:space="preserve">Fuerte </t>
  </si>
  <si>
    <t>Directamente</t>
  </si>
  <si>
    <t>¿Afectar el cumplimiento de misión de la entidad?</t>
  </si>
  <si>
    <t>¿El responsable tiene la autoridad y adecuada
segregación de funciones en la ejecución
del control?</t>
  </si>
  <si>
    <t xml:space="preserve">Adecuado </t>
  </si>
  <si>
    <t>Indirectamente</t>
  </si>
  <si>
    <t>¿Afectar el cumplimiento de la misión del sector al que pertenece la entidad?</t>
  </si>
  <si>
    <t>2. Periodicidad</t>
  </si>
  <si>
    <t>¿La oportunidad en que se ejecuta el control ayuda a prevenir la mitigación del riesgo o a detectar la materialización del riesgo de manera oportuna?</t>
  </si>
  <si>
    <t>Oportuno</t>
  </si>
  <si>
    <t>No disminuye</t>
  </si>
  <si>
    <t>¿Generar pérdida de confianza de la entidad, afectando su reputación?</t>
  </si>
  <si>
    <t>¿Generar pérdida de recursos económicos?</t>
  </si>
  <si>
    <t>3. Propósito</t>
  </si>
  <si>
    <t>¿Las actividades que se desarrollan en el control realmente buscan por si sola prevenir o detectar las causas que pueden dar origen al riesgo, Ej.: verificar, validar, cotejar, comparar, revisar, etc.?</t>
  </si>
  <si>
    <t>Prevenir</t>
  </si>
  <si>
    <t xml:space="preserve">Moderado </t>
  </si>
  <si>
    <t>¿Afectar la generación de los productos o la prestación de servicios?</t>
  </si>
  <si>
    <t>¿Generar pérdida de información de la entidad?</t>
  </si>
  <si>
    <t>4. Cómo se realiza la actividad de control</t>
  </si>
  <si>
    <t>¿La fuente de información que se utiliza en el desarrollo del control es información confiable que permita mitigar el riesgo?</t>
  </si>
  <si>
    <t>Confiable</t>
  </si>
  <si>
    <t>¿Generar intervención de los órganos de control, de la Fiscalía u otro ente?</t>
  </si>
  <si>
    <t>¿Dar lugar a procesos sancionatorios?</t>
  </si>
  <si>
    <t>5. Qué pasa con las observaciones o desviaciones</t>
  </si>
  <si>
    <t>¿Las observaciones, desviaciones o diferencias identificadas como resultados de la ejecución del control son investigadas y resueltas de manera oportuna?</t>
  </si>
  <si>
    <t xml:space="preserve">Se investigan y resuelven oportunamente  </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</si>
  <si>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</si>
  <si>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</si>
  <si>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¿Dar lugar a procesos disciplinarios?</t>
  </si>
  <si>
    <t>¿Dar lugar a procesos fiscales?</t>
  </si>
  <si>
    <t>¿Dar lugar a procesos penales?</t>
  </si>
  <si>
    <t>6. Evidencia de la ejecución del control</t>
  </si>
  <si>
    <t>¿Se deja evidencia o rastro de la ejecución del control que permita a cualquier tercero con la evidencia llegar a la misma conclusión?</t>
  </si>
  <si>
    <t>Completa</t>
  </si>
  <si>
    <t>¿Generar pérdida de credibilidad del sector?</t>
  </si>
  <si>
    <t>¿Ocasionar lesiones físicas o pérdida de vidas humanas?    (Si está marcada como SI, de una vez es Catastrófico el impacto)</t>
  </si>
  <si>
    <t xml:space="preserve">Sumatoria  individual </t>
  </si>
  <si>
    <t xml:space="preserve">Sumatoria  </t>
  </si>
  <si>
    <t>¿Afectar la imagen regional?</t>
  </si>
  <si>
    <t xml:space="preserve">Resultado solidez individual </t>
  </si>
  <si>
    <t xml:space="preserve">Resultado </t>
  </si>
  <si>
    <t>¿Afectar la imagen nacional?</t>
  </si>
  <si>
    <t>Fuerte: Calificación entre 96 y 100</t>
  </si>
  <si>
    <t>¿Generar daño ambiental?</t>
  </si>
  <si>
    <t>Moderado: Calificación entre 86 y 95</t>
  </si>
  <si>
    <t>solidez conjunta</t>
  </si>
  <si>
    <t xml:space="preserve">Total Si:  </t>
  </si>
  <si>
    <t>Débil: Calificación entre 0 y 85</t>
  </si>
  <si>
    <t xml:space="preserve">Resultado solidez conjunta </t>
  </si>
  <si>
    <t>Amenaza</t>
  </si>
  <si>
    <t xml:space="preserve">Causa / vulnerabilidad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</si>
  <si>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</si>
  <si>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</si>
  <si>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</si>
  <si>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</si>
  <si>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</si>
  <si>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</si>
  <si>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</si>
  <si>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</si>
  <si>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Análisis del Riesgo Inherete </t>
  </si>
  <si>
    <t>1,1,   CONTROLES</t>
  </si>
  <si>
    <t xml:space="preserve">Sólidez del conjunto de controles  </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</si>
  <si>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</si>
  <si>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2. Menor</t>
  </si>
  <si>
    <t>Aceptar el riesgo</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</si>
  <si>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</si>
  <si>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1,1,    Análisis y diseño del control </t>
  </si>
  <si>
    <t>Controles ayudan a dismunuir la probabilidad</t>
  </si>
  <si>
    <t>Detectar</t>
  </si>
  <si>
    <r>
      <rPr>
        <b/>
        <sz val="10"/>
        <color theme="1"/>
        <rFont val="Calibri"/>
        <family val="2"/>
        <scheme val="minor"/>
      </rPr>
      <t>Nota:</t>
    </r>
    <r>
      <rPr>
        <sz val="10"/>
        <color theme="1"/>
        <rFont val="Calibri"/>
        <family val="2"/>
        <scheme val="minor"/>
      </rPr>
      <t xml:space="preserve"> Si el resultado de las calificaciones del control, o el promedio en el diseño de los
controles, está por debajo de 96%, se debe establecer un plan de acción que permita
tener un control o controles bien diseñados.</t>
    </r>
  </si>
  <si>
    <t>¿Qué puede suceder?</t>
  </si>
  <si>
    <t>¿Cómo puede suceder?</t>
  </si>
  <si>
    <t>¿Cuándo puede suceder?</t>
  </si>
  <si>
    <t>¿Qué consecuencias tendría su materialización?</t>
  </si>
  <si>
    <t>Causas</t>
  </si>
  <si>
    <t>Consecuencias</t>
  </si>
  <si>
    <t>PROCESO</t>
  </si>
  <si>
    <t>TIPO DE PROCESO</t>
  </si>
  <si>
    <t>PLANEACIÓN</t>
  </si>
  <si>
    <t>GESTIÓN DE TALENTO HUMANO</t>
  </si>
  <si>
    <t xml:space="preserve">GESTIÓN DE LAS COMUNICACIONES </t>
  </si>
  <si>
    <t>SERVICIO AL CIUDADANO</t>
  </si>
  <si>
    <t>TRANSFORMACIÓN CULTURAL PARA LA REVITALIZACIÓN DEL CENTRO</t>
  </si>
  <si>
    <t>GESTIÓN DOCUMENTAL</t>
  </si>
  <si>
    <t xml:space="preserve">RECURSOS FISICOS </t>
  </si>
  <si>
    <t>GESTIÓN TIC</t>
  </si>
  <si>
    <t>GESTIÓN FINANCIERAS</t>
  </si>
  <si>
    <t>GESTIÓN JURÍDICA</t>
  </si>
  <si>
    <t>GESTIÓN DE MEJORA</t>
  </si>
  <si>
    <t>EVALUACIÓN INDEPENDIENTE DE LA GESTIÓN</t>
  </si>
  <si>
    <t>PROCESO:</t>
  </si>
  <si>
    <t>PROCESO ESTRATÉGICO</t>
  </si>
  <si>
    <t>PROCESO DE EVALUACIÓN Y MEJORA</t>
  </si>
  <si>
    <t>PROCESO MISIONAL</t>
  </si>
  <si>
    <t>PROCESO TRANSVERSAL</t>
  </si>
  <si>
    <t xml:space="preserve">OBJETIVO ESTRATEGICO ANIDADO </t>
  </si>
  <si>
    <t xml:space="preserve">1. Mejorar la calidad de vida de la ciudadanía al ampliar el acceso a la práctica
y disfrute del arte y la cultura como parte de su cotidianidad en condiciones
de equidad. </t>
  </si>
  <si>
    <t>2. Potenciar a los creadores del Centro que quieran expresarse y ver en el
arte, la cultura y la creatividad una forma de vida.</t>
  </si>
  <si>
    <t xml:space="preserve">3. Impulsar la reactivación física, económica y social del sector del antiguo
Bronx y articularlo con las comunidades y territorios del centro de la ciudad
a partir del arte, la cultura y la creatividad. </t>
  </si>
  <si>
    <t>4. Aumentar la apropiación del centro de la ciudad como un territorio diverso,
de convivencia pacífica, encuentro y desarrollo desde la transformación
cultural.</t>
  </si>
  <si>
    <t>5. Consolidar modelos de gestión, desarrollando capacidades del talento
humano y optimizando los recursos tecnológicos, físicos y financieros para
dar respuesta eficaz a las necesidades de la ciudadanía y grupos de valor.</t>
  </si>
  <si>
    <t>OBJETIVOS ESTRATÉGICOS</t>
  </si>
  <si>
    <t>OBJETIVO</t>
  </si>
  <si>
    <t xml:space="preserve">VERIFICACIÓN  METODOLOGICA CONSTRUCCIÓN DE OBJETIVOS- GUIA DAFP </t>
  </si>
  <si>
    <t>verificación del control</t>
  </si>
  <si>
    <t/>
  </si>
  <si>
    <t>R1</t>
  </si>
  <si>
    <t>R1C1</t>
  </si>
  <si>
    <t>ALTO</t>
  </si>
  <si>
    <t>SI</t>
  </si>
  <si>
    <t>NO</t>
  </si>
  <si>
    <t>MEDIO</t>
  </si>
  <si>
    <t xml:space="preserve">Fuente </t>
  </si>
  <si>
    <t>Descripción del evento</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</si>
  <si>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</si>
  <si>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</si>
  <si>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</si>
  <si>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</si>
  <si>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</si>
  <si>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</si>
  <si>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</si>
  <si>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</si>
  <si>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1. ¿La entidad recibe recursos de entidades privadas?</t>
  </si>
  <si>
    <t>2. ¿La entidad recibe donaciones?</t>
  </si>
  <si>
    <t xml:space="preserve">SI </t>
  </si>
  <si>
    <t>NA</t>
  </si>
  <si>
    <t>Preguntas Cuestionario de autoevaluación del riesgo operativo.</t>
  </si>
  <si>
    <t>Listas</t>
  </si>
  <si>
    <t xml:space="preserve">CONTEO </t>
  </si>
  <si>
    <t>7. ¿Los clientes objetivo de la entidad son personas naturales entre las que se encuentran las personas expuestas políticamente (PEP’s)?</t>
  </si>
  <si>
    <t xml:space="preserve">Maque con una X </t>
  </si>
  <si>
    <t xml:space="preserve">GRADO DE EXPOSICIÓN </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</si>
  <si>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</si>
  <si>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</si>
  <si>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</si>
  <si>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</si>
  <si>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</si>
  <si>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</si>
  <si>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</si>
  <si>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</si>
  <si>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</si>
  <si>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</si>
  <si>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</si>
  <si>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</si>
  <si>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</si>
  <si>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</si>
  <si>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</si>
  <si>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</si>
  <si>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</si>
  <si>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</si>
  <si>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</si>
  <si>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</si>
  <si>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</si>
  <si>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</si>
  <si>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</si>
  <si>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</si>
  <si>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</si>
  <si>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</si>
  <si>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</si>
  <si>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</si>
  <si>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</si>
  <si>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</si>
  <si>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</si>
  <si>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</si>
  <si>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</si>
  <si>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</si>
  <si>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</si>
  <si>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</si>
  <si>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</si>
  <si>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</si>
  <si>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</si>
  <si>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</si>
  <si>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</si>
  <si>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</si>
  <si>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</si>
  <si>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</si>
  <si>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</si>
  <si>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</si>
  <si>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BAJO</t>
  </si>
  <si>
    <t>MODERADO</t>
  </si>
  <si>
    <t>CRITICO</t>
  </si>
  <si>
    <t>Integralmente
Complementar los controles</t>
  </si>
  <si>
    <t>Continuamente 
Monitorear constantemente los riesgos.</t>
  </si>
  <si>
    <t>Oportunamente
Establecer controles que reduzcan el riesgo</t>
  </si>
  <si>
    <t>Prioritariamente
Adoptar un sistema de administracion de riesgos</t>
  </si>
  <si>
    <t>Urgentemente
Implementar un sistema de administración
de riesgos</t>
  </si>
  <si>
    <r>
      <rPr>
        <b/>
        <sz val="11"/>
        <color rgb="FFFF0000"/>
        <rFont val="Calibri"/>
        <family val="2"/>
        <scheme val="minor"/>
      </rPr>
      <t>NO TOCAR</t>
    </r>
    <r>
      <rPr>
        <b/>
        <sz val="11"/>
        <color theme="1"/>
        <rFont val="Calibri"/>
        <family val="2"/>
        <scheme val="minor"/>
      </rPr>
      <t xml:space="preserve">- Listas desplegables </t>
    </r>
  </si>
  <si>
    <t>Herramienta 2. Cuestionario de autoevaluación sobre el control del riesgo de LA/FT.</t>
  </si>
  <si>
    <t>Herramienta 1. Cuestionario de autoevaluación del riesgo operativo</t>
  </si>
  <si>
    <t xml:space="preserve">Numeración </t>
  </si>
  <si>
    <t xml:space="preserve">Afectación </t>
  </si>
  <si>
    <t>PROCESO (Lista desplegable)</t>
  </si>
  <si>
    <t xml:space="preserve">RIESGOS DE GESTIÓN </t>
  </si>
  <si>
    <t xml:space="preserve">CONOCIMIENTO Y ANALISIS DE LA ENTIDAD </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</si>
  <si>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</si>
  <si>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</si>
  <si>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</si>
  <si>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MISIÓN</t>
  </si>
  <si>
    <t>FACTORES DE RIESGO</t>
  </si>
  <si>
    <t>EJEMPLO:</t>
  </si>
  <si>
    <t>LISTAS (NO TOCAR)</t>
  </si>
  <si>
    <t xml:space="preserve">Listas de clasificación de riesgos </t>
  </si>
  <si>
    <t>Ejecución y administración de procesos</t>
  </si>
  <si>
    <t xml:space="preserve">Fraude externo </t>
  </si>
  <si>
    <t>Fraude interno</t>
  </si>
  <si>
    <t>Fallas tecnológicas</t>
  </si>
  <si>
    <t>Relaciones laborales</t>
  </si>
  <si>
    <t>Usuarios, productos y prácticas</t>
  </si>
  <si>
    <t>Daños a activos fijos/ eventos externos</t>
  </si>
  <si>
    <t>Clasificación del Riesgo 
(lista desplegable )</t>
  </si>
  <si>
    <t>Numero de veces que se realiza la actividad al año</t>
  </si>
  <si>
    <t>Criterios de impacto - Afectación economica (¿Cuantos SMLMV?)</t>
  </si>
  <si>
    <r>
      <t xml:space="preserve">Probabilidad Inherente </t>
    </r>
    <r>
      <rPr>
        <b/>
        <sz val="11"/>
        <color rgb="FFFF0000"/>
        <rFont val="Arial"/>
        <family val="2"/>
      </rPr>
      <t xml:space="preserve"> (No tocar)</t>
    </r>
  </si>
  <si>
    <r>
      <t xml:space="preserve">% </t>
    </r>
    <r>
      <rPr>
        <b/>
        <sz val="11"/>
        <color rgb="FFFF0000"/>
        <rFont val="Arial"/>
        <family val="2"/>
      </rPr>
      <t>(No tocar)</t>
    </r>
  </si>
  <si>
    <r>
      <t xml:space="preserve">Impacto 
Inherente  </t>
    </r>
    <r>
      <rPr>
        <b/>
        <sz val="11"/>
        <color rgb="FFFF0000"/>
        <rFont val="Arial"/>
        <family val="2"/>
      </rPr>
      <t>(No tocar)</t>
    </r>
  </si>
  <si>
    <r>
      <t xml:space="preserve">%  </t>
    </r>
    <r>
      <rPr>
        <b/>
        <sz val="11"/>
        <color rgb="FFFF0000"/>
        <rFont val="Arial"/>
        <family val="2"/>
      </rPr>
      <t>(No tocar)</t>
    </r>
  </si>
  <si>
    <r>
      <t xml:space="preserve">Zona de Riesgo Inherente  </t>
    </r>
    <r>
      <rPr>
        <b/>
        <sz val="11"/>
        <color rgb="FFFF0000"/>
        <rFont val="Arial"/>
        <family val="2"/>
      </rPr>
      <t>(No tocar)</t>
    </r>
  </si>
  <si>
    <r>
      <t xml:space="preserve">Probabilidad Residual Final </t>
    </r>
    <r>
      <rPr>
        <b/>
        <sz val="11"/>
        <color rgb="FFFF0000"/>
        <rFont val="Arial"/>
        <family val="2"/>
      </rPr>
      <t>(No tocar)</t>
    </r>
  </si>
  <si>
    <r>
      <t xml:space="preserve">Impacto Residual Final </t>
    </r>
    <r>
      <rPr>
        <b/>
        <sz val="11"/>
        <color rgb="FFFF0000"/>
        <rFont val="Arial"/>
        <family val="2"/>
      </rPr>
      <t>(No tocar)</t>
    </r>
  </si>
  <si>
    <r>
      <t xml:space="preserve">Calificación </t>
    </r>
    <r>
      <rPr>
        <b/>
        <sz val="11"/>
        <color rgb="FFFF0000"/>
        <rFont val="Arial"/>
        <family val="2"/>
      </rPr>
      <t>(No tocar)</t>
    </r>
  </si>
  <si>
    <r>
      <t>%</t>
    </r>
    <r>
      <rPr>
        <b/>
        <sz val="11"/>
        <color rgb="FFFF0000"/>
        <rFont val="Arial"/>
        <family val="2"/>
      </rPr>
      <t xml:space="preserve"> (No tocar)</t>
    </r>
  </si>
  <si>
    <r>
      <t xml:space="preserve">Zona de Riesgo Final </t>
    </r>
    <r>
      <rPr>
        <b/>
        <sz val="11"/>
        <color rgb="FFFF0000"/>
        <rFont val="Arial"/>
        <family val="2"/>
      </rPr>
      <t>(No tocar)</t>
    </r>
  </si>
  <si>
    <t>Tipo (Lista desplegable)</t>
  </si>
  <si>
    <t xml:space="preserve">Automatico </t>
  </si>
  <si>
    <t>Implementación (Lista desplegable)</t>
  </si>
  <si>
    <t xml:space="preserve">Documentado </t>
  </si>
  <si>
    <t>Sin documentar</t>
  </si>
  <si>
    <t>Frecuncia</t>
  </si>
  <si>
    <t xml:space="preserve">Evidencia </t>
  </si>
  <si>
    <t>Con registro</t>
  </si>
  <si>
    <t xml:space="preserve">Implementación </t>
  </si>
  <si>
    <t>Documentación  (Lista desplegable)</t>
  </si>
  <si>
    <t>Frecuencia  (Lista desplegable)</t>
  </si>
  <si>
    <t>Evidencia  (Lista desplegable)</t>
  </si>
  <si>
    <r>
      <t xml:space="preserve">Probabilidad Residual </t>
    </r>
    <r>
      <rPr>
        <b/>
        <sz val="11"/>
        <color rgb="FFFF0000"/>
        <rFont val="Arial"/>
        <family val="2"/>
      </rPr>
      <t>(No tocar)</t>
    </r>
  </si>
  <si>
    <r>
      <t xml:space="preserve">Afectación </t>
    </r>
    <r>
      <rPr>
        <b/>
        <sz val="11"/>
        <color rgb="FFFF0000"/>
        <rFont val="Arial"/>
        <family val="2"/>
      </rPr>
      <t>(No tocar)</t>
    </r>
  </si>
  <si>
    <t>Mitigar</t>
  </si>
  <si>
    <t>Transferir</t>
  </si>
  <si>
    <t>Fecha de finalización</t>
  </si>
  <si>
    <t>RIESGOS DE CORRUPCIÓN</t>
  </si>
  <si>
    <t>Identificación  del riesgo de corrupción</t>
  </si>
  <si>
    <t>Valoración del riesgo</t>
  </si>
  <si>
    <t xml:space="preserve">Valoración del riesgo </t>
  </si>
  <si>
    <t>¿Da lugar al detrimento de calidad de vida de la comunidad por la pérdida del bien, servicios o recursos públicos?</t>
  </si>
  <si>
    <t>SARLAF</t>
  </si>
  <si>
    <t xml:space="preserve">PORCENTAJE </t>
  </si>
  <si>
    <t>MUY BAJA</t>
  </si>
  <si>
    <t>BAJA</t>
  </si>
  <si>
    <t>MEDIA</t>
  </si>
  <si>
    <t>ALTA</t>
  </si>
  <si>
    <t>MUY ALTA</t>
  </si>
  <si>
    <t>LEVE</t>
  </si>
  <si>
    <t>MENOR</t>
  </si>
  <si>
    <t>MAYOR</t>
  </si>
  <si>
    <t>LISTAS PROBABILIDAD (NO TOCAR)</t>
  </si>
  <si>
    <t>LISTAS IMPACTO (NO TOCAR)</t>
  </si>
  <si>
    <t>CATASTRÓFICO</t>
  </si>
  <si>
    <t>Pérdida de la confidencialidad</t>
  </si>
  <si>
    <t>Pérdida de la disponibilidad</t>
  </si>
  <si>
    <t>Pérdida de la integridad</t>
  </si>
  <si>
    <t xml:space="preserve">Identificación del riesgo </t>
  </si>
  <si>
    <t>Activo (Lista desplegable)</t>
  </si>
  <si>
    <t>RIESGOS DE SEGURIDAD DE LA INFORMACIÓN</t>
  </si>
  <si>
    <t>Concecuencias</t>
  </si>
  <si>
    <t>Listas (No tocar)</t>
  </si>
  <si>
    <t>Descripción del riesgo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</si>
  <si>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</si>
  <si>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rFont val="Arial Narrow"/>
        <family val="2"/>
      </rPr>
      <t>Paso 2: identificación del riesgo</t>
    </r>
    <r>
      <rPr>
        <sz val="11"/>
        <rFont val="Arial Narrow"/>
        <family val="2"/>
      </rPr>
      <t xml:space="preserve">, donde se explica ampliamente las bases para adelanter este análisis.
Así mismo, considere en el </t>
    </r>
    <r>
      <rPr>
        <b/>
        <sz val="11"/>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</si>
  <si>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</si>
  <si>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</si>
  <si>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r>
      <t>La matriz automáticamente hará el cálculo, acorde con el control o controles definidos con sus atributos analizados, lo que permitirá establecer el</t>
    </r>
    <r>
      <rPr>
        <b/>
        <sz val="9"/>
        <rFont val="Arial Narrow"/>
        <family val="2"/>
      </rPr>
      <t xml:space="preserve"> nivel de riesgo inherente</t>
    </r>
    <r>
      <rPr>
        <sz val="9"/>
        <rFont val="Arial Narrow"/>
        <family val="2"/>
      </rPr>
      <t xml:space="preserve"> (Columnas Y- Z- AA -AB- AC).</t>
    </r>
  </si>
  <si>
    <t>¿Cómo?
R (RELEVANTE)</t>
  </si>
  <si>
    <t>¿Cuánto?
M (MEDIBLE)</t>
  </si>
  <si>
    <t>¿Qué?
S (ESPECIFICO)</t>
  </si>
  <si>
    <t>¿Para qué?
A (ALCANZABLE)</t>
  </si>
  <si>
    <t>¿Cuándo?
T (PROYECTADO EN EL TIEMPO)</t>
  </si>
  <si>
    <t>Causa Inmediata
(¿Cómo?)</t>
  </si>
  <si>
    <t>Causa Raíz
(¿Por qué?)</t>
  </si>
  <si>
    <t>DESCRIPCIÓN - CAUSAS</t>
  </si>
  <si>
    <t xml:space="preserve"> TIPO DE CAUSA: INMEDIATA O RAIZ</t>
  </si>
  <si>
    <t>INMEDIATA</t>
  </si>
  <si>
    <t>RAIZ</t>
  </si>
  <si>
    <t>Numero de veces que se realiza en promedio la actividad al año</t>
  </si>
  <si>
    <r>
      <t xml:space="preserve">Plan de Acción: </t>
    </r>
    <r>
      <rPr>
        <b/>
        <sz val="11"/>
        <color rgb="FFFF0000"/>
        <rFont val="Arial"/>
        <family val="2"/>
      </rPr>
      <t xml:space="preserve">¿Necesito un nuevo control ? o ¿Cómo mejoro el control existente? </t>
    </r>
  </si>
  <si>
    <t xml:space="preserve">Formula </t>
  </si>
  <si>
    <t xml:space="preserve">Indicadores clave de riesgo </t>
  </si>
  <si>
    <t>El riesgo afecta la imagen de la entidad internamente, de conocimiento general, nivel interno, de junta directiva y accionistas y/o de proveedores</t>
  </si>
  <si>
    <t xml:space="preserve">Corrupción </t>
  </si>
  <si>
    <t>No asignado</t>
  </si>
  <si>
    <t>Adecuado</t>
  </si>
  <si>
    <t>inadecuado</t>
  </si>
  <si>
    <t>Inoportuno</t>
  </si>
  <si>
    <t>No es un control</t>
  </si>
  <si>
    <t>No es confiable</t>
  </si>
  <si>
    <t xml:space="preserve">No se investigan y resuelven oportunamente  </t>
  </si>
  <si>
    <t>Incompleta</t>
  </si>
  <si>
    <t xml:space="preserve">No existe </t>
  </si>
  <si>
    <t xml:space="preserve">El tesorero de la entidad cada vez que se reporte por parte del proceso misional un ingreso por venta y/o aquiler de bienes o servicios revisa y corrobora que los ingresos estén abonados efectivamente en la cuenta de la entidad. En caso de no encontrar el respectivo ingreso, notifica al proceso misional que presta el servicio para que se gestione el abono de los recursos y se deja evidencia por medio de correo electrónico u Orfeo. </t>
  </si>
  <si>
    <t>Falta de comunicación con el área financiera por medios oficiales (correo electrónico, ORFEO) solicitando su concepto para realizar el recibo de recursos externos por diferentes canales de pago.</t>
  </si>
  <si>
    <t>Investigaciones y sanciones
Detrimento patrimonial</t>
  </si>
  <si>
    <t>Tesorero</t>
  </si>
  <si>
    <t>total</t>
  </si>
  <si>
    <t>(No tocar)</t>
  </si>
  <si>
    <t xml:space="preserve">Perdida de recursos por falencias en el trámite de recaudo </t>
  </si>
  <si>
    <t>Por falencias en el trámite de recaudo proveniente de la venta y/o alquiler de bienes y servicios</t>
  </si>
  <si>
    <t>En la venta y/o alquiler de bienes y servicios</t>
  </si>
  <si>
    <t>La falta de comunicación con el área financiera por medios oficiales (correo electrónico, ORFEO) solicitando su concepto para realizar el recibo de recursos externos por diferentes canales de pago, puede ocasionar  perdida de recursos por falencias en el trámite de recaudo proveniente de la venta y/o alquiler de bienes y servicios repercutiendo en investigaciones, sanciones y detrimento patrimonial.</t>
  </si>
  <si>
    <t xml:space="preserve">Sanciones por entes de control </t>
  </si>
  <si>
    <t>Probable perdida de recursos por falencias en el trámite de recaudo proveniente de la venta y/o alquiler de bienes y servicios para beneficio de un particular o tercero</t>
  </si>
  <si>
    <t>de manera eficaz, transparente y oportuna</t>
  </si>
  <si>
    <t>para la toma de decisiones en cumplimiento de su misión</t>
  </si>
  <si>
    <t>Tecnología</t>
  </si>
  <si>
    <t>Caída de aplicaciones como SAP</t>
  </si>
  <si>
    <t>Errores externos que afectan al proceso en la gestión de sus actividades</t>
  </si>
  <si>
    <t>Daño de equipos</t>
  </si>
  <si>
    <t xml:space="preserve">Equipos lentos para la gestión diaria </t>
  </si>
  <si>
    <t xml:space="preserve">Recursos insuficientes para compra y mantenimiento de nuevos equipos </t>
  </si>
  <si>
    <t>Falta de oportunidad y precisión de solicitudes que atrasan o reprocesan las actividades del proceso</t>
  </si>
  <si>
    <t>Incumplimiento de procedimientos por parte de otras áreas</t>
  </si>
  <si>
    <t>Perdida de información financiera por daños en los servidores de la entidad</t>
  </si>
  <si>
    <t xml:space="preserve">mantenimiento insuficiente de equipos  </t>
  </si>
  <si>
    <t>Informes de cierre presupuestal de la vigencia (A 31 de diciembre)</t>
  </si>
  <si>
    <t>Cargue de ingresos en el sistema SAP BogData de la SHD</t>
  </si>
  <si>
    <t>ejecuciones presupuestales</t>
  </si>
  <si>
    <t xml:space="preserve">Informe SIVICOF </t>
  </si>
  <si>
    <t>Informes de ejecución presupuestal a través del Consolidador de Hacienda e Información Pública CHIP</t>
  </si>
  <si>
    <t>Información de Gestión Contractual - Rendición de cuentas</t>
  </si>
  <si>
    <t xml:space="preserve">RELACIÓN DE INVERSIONES EN TÍTULOS VALORES Y CUENTAS BANCARIAS </t>
  </si>
  <si>
    <t>INFORME RECURSOS LEP E INTERESES</t>
  </si>
  <si>
    <t>RETENCIONES DIAN</t>
  </si>
  <si>
    <t>IMPUESTOS ESTAMPILLAS DISTRITALES</t>
  </si>
  <si>
    <t>IMPUESTOS IVA</t>
  </si>
  <si>
    <t>RETE ICA DISTRITALES</t>
  </si>
  <si>
    <t>INGRESOS Y PATRIMONIO</t>
  </si>
  <si>
    <t>EXOGENA NACIONAL</t>
  </si>
  <si>
    <t>EXOGENA DISTRITAL</t>
  </si>
  <si>
    <t>EXOGENA ESTAMPILLAS</t>
  </si>
  <si>
    <t>INFORMACION CONTABLE CHIP</t>
  </si>
  <si>
    <t>ESTADOS DE SITUACIÓN FINANCIERA Y DE RESULTADOS</t>
  </si>
  <si>
    <t>INFORME SIPROJ</t>
  </si>
  <si>
    <t>Obligaciones Contingentes en contratos Administrativos</t>
  </si>
  <si>
    <t>Afectación económica</t>
  </si>
  <si>
    <t>La no presentación o presentación extemporánea de la información financiera</t>
  </si>
  <si>
    <t>Posibilidad de afectación económica por sanciones de ente de control debido a la no presentación o presentación extemporánea de la información financiera</t>
  </si>
  <si>
    <t xml:space="preserve">El profesional Universitario de Contabilidad mensualmente y antes de los primeros 10 días del mes revisa con el Tesorero, el contador y el auxiliar de tesorería, la información registrada contablemente, que coincidan con la información de BogData y con los pagos realizados correspondientes a recursos administrados,  se genera la conciliación correspondiente (se hacen ajustes en caso de ser necesario) y dejan evidencia en el formato de conciliación de impuestos GF-FT-09, como evidencia del control se deja un acta de reunión que es firmada por Orfeo.   
</t>
  </si>
  <si>
    <t xml:space="preserve">Automático </t>
  </si>
  <si>
    <t>Impacto: Afectación económica o reputacional
(¿Qué?)</t>
  </si>
  <si>
    <t xml:space="preserve">Criterios de impacto - Afectación económica-¿Cuantos SMLMV?- o reputacional </t>
  </si>
  <si>
    <t>Administrar las operaciones financieras y económicas de la FUGA</t>
  </si>
  <si>
    <t>durante la ejecución del plan de desarrollo</t>
  </si>
  <si>
    <t>cumpliendo con el 100% de las solicitudes internas de acuerdo a los procedimientos establecidos</t>
  </si>
  <si>
    <t>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t>
  </si>
  <si>
    <t>(Promedio de días en que se presentaron los informes /Promedio de días de vencimiento de los informes)</t>
  </si>
  <si>
    <t xml:space="preserve">Promedio de días en la presentación de informes financieros </t>
  </si>
  <si>
    <t xml:space="preserve">Token de pagos </t>
  </si>
  <si>
    <t xml:space="preserve">Posibilidad de perdida economica por multas  debido a la perdida o vencimiento del token que generaria la no presentación a tiempo de obligaciones por parte de la entidad.   </t>
  </si>
  <si>
    <t>Hardware</t>
  </si>
  <si>
    <t>Hurto del token 
Perdida</t>
  </si>
  <si>
    <t xml:space="preserve">Por perdida o robo </t>
  </si>
  <si>
    <t xml:space="preserve">Multas </t>
  </si>
  <si>
    <t>El tesorero revisa y aplica la guía de seguridad para la tesorería de la FUGA en caso de perdida o robo del token, por lo menos dos veces al año se presentará  un informe ejecutivo que de cuenta de la ejecución de los criterios descritos en la guía con sus respectivas evidencias, el cual será socializado en el Comité de Seguimiento y Control Financiero o Comité de Inversiones.</t>
  </si>
  <si>
    <t>Manipulación de información por externos</t>
  </si>
  <si>
    <t>El profesional Especializado de Presupuesto junto con el profesional de apoyo de  presupuesto, mensualmente y antes de los primeros 7 días hábiles del mes, verifican que la información de ejecuciones presupuestales a reportar a entes de control coincida con la información reportada en BogData, a si mismo trimestralmente y en los primeros 15 días del mes correspondiente verifican que la información de la categoría única de la información del presupuesto Ordinario - CUIPO en el sistema CHIP a reportar a la Contraloría General de la Nación coincida con la información reportada en BogData, en caso de encontrar diferencias en los valores reportados se debe realizar el análisis de las cifras para establecer a qué corresponde la desviación encontrada y realizar  los ajustes en el informe correspondiente y en CHIP. Posteriormente las ejecuciones presupuestales se envían firmadas por el profesional de presupuesto en Orfeo a la subdirectora Corporativa y los pantallazos del cargue exitoso del CUIPO en CHIP se envían a la subdirección corporativa por correo electrónico.</t>
  </si>
  <si>
    <t>Realizar seguimiento por parte del profesional administrativo de la Subdirecion Corporativa en la revisión de cronograma de informes y reportes GF-FT-13,  el cual regira apartir del segundo trimestre del 2023, como evidencia se dejan las observaciones por medio de correo electronico.</t>
  </si>
  <si>
    <t>Profesional Especializada de Contabilidad - Profesional Especializada de Presupuesto - Tesorera - profesional administrativo de la Subdirecion Corporativa</t>
  </si>
  <si>
    <t>Estandarizar en el SIG la guía de seguridad para la tesorería de la FUGA</t>
  </si>
  <si>
    <t>No aplica por que la causa se elimina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</si>
</sst>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9"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4"/>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Calibri"/>
      <family val="2"/>
      <scheme val="minor"/>
    </font>
    <font>
      <b/>
      <sz val="12"/>
      <name val="Calibri"/>
      <family val="2"/>
      <scheme val="minor"/>
    </font>
    <font>
      <b/>
      <sz val="9"/>
      <color indexed="81"/>
      <name val="Tahoma"/>
      <family val="2"/>
    </font>
    <font>
      <sz val="9"/>
      <color indexed="81"/>
      <name val="Tahoma"/>
      <family val="2"/>
    </font>
    <font>
      <b/>
      <sz val="11"/>
      <color theme="1"/>
      <name val="Calibri"/>
      <family val="2"/>
      <scheme val="minor"/>
    </font>
    <font>
      <b/>
      <sz val="10"/>
      <name val="Arial"/>
      <family val="2"/>
    </font>
    <font>
      <b/>
      <sz val="10"/>
      <color theme="1"/>
      <name val="Calibri"/>
      <family val="2"/>
      <scheme val="minor"/>
    </font>
    <font>
      <b/>
      <sz val="16"/>
      <color theme="1"/>
      <name val="Calibri"/>
      <family val="2"/>
      <scheme val="minor"/>
    </font>
    <font>
      <sz val="18"/>
      <color theme="1"/>
      <name val="Calibri"/>
      <family val="2"/>
      <scheme val="minor"/>
    </font>
    <font>
      <b/>
      <sz val="16"/>
      <color rgb="FF000000"/>
      <name val="Calibri"/>
      <family val="2"/>
    </font>
    <font>
      <b/>
      <sz val="14"/>
      <color rgb="FF000000"/>
      <name val="Calibri"/>
      <family val="2"/>
    </font>
    <font>
      <sz val="14"/>
      <color theme="1"/>
      <name val="Calibri"/>
      <family val="2"/>
      <scheme val="minor"/>
    </font>
    <font>
      <sz val="22"/>
      <color theme="1"/>
      <name val="Calibri"/>
      <family val="2"/>
      <scheme val="minor"/>
    </font>
    <font>
      <b/>
      <sz val="14"/>
      <color theme="1"/>
      <name val="Calibri"/>
      <family val="2"/>
      <scheme val="minor"/>
    </font>
    <font>
      <b/>
      <sz val="11"/>
      <color rgb="FFFF0000"/>
      <name val="Calibri"/>
      <family val="2"/>
      <scheme val="minor"/>
    </font>
    <font>
      <b/>
      <sz val="12"/>
      <color theme="1"/>
      <name val="Arial"/>
      <family val="2"/>
    </font>
    <font>
      <b/>
      <sz val="14"/>
      <color theme="1"/>
      <name val="Arial"/>
      <family val="2"/>
    </font>
    <font>
      <sz val="11"/>
      <color theme="1"/>
      <name val="Arial"/>
      <family val="2"/>
    </font>
    <font>
      <b/>
      <sz val="22"/>
      <color theme="1"/>
      <name val="Arial"/>
      <family val="2"/>
    </font>
    <font>
      <b/>
      <sz val="18"/>
      <color theme="1"/>
      <name val="Arial"/>
      <family val="2"/>
    </font>
    <font>
      <sz val="14"/>
      <color theme="1"/>
      <name val="Arial"/>
      <family val="2"/>
    </font>
    <font>
      <b/>
      <sz val="11"/>
      <color theme="1"/>
      <name val="Arial"/>
      <family val="2"/>
    </font>
    <font>
      <sz val="11"/>
      <name val="Arial"/>
      <family val="2"/>
    </font>
    <font>
      <sz val="10"/>
      <color theme="1"/>
      <name val="Arial"/>
      <family val="2"/>
    </font>
    <font>
      <b/>
      <sz val="11"/>
      <color rgb="FFFF0000"/>
      <name val="Arial"/>
      <family val="2"/>
    </font>
    <font>
      <sz val="16"/>
      <name val="Calibri"/>
      <family val="2"/>
      <scheme val="minor"/>
    </font>
    <font>
      <sz val="14"/>
      <name val="Calibri"/>
      <family val="2"/>
      <scheme val="minor"/>
    </font>
    <font>
      <sz val="11"/>
      <color theme="5" tint="-0.249977111117893"/>
      <name val="Arial"/>
      <family val="2"/>
    </font>
    <font>
      <sz val="11"/>
      <color rgb="FFFF0000"/>
      <name val="Arial"/>
      <family val="2"/>
    </font>
    <font>
      <sz val="11"/>
      <color theme="1"/>
      <name val="Calibri"/>
      <family val="2"/>
    </font>
    <font>
      <b/>
      <sz val="11"/>
      <name val="Arial"/>
      <family val="2"/>
    </font>
    <font>
      <b/>
      <sz val="10"/>
      <color theme="1"/>
      <name val="Arial"/>
      <family val="2"/>
    </font>
  </fonts>
  <fills count="29">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6"/>
        <bgColor indexed="64"/>
      </patternFill>
    </fill>
  </fills>
  <borders count="106">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right/>
      <top style="dashed">
        <color theme="9" tint="-0.24994659260841701"/>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0">
    <xf numFmtId="0" fontId="0" fillId="0" borderId="0"/>
    <xf numFmtId="9" fontId="15" fillId="0" borderId="0" applyFont="0" applyFill="0" applyBorder="0" applyAlignment="0" applyProtection="0"/>
    <xf numFmtId="0" fontId="48" fillId="0" borderId="0"/>
    <xf numFmtId="0" fontId="49" fillId="0" borderId="0"/>
    <xf numFmtId="0" fontId="5" fillId="0" borderId="0"/>
    <xf numFmtId="0" fontId="15" fillId="0" borderId="0"/>
    <xf numFmtId="0" fontId="74" fillId="0" borderId="0"/>
    <xf numFmtId="9" fontId="15" fillId="0" borderId="0" applyFont="0" applyFill="0" applyBorder="0" applyAlignment="0" applyProtection="0"/>
    <xf numFmtId="0" fontId="48" fillId="0" borderId="0"/>
    <xf numFmtId="0" fontId="5" fillId="0" borderId="0"/>
  </cellStyleXfs>
  <cellXfs count="1233">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vertical="center"/>
    </xf>
    <xf numFmtId="0" fontId="4" fillId="2" borderId="0" xfId="0" applyFont="1" applyFill="1" applyAlignment="1">
      <alignment horizontal="center" vertical="center"/>
    </xf>
    <xf numFmtId="0" fontId="1" fillId="0" borderId="0" xfId="0" applyFont="1" applyAlignment="1">
      <alignment horizontal="center"/>
    </xf>
    <xf numFmtId="0" fontId="1" fillId="0" borderId="2" xfId="0" applyFont="1" applyBorder="1" applyAlignment="1">
      <alignment horizontal="center" vertical="center"/>
    </xf>
    <xf numFmtId="0" fontId="4" fillId="2" borderId="2" xfId="0" applyFont="1" applyFill="1" applyBorder="1" applyAlignment="1">
      <alignment horizontal="center" vertical="center" textRotation="90"/>
    </xf>
    <xf numFmtId="0" fontId="1" fillId="3" borderId="0" xfId="0" applyFont="1" applyFill="1"/>
    <xf numFmtId="0" fontId="5" fillId="0" borderId="0" xfId="0" applyFont="1"/>
    <xf numFmtId="0" fontId="3" fillId="0" borderId="1" xfId="0" applyFont="1" applyBorder="1" applyAlignment="1">
      <alignment horizontal="left" vertical="center" wrapText="1" indent="1" readingOrder="1"/>
    </xf>
    <xf numFmtId="0" fontId="9" fillId="0" borderId="0" xfId="0" applyFont="1" applyAlignment="1">
      <alignment horizontal="center" vertical="center" wrapText="1"/>
    </xf>
    <xf numFmtId="0" fontId="10" fillId="6" borderId="0" xfId="0" applyFont="1" applyFill="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0" borderId="11" xfId="0" applyFont="1" applyBorder="1" applyAlignment="1">
      <alignment horizontal="justify" vertical="center" wrapText="1" readingOrder="1"/>
    </xf>
    <xf numFmtId="9" fontId="11" fillId="0" borderId="11" xfId="0" applyNumberFormat="1" applyFont="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0" borderId="1" xfId="0" applyFont="1" applyBorder="1" applyAlignment="1">
      <alignment horizontal="justify" vertical="center" wrapText="1" readingOrder="1"/>
    </xf>
    <xf numFmtId="9" fontId="11" fillId="0" borderId="1" xfId="0" applyNumberFormat="1" applyFont="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8" borderId="1" xfId="0" applyFont="1" applyFill="1" applyBorder="1" applyAlignment="1">
      <alignment horizontal="center" vertical="center" wrapText="1" readingOrder="1"/>
    </xf>
    <xf numFmtId="0" fontId="12" fillId="9" borderId="1" xfId="0" applyFont="1" applyFill="1" applyBorder="1" applyAlignment="1">
      <alignment horizontal="center" vertical="center" wrapText="1" readingOrder="1"/>
    </xf>
    <xf numFmtId="0" fontId="16" fillId="0" borderId="0" xfId="0" applyFont="1"/>
    <xf numFmtId="0" fontId="14" fillId="0" borderId="0" xfId="0" applyFont="1"/>
    <xf numFmtId="0" fontId="4" fillId="0" borderId="0" xfId="0" applyFont="1" applyAlignment="1">
      <alignment horizontal="left" vertical="center"/>
    </xf>
    <xf numFmtId="0" fontId="4"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horizontal="left" vertical="center"/>
    </xf>
    <xf numFmtId="0" fontId="29" fillId="0" borderId="0" xfId="0" applyFont="1" applyAlignment="1">
      <alignment vertical="center"/>
    </xf>
    <xf numFmtId="0" fontId="30" fillId="0" borderId="0" xfId="0" applyFont="1"/>
    <xf numFmtId="0" fontId="28" fillId="0" borderId="0" xfId="0" applyFont="1"/>
    <xf numFmtId="0" fontId="0" fillId="0" borderId="0" xfId="0" pivotButton="1"/>
    <xf numFmtId="0" fontId="13" fillId="0" borderId="0" xfId="0" applyFont="1" applyAlignment="1">
      <alignment horizontal="justify" vertical="center" wrapText="1" readingOrder="1"/>
    </xf>
    <xf numFmtId="0" fontId="31" fillId="0" borderId="0" xfId="0" applyFont="1"/>
    <xf numFmtId="0" fontId="33" fillId="6" borderId="0" xfId="0" applyFont="1" applyFill="1" applyAlignment="1">
      <alignment horizontal="center" vertical="center" wrapText="1" readingOrder="1"/>
    </xf>
    <xf numFmtId="0" fontId="34" fillId="0" borderId="11" xfId="0" applyFont="1" applyBorder="1" applyAlignment="1">
      <alignment horizontal="justify" vertical="center" wrapText="1" readingOrder="1"/>
    </xf>
    <xf numFmtId="0" fontId="34" fillId="0" borderId="1" xfId="0" applyFont="1" applyBorder="1" applyAlignment="1">
      <alignment horizontal="justify" vertical="center" wrapText="1" readingOrder="1"/>
    </xf>
    <xf numFmtId="0" fontId="34" fillId="5" borderId="11" xfId="0" applyFont="1" applyFill="1" applyBorder="1" applyAlignment="1">
      <alignment horizontal="center" vertical="center" wrapText="1" readingOrder="1"/>
    </xf>
    <xf numFmtId="0" fontId="34" fillId="7" borderId="1"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34" fillId="8" borderId="1" xfId="0" applyFont="1" applyFill="1" applyBorder="1" applyAlignment="1">
      <alignment horizontal="center" vertical="center" wrapText="1" readingOrder="1"/>
    </xf>
    <xf numFmtId="0" fontId="35" fillId="9" borderId="1" xfId="0" applyFont="1" applyFill="1" applyBorder="1" applyAlignment="1">
      <alignment horizontal="center" vertical="center" wrapText="1" readingOrder="1"/>
    </xf>
    <xf numFmtId="0" fontId="34" fillId="0" borderId="11" xfId="0" applyFont="1" applyBorder="1" applyAlignment="1">
      <alignment horizontal="center" vertical="center" wrapText="1" readingOrder="1"/>
    </xf>
    <xf numFmtId="0" fontId="34" fillId="0" borderId="1" xfId="0" applyFont="1" applyBorder="1" applyAlignment="1">
      <alignment horizontal="center" vertical="center" wrapText="1" readingOrder="1"/>
    </xf>
    <xf numFmtId="0" fontId="20" fillId="11" borderId="12" xfId="0" applyFont="1" applyFill="1" applyBorder="1" applyAlignment="1" applyProtection="1">
      <alignment horizontal="center" vertical="center" wrapText="1" readingOrder="1"/>
      <protection hidden="1"/>
    </xf>
    <xf numFmtId="0" fontId="20" fillId="11" borderId="19" xfId="0" applyFont="1" applyFill="1" applyBorder="1" applyAlignment="1" applyProtection="1">
      <alignment horizontal="center" vertical="center" wrapText="1" readingOrder="1"/>
      <protection hidden="1"/>
    </xf>
    <xf numFmtId="0" fontId="20" fillId="11" borderId="13" xfId="0" applyFont="1" applyFill="1" applyBorder="1" applyAlignment="1" applyProtection="1">
      <alignment horizontal="center" vertical="center" wrapText="1" readingOrder="1"/>
      <protection hidden="1"/>
    </xf>
    <xf numFmtId="0" fontId="20" fillId="12" borderId="12" xfId="0" applyFont="1" applyFill="1" applyBorder="1" applyAlignment="1" applyProtection="1">
      <alignment horizontal="center" wrapText="1" readingOrder="1"/>
      <protection hidden="1"/>
    </xf>
    <xf numFmtId="0" fontId="20" fillId="12" borderId="19" xfId="0" applyFont="1" applyFill="1" applyBorder="1" applyAlignment="1" applyProtection="1">
      <alignment horizontal="center" wrapText="1" readingOrder="1"/>
      <protection hidden="1"/>
    </xf>
    <xf numFmtId="0" fontId="20" fillId="12" borderId="13" xfId="0" applyFont="1" applyFill="1" applyBorder="1" applyAlignment="1" applyProtection="1">
      <alignment horizontal="center" wrapText="1" readingOrder="1"/>
      <protection hidden="1"/>
    </xf>
    <xf numFmtId="0" fontId="20" fillId="11" borderId="14"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15" xfId="0" applyFont="1" applyFill="1" applyBorder="1" applyAlignment="1" applyProtection="1">
      <alignment horizontal="center" vertical="center" wrapText="1" readingOrder="1"/>
      <protection hidden="1"/>
    </xf>
    <xf numFmtId="0" fontId="20" fillId="12" borderId="14"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15" xfId="0" applyFont="1" applyFill="1" applyBorder="1" applyAlignment="1" applyProtection="1">
      <alignment horizontal="center" wrapText="1" readingOrder="1"/>
      <protection hidden="1"/>
    </xf>
    <xf numFmtId="0" fontId="20" fillId="11" borderId="16" xfId="0" applyFont="1" applyFill="1" applyBorder="1" applyAlignment="1" applyProtection="1">
      <alignment horizontal="center" vertical="center" wrapText="1" readingOrder="1"/>
      <protection hidden="1"/>
    </xf>
    <xf numFmtId="0" fontId="20" fillId="11" borderId="18" xfId="0" applyFont="1" applyFill="1" applyBorder="1" applyAlignment="1" applyProtection="1">
      <alignment horizontal="center" vertical="center" wrapText="1" readingOrder="1"/>
      <protection hidden="1"/>
    </xf>
    <xf numFmtId="0" fontId="20" fillId="11" borderId="17" xfId="0" applyFont="1" applyFill="1" applyBorder="1" applyAlignment="1" applyProtection="1">
      <alignment horizontal="center" vertical="center" wrapText="1" readingOrder="1"/>
      <protection hidden="1"/>
    </xf>
    <xf numFmtId="0" fontId="20" fillId="12" borderId="16" xfId="0" applyFont="1" applyFill="1" applyBorder="1" applyAlignment="1" applyProtection="1">
      <alignment horizontal="center" wrapText="1" readingOrder="1"/>
      <protection hidden="1"/>
    </xf>
    <xf numFmtId="0" fontId="20" fillId="12" borderId="18" xfId="0" applyFont="1" applyFill="1" applyBorder="1" applyAlignment="1" applyProtection="1">
      <alignment horizontal="center" wrapText="1" readingOrder="1"/>
      <protection hidden="1"/>
    </xf>
    <xf numFmtId="0" fontId="20" fillId="12" borderId="17" xfId="0" applyFont="1" applyFill="1" applyBorder="1" applyAlignment="1" applyProtection="1">
      <alignment horizontal="center" wrapText="1" readingOrder="1"/>
      <protection hidden="1"/>
    </xf>
    <xf numFmtId="0" fontId="20" fillId="13" borderId="12" xfId="0" applyFont="1" applyFill="1" applyBorder="1" applyAlignment="1" applyProtection="1">
      <alignment horizontal="center" wrapText="1" readingOrder="1"/>
      <protection hidden="1"/>
    </xf>
    <xf numFmtId="0" fontId="20" fillId="13" borderId="19" xfId="0" applyFont="1" applyFill="1" applyBorder="1" applyAlignment="1" applyProtection="1">
      <alignment horizontal="center" wrapText="1" readingOrder="1"/>
      <protection hidden="1"/>
    </xf>
    <xf numFmtId="0" fontId="20" fillId="13" borderId="13" xfId="0" applyFont="1" applyFill="1" applyBorder="1" applyAlignment="1" applyProtection="1">
      <alignment horizontal="center" wrapText="1" readingOrder="1"/>
      <protection hidden="1"/>
    </xf>
    <xf numFmtId="0" fontId="20" fillId="13" borderId="14"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15" xfId="0" applyFont="1" applyFill="1" applyBorder="1" applyAlignment="1" applyProtection="1">
      <alignment horizontal="center" wrapText="1" readingOrder="1"/>
      <protection hidden="1"/>
    </xf>
    <xf numFmtId="0" fontId="20" fillId="13" borderId="16" xfId="0" applyFont="1" applyFill="1" applyBorder="1" applyAlignment="1" applyProtection="1">
      <alignment horizontal="center" wrapText="1" readingOrder="1"/>
      <protection hidden="1"/>
    </xf>
    <xf numFmtId="0" fontId="20" fillId="13" borderId="18" xfId="0" applyFont="1" applyFill="1" applyBorder="1" applyAlignment="1" applyProtection="1">
      <alignment horizontal="center" wrapText="1" readingOrder="1"/>
      <protection hidden="1"/>
    </xf>
    <xf numFmtId="0" fontId="20" fillId="13" borderId="17" xfId="0" applyFont="1" applyFill="1" applyBorder="1" applyAlignment="1" applyProtection="1">
      <alignment horizontal="center" wrapText="1" readingOrder="1"/>
      <protection hidden="1"/>
    </xf>
    <xf numFmtId="0" fontId="20" fillId="5" borderId="12" xfId="0" applyFont="1" applyFill="1" applyBorder="1" applyAlignment="1" applyProtection="1">
      <alignment horizontal="center" wrapText="1" readingOrder="1"/>
      <protection hidden="1"/>
    </xf>
    <xf numFmtId="0" fontId="20" fillId="5" borderId="19" xfId="0" applyFont="1" applyFill="1" applyBorder="1" applyAlignment="1" applyProtection="1">
      <alignment horizontal="center" wrapText="1" readingOrder="1"/>
      <protection hidden="1"/>
    </xf>
    <xf numFmtId="0" fontId="20" fillId="5" borderId="13" xfId="0" applyFont="1" applyFill="1" applyBorder="1" applyAlignment="1" applyProtection="1">
      <alignment horizontal="center" wrapText="1" readingOrder="1"/>
      <protection hidden="1"/>
    </xf>
    <xf numFmtId="0" fontId="20" fillId="5" borderId="14"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15" xfId="0" applyFont="1" applyFill="1" applyBorder="1" applyAlignment="1" applyProtection="1">
      <alignment horizontal="center" wrapText="1" readingOrder="1"/>
      <protection hidden="1"/>
    </xf>
    <xf numFmtId="0" fontId="20" fillId="5" borderId="16" xfId="0" applyFont="1" applyFill="1" applyBorder="1" applyAlignment="1" applyProtection="1">
      <alignment horizontal="center" wrapText="1" readingOrder="1"/>
      <protection hidden="1"/>
    </xf>
    <xf numFmtId="0" fontId="20" fillId="5" borderId="18" xfId="0" applyFont="1" applyFill="1" applyBorder="1" applyAlignment="1" applyProtection="1">
      <alignment horizontal="center" wrapText="1" readingOrder="1"/>
      <protection hidden="1"/>
    </xf>
    <xf numFmtId="0" fontId="20" fillId="5" borderId="17" xfId="0" applyFont="1" applyFill="1" applyBorder="1" applyAlignment="1" applyProtection="1">
      <alignment horizontal="center" wrapText="1" readingOrder="1"/>
      <protection hidden="1"/>
    </xf>
    <xf numFmtId="0" fontId="24" fillId="13" borderId="19" xfId="0" applyFont="1" applyFill="1" applyBorder="1" applyAlignment="1" applyProtection="1">
      <alignment horizontal="center" wrapText="1" readingOrder="1"/>
      <protection hidden="1"/>
    </xf>
    <xf numFmtId="0" fontId="0" fillId="3" borderId="0" xfId="0" applyFill="1"/>
    <xf numFmtId="0" fontId="50" fillId="3" borderId="51" xfId="2" applyFont="1" applyFill="1" applyBorder="1"/>
    <xf numFmtId="0" fontId="50" fillId="3" borderId="52" xfId="2" applyFont="1" applyFill="1" applyBorder="1"/>
    <xf numFmtId="0" fontId="50" fillId="3" borderId="53" xfId="2" applyFont="1" applyFill="1" applyBorder="1"/>
    <xf numFmtId="0" fontId="17" fillId="3" borderId="0" xfId="0" applyFont="1" applyFill="1" applyAlignment="1">
      <alignment vertical="center"/>
    </xf>
    <xf numFmtId="0" fontId="5" fillId="3" borderId="0" xfId="0" applyFont="1" applyFill="1"/>
    <xf numFmtId="0" fontId="37" fillId="3" borderId="0" xfId="0" applyFont="1" applyFill="1"/>
    <xf numFmtId="0" fontId="38" fillId="3" borderId="34" xfId="0" applyFont="1" applyFill="1" applyBorder="1" applyAlignment="1">
      <alignment horizontal="center" vertical="center" wrapText="1" readingOrder="1"/>
    </xf>
    <xf numFmtId="0" fontId="39" fillId="3" borderId="34" xfId="0" applyFont="1" applyFill="1" applyBorder="1" applyAlignment="1">
      <alignment horizontal="justify" vertical="center" wrapText="1" readingOrder="1"/>
    </xf>
    <xf numFmtId="9" fontId="38" fillId="3" borderId="43" xfId="0" applyNumberFormat="1"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9" fillId="3" borderId="33" xfId="0" applyFont="1" applyFill="1" applyBorder="1" applyAlignment="1">
      <alignment horizontal="justify" vertical="center" wrapText="1" readingOrder="1"/>
    </xf>
    <xf numFmtId="9" fontId="38" fillId="3" borderId="38" xfId="0" applyNumberFormat="1" applyFont="1" applyFill="1" applyBorder="1" applyAlignment="1">
      <alignment horizontal="center" vertical="center" wrapText="1" readingOrder="1"/>
    </xf>
    <xf numFmtId="0" fontId="39" fillId="3" borderId="38"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39" fillId="3" borderId="40" xfId="0" applyFont="1" applyFill="1" applyBorder="1" applyAlignment="1">
      <alignment horizontal="justify" vertical="center" wrapText="1" readingOrder="1"/>
    </xf>
    <xf numFmtId="0" fontId="39" fillId="3" borderId="41" xfId="0" applyFont="1" applyFill="1" applyBorder="1" applyAlignment="1">
      <alignment horizontal="center" vertical="center" wrapText="1" readingOrder="1"/>
    </xf>
    <xf numFmtId="0" fontId="47" fillId="3" borderId="0" xfId="0" applyFont="1" applyFill="1"/>
    <xf numFmtId="0" fontId="38" fillId="15" borderId="45" xfId="0" applyFont="1" applyFill="1" applyBorder="1" applyAlignment="1">
      <alignment horizontal="center" vertical="center" wrapText="1" readingOrder="1"/>
    </xf>
    <xf numFmtId="0" fontId="38" fillId="15" borderId="46" xfId="0" applyFont="1" applyFill="1" applyBorder="1" applyAlignment="1">
      <alignment horizontal="center" vertical="center" wrapText="1" readingOrder="1"/>
    </xf>
    <xf numFmtId="0" fontId="14" fillId="3" borderId="0" xfId="0" applyFont="1" applyFill="1"/>
    <xf numFmtId="0" fontId="32" fillId="3" borderId="0" xfId="0" applyFont="1" applyFill="1" applyAlignment="1">
      <alignment horizontal="center" vertical="center" wrapText="1"/>
    </xf>
    <xf numFmtId="0" fontId="13" fillId="3" borderId="0" xfId="0" applyFont="1" applyFill="1" applyAlignment="1">
      <alignment horizontal="justify" vertical="center" wrapText="1" readingOrder="1"/>
    </xf>
    <xf numFmtId="0" fontId="4" fillId="3" borderId="0" xfId="0" applyFont="1" applyFill="1" applyAlignment="1">
      <alignment vertical="center"/>
    </xf>
    <xf numFmtId="0" fontId="16" fillId="3" borderId="0" xfId="0" applyFont="1" applyFill="1"/>
    <xf numFmtId="0" fontId="4" fillId="3" borderId="0" xfId="0" applyFont="1" applyFill="1" applyAlignment="1">
      <alignment horizontal="left" vertical="center"/>
    </xf>
    <xf numFmtId="0" fontId="50" fillId="3" borderId="14" xfId="2" applyFont="1" applyFill="1" applyBorder="1"/>
    <xf numFmtId="0" fontId="55" fillId="3" borderId="0" xfId="0" applyFont="1" applyFill="1" applyAlignment="1">
      <alignment horizontal="left" vertical="center" wrapText="1"/>
    </xf>
    <xf numFmtId="0" fontId="56" fillId="3" borderId="0" xfId="0" applyFont="1" applyFill="1" applyAlignment="1">
      <alignment horizontal="left" vertical="top" wrapText="1"/>
    </xf>
    <xf numFmtId="0" fontId="50" fillId="3" borderId="0" xfId="2" applyFont="1" applyFill="1"/>
    <xf numFmtId="0" fontId="50" fillId="3" borderId="15" xfId="2" applyFont="1" applyFill="1" applyBorder="1"/>
    <xf numFmtId="0" fontId="50" fillId="3" borderId="16" xfId="2" applyFont="1" applyFill="1" applyBorder="1"/>
    <xf numFmtId="0" fontId="50" fillId="3" borderId="18" xfId="2" applyFont="1" applyFill="1" applyBorder="1"/>
    <xf numFmtId="0" fontId="50" fillId="3" borderId="17" xfId="2" applyFont="1" applyFill="1" applyBorder="1"/>
    <xf numFmtId="0" fontId="54" fillId="3" borderId="0" xfId="2" applyFont="1" applyFill="1" applyAlignment="1">
      <alignment horizontal="left" vertical="center" wrapText="1"/>
    </xf>
    <xf numFmtId="0" fontId="50" fillId="3" borderId="0" xfId="2" applyFont="1" applyFill="1" applyAlignment="1">
      <alignment horizontal="left" vertical="center" wrapText="1"/>
    </xf>
    <xf numFmtId="0" fontId="50" fillId="3" borderId="0" xfId="2" quotePrefix="1" applyFont="1" applyFill="1" applyAlignment="1">
      <alignment horizontal="left" vertical="center" wrapText="1"/>
    </xf>
    <xf numFmtId="0" fontId="52" fillId="3" borderId="14" xfId="2" quotePrefix="1" applyFont="1" applyFill="1" applyBorder="1" applyAlignment="1">
      <alignment horizontal="left" vertical="top" wrapText="1"/>
    </xf>
    <xf numFmtId="0" fontId="53" fillId="3" borderId="0" xfId="2" quotePrefix="1" applyFont="1" applyFill="1" applyAlignment="1">
      <alignment horizontal="left" vertical="top" wrapText="1"/>
    </xf>
    <xf numFmtId="0" fontId="53" fillId="3" borderId="15" xfId="2" quotePrefix="1" applyFont="1" applyFill="1" applyBorder="1" applyAlignment="1">
      <alignment horizontal="left" vertical="top" wrapText="1"/>
    </xf>
    <xf numFmtId="0" fontId="1" fillId="0" borderId="2" xfId="0" applyFont="1" applyBorder="1" applyAlignment="1">
      <alignment horizontal="center" vertical="top"/>
    </xf>
    <xf numFmtId="0" fontId="6" fillId="0" borderId="2" xfId="0" applyFont="1" applyBorder="1" applyAlignment="1" applyProtection="1">
      <alignment horizontal="justify" vertical="top" wrapText="1"/>
      <protection locked="0"/>
    </xf>
    <xf numFmtId="0" fontId="1" fillId="0" borderId="2" xfId="0" applyFont="1" applyBorder="1" applyAlignment="1" applyProtection="1">
      <alignment horizontal="center" vertical="top"/>
      <protection hidden="1"/>
    </xf>
    <xf numFmtId="0" fontId="1" fillId="0" borderId="2" xfId="0" applyFont="1" applyBorder="1" applyAlignment="1" applyProtection="1">
      <alignment horizontal="center" vertical="top" textRotation="90"/>
      <protection locked="0"/>
    </xf>
    <xf numFmtId="9" fontId="1" fillId="0" borderId="2" xfId="0" applyNumberFormat="1" applyFont="1" applyBorder="1" applyAlignment="1" applyProtection="1">
      <alignment horizontal="center" vertical="top"/>
      <protection hidden="1"/>
    </xf>
    <xf numFmtId="164" fontId="1" fillId="0" borderId="2" xfId="1" applyNumberFormat="1" applyFont="1" applyBorder="1" applyAlignment="1">
      <alignment horizontal="center" vertical="top"/>
    </xf>
    <xf numFmtId="0" fontId="4" fillId="0" borderId="2" xfId="0" applyFont="1" applyBorder="1" applyAlignment="1" applyProtection="1">
      <alignment horizontal="center" vertical="top" textRotation="90" wrapText="1"/>
      <protection hidden="1"/>
    </xf>
    <xf numFmtId="9" fontId="1" fillId="0" borderId="4"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textRotation="90"/>
      <protection hidden="1"/>
    </xf>
    <xf numFmtId="0" fontId="1" fillId="0" borderId="4" xfId="0" applyFont="1" applyBorder="1" applyAlignment="1" applyProtection="1">
      <alignment horizontal="center" vertical="top" textRotation="90"/>
      <protection locked="0"/>
    </xf>
    <xf numFmtId="0" fontId="1" fillId="0" borderId="2" xfId="0" applyFont="1" applyBorder="1" applyAlignment="1" applyProtection="1">
      <alignment horizontal="center" vertical="top" wrapText="1"/>
      <protection locked="0"/>
    </xf>
    <xf numFmtId="0" fontId="1" fillId="0" borderId="2" xfId="0" applyFont="1" applyBorder="1" applyAlignment="1" applyProtection="1">
      <alignment horizontal="center" vertical="top"/>
      <protection locked="0"/>
    </xf>
    <xf numFmtId="14" fontId="1" fillId="0" borderId="2" xfId="0" applyNumberFormat="1" applyFont="1" applyBorder="1" applyAlignment="1" applyProtection="1">
      <alignment horizontal="center" vertical="top"/>
      <protection locked="0"/>
    </xf>
    <xf numFmtId="0" fontId="1" fillId="0" borderId="2" xfId="0" applyFont="1" applyBorder="1" applyAlignment="1" applyProtection="1">
      <alignment horizontal="justify" vertical="top"/>
      <protection locked="0"/>
    </xf>
    <xf numFmtId="164" fontId="1" fillId="9" borderId="2" xfId="1" applyNumberFormat="1" applyFont="1" applyFill="1" applyBorder="1" applyAlignment="1">
      <alignment horizontal="center" vertical="top"/>
    </xf>
    <xf numFmtId="0" fontId="0" fillId="0" borderId="0" xfId="0" applyAlignment="1">
      <alignment vertical="top"/>
    </xf>
    <xf numFmtId="0" fontId="0" fillId="0" borderId="0" xfId="0" applyAlignment="1">
      <alignment horizontal="center" vertical="top" wrapText="1"/>
    </xf>
    <xf numFmtId="0" fontId="0" fillId="0" borderId="0" xfId="0" applyProtection="1">
      <protection locked="0"/>
    </xf>
    <xf numFmtId="0" fontId="0" fillId="0" borderId="76" xfId="0" applyBorder="1" applyProtection="1">
      <protection locked="0"/>
    </xf>
    <xf numFmtId="0" fontId="0" fillId="0" borderId="52" xfId="0" applyBorder="1" applyProtection="1">
      <protection locked="0"/>
    </xf>
    <xf numFmtId="0" fontId="0" fillId="0" borderId="77" xfId="0" applyBorder="1" applyProtection="1">
      <protection locked="0"/>
    </xf>
    <xf numFmtId="0" fontId="0" fillId="0" borderId="78" xfId="0" applyBorder="1" applyProtection="1">
      <protection locked="0"/>
    </xf>
    <xf numFmtId="0" fontId="62" fillId="17" borderId="79" xfId="0" applyFont="1" applyFill="1" applyBorder="1" applyAlignment="1">
      <alignment horizontal="center" vertical="center" wrapText="1"/>
    </xf>
    <xf numFmtId="0" fontId="61" fillId="0" borderId="0" xfId="0" applyFont="1" applyAlignment="1" applyProtection="1">
      <alignment horizontal="center"/>
      <protection locked="0"/>
    </xf>
    <xf numFmtId="0" fontId="0" fillId="0" borderId="33" xfId="0" applyBorder="1" applyAlignment="1" applyProtection="1">
      <alignment vertical="center"/>
      <protection locked="0"/>
    </xf>
    <xf numFmtId="0" fontId="0" fillId="0" borderId="69" xfId="0" applyBorder="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61" fillId="0" borderId="80" xfId="0" applyFont="1" applyBorder="1" applyAlignment="1" applyProtection="1">
      <alignment horizontal="center" vertical="center"/>
      <protection locked="0"/>
    </xf>
    <xf numFmtId="0" fontId="61" fillId="0" borderId="81" xfId="0"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0" xfId="0" applyFont="1" applyProtection="1">
      <protection locked="0"/>
    </xf>
    <xf numFmtId="0" fontId="6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61" fillId="0" borderId="33" xfId="0" applyFont="1" applyBorder="1" applyAlignment="1" applyProtection="1">
      <alignment horizontal="center"/>
      <protection locked="0"/>
    </xf>
    <xf numFmtId="0" fontId="61" fillId="2" borderId="33" xfId="0" applyFont="1" applyFill="1" applyBorder="1" applyAlignment="1" applyProtection="1">
      <alignment horizontal="center"/>
      <protection locked="0"/>
    </xf>
    <xf numFmtId="0" fontId="61" fillId="0" borderId="33" xfId="0" applyFont="1" applyBorder="1" applyAlignment="1" applyProtection="1">
      <alignment horizontal="center" vertical="center" wrapText="1"/>
      <protection locked="0"/>
    </xf>
    <xf numFmtId="0" fontId="0" fillId="13" borderId="33" xfId="0" applyFill="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62" fillId="17" borderId="35" xfId="0" applyFont="1" applyFill="1" applyBorder="1" applyAlignment="1">
      <alignment horizontal="center" vertical="center" wrapText="1"/>
    </xf>
    <xf numFmtId="0" fontId="48" fillId="0" borderId="0" xfId="0" applyFont="1" applyAlignment="1">
      <alignment vertical="center"/>
    </xf>
    <xf numFmtId="0" fontId="62" fillId="0" borderId="0" xfId="0" applyFont="1" applyAlignment="1">
      <alignment vertical="center"/>
    </xf>
    <xf numFmtId="0" fontId="48" fillId="0" borderId="0" xfId="0" applyFont="1" applyAlignment="1">
      <alignment vertical="center" wrapText="1"/>
    </xf>
    <xf numFmtId="0" fontId="61" fillId="0" borderId="33" xfId="0" applyFont="1" applyBorder="1" applyAlignment="1" applyProtection="1">
      <alignment vertical="center"/>
      <protection locked="0"/>
    </xf>
    <xf numFmtId="0" fontId="61"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61" fillId="0" borderId="0" xfId="0" applyFont="1" applyAlignment="1" applyProtection="1">
      <alignment horizontal="center" vertical="center" wrapText="1"/>
      <protection locked="0"/>
    </xf>
    <xf numFmtId="0" fontId="0" fillId="20" borderId="33" xfId="0" applyFill="1" applyBorder="1" applyAlignment="1" applyProtection="1">
      <alignment horizontal="center" vertical="center"/>
      <protection locked="0"/>
    </xf>
    <xf numFmtId="0" fontId="61" fillId="0" borderId="33" xfId="0" applyFont="1" applyBorder="1" applyProtection="1">
      <protection locked="0"/>
    </xf>
    <xf numFmtId="0" fontId="0" fillId="20" borderId="33" xfId="0" applyFill="1" applyBorder="1"/>
    <xf numFmtId="0" fontId="0" fillId="20" borderId="33" xfId="0" applyFill="1" applyBorder="1" applyProtection="1">
      <protection locked="0"/>
    </xf>
    <xf numFmtId="0" fontId="0" fillId="0" borderId="33" xfId="0" applyBorder="1" applyProtection="1">
      <protection locked="0"/>
    </xf>
    <xf numFmtId="0" fontId="61" fillId="0" borderId="0" xfId="0" applyFont="1" applyAlignment="1" applyProtection="1">
      <alignment vertical="center"/>
      <protection locked="0"/>
    </xf>
    <xf numFmtId="0" fontId="0" fillId="0" borderId="0" xfId="0" applyAlignment="1" applyProtection="1">
      <alignment vertical="top" wrapText="1"/>
      <protection locked="0"/>
    </xf>
    <xf numFmtId="0" fontId="0" fillId="0" borderId="0" xfId="0" applyAlignment="1">
      <alignment vertical="top" wrapText="1"/>
    </xf>
    <xf numFmtId="0" fontId="17" fillId="0" borderId="0" xfId="0" applyFont="1"/>
    <xf numFmtId="0" fontId="65" fillId="0" borderId="0" xfId="0" applyFont="1"/>
    <xf numFmtId="0" fontId="17" fillId="3" borderId="0" xfId="0" applyFont="1" applyFill="1"/>
    <xf numFmtId="0" fontId="68" fillId="3" borderId="0" xfId="0" applyFont="1" applyFill="1"/>
    <xf numFmtId="0" fontId="68" fillId="0" borderId="0" xfId="0" applyFont="1"/>
    <xf numFmtId="0" fontId="66" fillId="11" borderId="12" xfId="0" applyFont="1" applyFill="1" applyBorder="1" applyAlignment="1" applyProtection="1">
      <alignment horizontal="center" vertical="center" wrapText="1" readingOrder="1"/>
      <protection hidden="1"/>
    </xf>
    <xf numFmtId="0" fontId="66" fillId="11" borderId="19" xfId="0" applyFont="1" applyFill="1" applyBorder="1" applyAlignment="1" applyProtection="1">
      <alignment horizontal="center" vertical="center" wrapText="1" readingOrder="1"/>
      <protection hidden="1"/>
    </xf>
    <xf numFmtId="0" fontId="66" fillId="11" borderId="13" xfId="0" applyFont="1" applyFill="1" applyBorder="1" applyAlignment="1" applyProtection="1">
      <alignment horizontal="center" vertical="center" wrapText="1" readingOrder="1"/>
      <protection hidden="1"/>
    </xf>
    <xf numFmtId="0" fontId="66" fillId="12" borderId="12" xfId="0" applyFont="1" applyFill="1" applyBorder="1" applyAlignment="1" applyProtection="1">
      <alignment horizontal="center" wrapText="1" readingOrder="1"/>
      <protection hidden="1"/>
    </xf>
    <xf numFmtId="0" fontId="66" fillId="12" borderId="19" xfId="0" applyFont="1" applyFill="1" applyBorder="1" applyAlignment="1" applyProtection="1">
      <alignment horizontal="center" wrapText="1" readingOrder="1"/>
      <protection hidden="1"/>
    </xf>
    <xf numFmtId="0" fontId="66" fillId="12" borderId="13" xfId="0" applyFont="1" applyFill="1" applyBorder="1" applyAlignment="1" applyProtection="1">
      <alignment horizontal="center" wrapText="1" readingOrder="1"/>
      <protection hidden="1"/>
    </xf>
    <xf numFmtId="0" fontId="66" fillId="11" borderId="14"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15" xfId="0" applyFont="1" applyFill="1" applyBorder="1" applyAlignment="1" applyProtection="1">
      <alignment horizontal="center" vertical="center" wrapText="1" readingOrder="1"/>
      <protection hidden="1"/>
    </xf>
    <xf numFmtId="0" fontId="66" fillId="12" borderId="14"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15" xfId="0" applyFont="1" applyFill="1" applyBorder="1" applyAlignment="1" applyProtection="1">
      <alignment horizontal="center" wrapText="1" readingOrder="1"/>
      <protection hidden="1"/>
    </xf>
    <xf numFmtId="0" fontId="66" fillId="11" borderId="16" xfId="0" applyFont="1" applyFill="1" applyBorder="1" applyAlignment="1" applyProtection="1">
      <alignment horizontal="center" vertical="center" wrapText="1" readingOrder="1"/>
      <protection hidden="1"/>
    </xf>
    <xf numFmtId="0" fontId="66" fillId="11" borderId="18" xfId="0" applyFont="1" applyFill="1" applyBorder="1" applyAlignment="1" applyProtection="1">
      <alignment horizontal="center" vertical="center" wrapText="1" readingOrder="1"/>
      <protection hidden="1"/>
    </xf>
    <xf numFmtId="0" fontId="66" fillId="11" borderId="17" xfId="0" applyFont="1" applyFill="1" applyBorder="1" applyAlignment="1" applyProtection="1">
      <alignment horizontal="center" vertical="center" wrapText="1" readingOrder="1"/>
      <protection hidden="1"/>
    </xf>
    <xf numFmtId="0" fontId="66" fillId="12" borderId="16" xfId="0" applyFont="1" applyFill="1" applyBorder="1" applyAlignment="1" applyProtection="1">
      <alignment horizontal="center" wrapText="1" readingOrder="1"/>
      <protection hidden="1"/>
    </xf>
    <xf numFmtId="0" fontId="66" fillId="12" borderId="18" xfId="0" applyFont="1" applyFill="1" applyBorder="1" applyAlignment="1" applyProtection="1">
      <alignment horizontal="center" wrapText="1" readingOrder="1"/>
      <protection hidden="1"/>
    </xf>
    <xf numFmtId="0" fontId="66" fillId="12" borderId="17"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19"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14"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15" xfId="0" applyFont="1" applyFill="1" applyBorder="1" applyAlignment="1" applyProtection="1">
      <alignment horizontal="center" wrapText="1" readingOrder="1"/>
      <protection hidden="1"/>
    </xf>
    <xf numFmtId="0" fontId="66" fillId="13" borderId="16" xfId="0" applyFont="1" applyFill="1" applyBorder="1" applyAlignment="1" applyProtection="1">
      <alignment horizontal="center" wrapText="1" readingOrder="1"/>
      <protection hidden="1"/>
    </xf>
    <xf numFmtId="0" fontId="66" fillId="13" borderId="18" xfId="0" applyFont="1" applyFill="1" applyBorder="1" applyAlignment="1" applyProtection="1">
      <alignment horizontal="center" wrapText="1" readingOrder="1"/>
      <protection hidden="1"/>
    </xf>
    <xf numFmtId="0" fontId="66" fillId="13" borderId="17" xfId="0" applyFont="1" applyFill="1" applyBorder="1" applyAlignment="1" applyProtection="1">
      <alignment horizontal="center" wrapText="1" readingOrder="1"/>
      <protection hidden="1"/>
    </xf>
    <xf numFmtId="0" fontId="66" fillId="5" borderId="12" xfId="0" applyFont="1" applyFill="1" applyBorder="1" applyAlignment="1" applyProtection="1">
      <alignment horizontal="center" wrapText="1" readingOrder="1"/>
      <protection hidden="1"/>
    </xf>
    <xf numFmtId="0" fontId="66" fillId="5" borderId="19" xfId="0" applyFont="1" applyFill="1" applyBorder="1" applyAlignment="1" applyProtection="1">
      <alignment horizontal="center" wrapText="1" readingOrder="1"/>
      <protection hidden="1"/>
    </xf>
    <xf numFmtId="0" fontId="66" fillId="5" borderId="13" xfId="0" applyFont="1" applyFill="1" applyBorder="1" applyAlignment="1" applyProtection="1">
      <alignment horizontal="center" wrapText="1" readingOrder="1"/>
      <protection hidden="1"/>
    </xf>
    <xf numFmtId="0" fontId="66" fillId="5" borderId="14"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15" xfId="0" applyFont="1" applyFill="1" applyBorder="1" applyAlignment="1" applyProtection="1">
      <alignment horizontal="center" wrapText="1" readingOrder="1"/>
      <protection hidden="1"/>
    </xf>
    <xf numFmtId="0" fontId="66" fillId="5" borderId="16" xfId="0" applyFont="1" applyFill="1" applyBorder="1" applyAlignment="1" applyProtection="1">
      <alignment horizontal="center" wrapText="1" readingOrder="1"/>
      <protection hidden="1"/>
    </xf>
    <xf numFmtId="0" fontId="66" fillId="5" borderId="18" xfId="0" applyFont="1" applyFill="1" applyBorder="1" applyAlignment="1" applyProtection="1">
      <alignment horizontal="center" wrapText="1" readingOrder="1"/>
      <protection hidden="1"/>
    </xf>
    <xf numFmtId="0" fontId="66" fillId="5" borderId="17" xfId="0" applyFont="1" applyFill="1" applyBorder="1" applyAlignment="1" applyProtection="1">
      <alignment horizontal="center" wrapText="1" readingOrder="1"/>
      <protection hidden="1"/>
    </xf>
    <xf numFmtId="0" fontId="0" fillId="0" borderId="0" xfId="0" applyAlignment="1">
      <alignment wrapText="1"/>
    </xf>
    <xf numFmtId="0" fontId="61" fillId="0" borderId="0" xfId="0" applyFont="1"/>
    <xf numFmtId="0" fontId="0" fillId="0" borderId="33" xfId="0" applyBorder="1"/>
    <xf numFmtId="0" fontId="0" fillId="0" borderId="89" xfId="0" applyBorder="1"/>
    <xf numFmtId="0" fontId="0" fillId="0" borderId="90" xfId="0" applyBorder="1"/>
    <xf numFmtId="0" fontId="0" fillId="0" borderId="91" xfId="0" applyBorder="1"/>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0" fillId="0" borderId="41" xfId="0" applyBorder="1" applyAlignment="1">
      <alignment wrapText="1"/>
    </xf>
    <xf numFmtId="0" fontId="61" fillId="0" borderId="89" xfId="0" applyFont="1" applyBorder="1" applyAlignment="1">
      <alignment horizontal="center"/>
    </xf>
    <xf numFmtId="0" fontId="61" fillId="0" borderId="90" xfId="0" applyFont="1" applyBorder="1" applyAlignment="1">
      <alignment horizontal="center"/>
    </xf>
    <xf numFmtId="0" fontId="61" fillId="0" borderId="91" xfId="0" applyFont="1" applyBorder="1" applyAlignment="1">
      <alignment horizontal="center"/>
    </xf>
    <xf numFmtId="0" fontId="0" fillId="0" borderId="92" xfId="0" applyBorder="1" applyAlignment="1">
      <alignment wrapText="1"/>
    </xf>
    <xf numFmtId="0" fontId="61" fillId="0" borderId="35" xfId="0" applyFont="1" applyBorder="1" applyAlignment="1">
      <alignment horizontal="center" wrapText="1"/>
    </xf>
    <xf numFmtId="0" fontId="61" fillId="24" borderId="79" xfId="0" quotePrefix="1" applyFont="1" applyFill="1" applyBorder="1"/>
    <xf numFmtId="0" fontId="61" fillId="0" borderId="94" xfId="0" applyFont="1" applyBorder="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0" fillId="0" borderId="37" xfId="0" applyBorder="1"/>
    <xf numFmtId="0" fontId="0" fillId="0" borderId="39" xfId="0" applyBorder="1"/>
    <xf numFmtId="0" fontId="0" fillId="0" borderId="40" xfId="0" applyBorder="1"/>
    <xf numFmtId="0" fontId="0" fillId="23" borderId="33" xfId="0" applyFill="1" applyBorder="1"/>
    <xf numFmtId="0" fontId="0" fillId="23" borderId="38" xfId="0" applyFill="1" applyBorder="1"/>
    <xf numFmtId="0" fontId="0" fillId="23" borderId="40" xfId="0" applyFill="1" applyBorder="1"/>
    <xf numFmtId="0" fontId="0" fillId="23" borderId="41" xfId="0" applyFill="1" applyBorder="1"/>
    <xf numFmtId="0" fontId="0" fillId="0" borderId="91" xfId="0" applyBorder="1" applyAlignment="1">
      <alignment wrapText="1"/>
    </xf>
    <xf numFmtId="0" fontId="0" fillId="13" borderId="89" xfId="0" applyFill="1" applyBorder="1"/>
    <xf numFmtId="0" fontId="0" fillId="25" borderId="37" xfId="0" applyFill="1" applyBorder="1"/>
    <xf numFmtId="0" fontId="0" fillId="26" borderId="37" xfId="0" applyFill="1" applyBorder="1"/>
    <xf numFmtId="0" fontId="0" fillId="2" borderId="37" xfId="0" applyFill="1" applyBorder="1"/>
    <xf numFmtId="0" fontId="0" fillId="9" borderId="39" xfId="0" applyFill="1" applyBorder="1"/>
    <xf numFmtId="0" fontId="69" fillId="0" borderId="0" xfId="0" applyFont="1"/>
    <xf numFmtId="0" fontId="70" fillId="0" borderId="87" xfId="0" applyFont="1" applyBorder="1" applyAlignment="1">
      <alignment horizontal="center" wrapText="1"/>
    </xf>
    <xf numFmtId="0" fontId="70" fillId="0" borderId="35" xfId="0" applyFont="1" applyBorder="1" applyAlignment="1">
      <alignment horizontal="center" vertical="center" wrapText="1"/>
    </xf>
    <xf numFmtId="0" fontId="57" fillId="0" borderId="79" xfId="0" applyFont="1" applyBorder="1" applyAlignment="1">
      <alignment horizontal="center" wrapText="1"/>
    </xf>
    <xf numFmtId="0" fontId="57" fillId="0" borderId="0" xfId="0" applyFont="1" applyAlignment="1">
      <alignment horizontal="center" wrapText="1"/>
    </xf>
    <xf numFmtId="0" fontId="44" fillId="0" borderId="0" xfId="0" applyFont="1" applyAlignment="1">
      <alignment horizontal="center"/>
    </xf>
    <xf numFmtId="0" fontId="17" fillId="23" borderId="33" xfId="0" applyFont="1" applyFill="1" applyBorder="1" applyAlignment="1">
      <alignment wrapText="1"/>
    </xf>
    <xf numFmtId="0" fontId="17" fillId="23" borderId="38" xfId="0" applyFont="1" applyFill="1" applyBorder="1" applyAlignment="1">
      <alignment wrapText="1"/>
    </xf>
    <xf numFmtId="0" fontId="17" fillId="23" borderId="81" xfId="0" applyFont="1" applyFill="1" applyBorder="1" applyAlignment="1">
      <alignment wrapText="1"/>
    </xf>
    <xf numFmtId="0" fontId="17" fillId="23" borderId="93" xfId="0" applyFont="1" applyFill="1" applyBorder="1" applyAlignment="1">
      <alignment wrapText="1"/>
    </xf>
    <xf numFmtId="0" fontId="73" fillId="0" borderId="34" xfId="0" applyFont="1" applyBorder="1" applyAlignment="1" applyProtection="1">
      <alignment horizontal="center" vertical="center"/>
      <protection locked="0"/>
    </xf>
    <xf numFmtId="0" fontId="73" fillId="0" borderId="42" xfId="0" applyFont="1" applyBorder="1" applyAlignment="1">
      <alignment horizontal="center" vertical="center"/>
    </xf>
    <xf numFmtId="0" fontId="0" fillId="27" borderId="79" xfId="0" applyFill="1" applyBorder="1" applyAlignment="1">
      <alignment horizontal="center" vertical="center" wrapText="1"/>
    </xf>
    <xf numFmtId="0" fontId="57" fillId="22" borderId="79" xfId="0" applyFont="1" applyFill="1" applyBorder="1" applyAlignment="1">
      <alignment horizontal="center" vertical="top" wrapText="1"/>
    </xf>
    <xf numFmtId="0" fontId="61" fillId="22" borderId="79" xfId="0" applyFont="1" applyFill="1" applyBorder="1" applyAlignment="1">
      <alignment horizontal="center" vertical="top" wrapText="1"/>
    </xf>
    <xf numFmtId="0" fontId="58" fillId="22" borderId="79" xfId="0" applyFont="1" applyFill="1" applyBorder="1" applyAlignment="1">
      <alignment horizontal="center" vertical="top" wrapText="1"/>
    </xf>
    <xf numFmtId="0" fontId="74" fillId="3" borderId="0" xfId="0" applyFont="1" applyFill="1"/>
    <xf numFmtId="0" fontId="78" fillId="27" borderId="33" xfId="0" applyFont="1" applyFill="1" applyBorder="1" applyAlignment="1">
      <alignment horizontal="center" vertical="center"/>
    </xf>
    <xf numFmtId="0" fontId="74" fillId="0" borderId="0" xfId="0" applyFont="1"/>
    <xf numFmtId="0" fontId="78" fillId="27" borderId="33" xfId="0" applyFont="1" applyFill="1" applyBorder="1" applyAlignment="1">
      <alignment horizontal="center" vertical="center" wrapText="1"/>
    </xf>
    <xf numFmtId="0" fontId="78" fillId="3" borderId="0" xfId="0" applyFont="1" applyFill="1" applyAlignment="1">
      <alignment horizontal="center" vertical="center"/>
    </xf>
    <xf numFmtId="0" fontId="78" fillId="2" borderId="0" xfId="0" applyFont="1" applyFill="1" applyAlignment="1">
      <alignment horizontal="center" vertical="center"/>
    </xf>
    <xf numFmtId="0" fontId="74" fillId="0" borderId="33" xfId="0" applyFont="1" applyBorder="1" applyAlignment="1">
      <alignment horizontal="center" vertical="top"/>
    </xf>
    <xf numFmtId="0" fontId="80" fillId="0" borderId="33" xfId="0" applyFont="1" applyBorder="1" applyAlignment="1" applyProtection="1">
      <alignment horizontal="justify" vertical="top" wrapText="1"/>
      <protection locked="0"/>
    </xf>
    <xf numFmtId="0" fontId="74"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textRotation="90"/>
      <protection locked="0"/>
    </xf>
    <xf numFmtId="9" fontId="74" fillId="0" borderId="33" xfId="0" applyNumberFormat="1" applyFont="1" applyBorder="1" applyAlignment="1" applyProtection="1">
      <alignment horizontal="center" vertical="top"/>
      <protection hidden="1"/>
    </xf>
    <xf numFmtId="164" fontId="74" fillId="0" borderId="33" xfId="1" applyNumberFormat="1" applyFont="1" applyFill="1" applyBorder="1" applyAlignment="1">
      <alignment horizontal="center" vertical="top"/>
    </xf>
    <xf numFmtId="0" fontId="78" fillId="0" borderId="33" xfId="0" applyFont="1" applyBorder="1" applyAlignment="1" applyProtection="1">
      <alignment horizontal="center" vertical="top" textRotation="90" wrapText="1"/>
      <protection hidden="1"/>
    </xf>
    <xf numFmtId="0" fontId="78" fillId="0" borderId="33" xfId="0" applyFont="1" applyBorder="1" applyAlignment="1" applyProtection="1">
      <alignment horizontal="center" vertical="top" textRotation="90"/>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14" fontId="74" fillId="0" borderId="33" xfId="0" applyNumberFormat="1" applyFont="1" applyBorder="1" applyAlignment="1" applyProtection="1">
      <alignment horizontal="center" vertical="top"/>
      <protection locked="0"/>
    </xf>
    <xf numFmtId="0" fontId="74" fillId="27" borderId="33" xfId="0" applyFont="1" applyFill="1" applyBorder="1" applyAlignment="1" applyProtection="1">
      <alignment horizontal="center" vertical="top"/>
      <protection locked="0"/>
    </xf>
    <xf numFmtId="0" fontId="74" fillId="3" borderId="33" xfId="0" applyFont="1" applyFill="1" applyBorder="1" applyAlignment="1">
      <alignment vertical="center"/>
    </xf>
    <xf numFmtId="0" fontId="74" fillId="0" borderId="33" xfId="0" applyFont="1" applyBorder="1" applyAlignment="1">
      <alignment vertical="center"/>
    </xf>
    <xf numFmtId="0" fontId="74" fillId="3" borderId="33" xfId="0" applyFont="1" applyFill="1" applyBorder="1"/>
    <xf numFmtId="0" fontId="74" fillId="0" borderId="33" xfId="0" applyFont="1" applyBorder="1"/>
    <xf numFmtId="0" fontId="78" fillId="27" borderId="81" xfId="0" applyFont="1" applyFill="1" applyBorder="1" applyAlignment="1">
      <alignment horizontal="center" vertical="center" textRotation="90" wrapText="1"/>
    </xf>
    <xf numFmtId="0" fontId="4" fillId="0" borderId="0" xfId="0" applyFont="1"/>
    <xf numFmtId="0" fontId="78" fillId="0" borderId="33" xfId="0" applyFont="1" applyBorder="1" applyAlignment="1">
      <alignment horizontal="center" vertical="center"/>
    </xf>
    <xf numFmtId="0" fontId="61" fillId="0" borderId="85" xfId="0" applyFont="1" applyBorder="1" applyAlignment="1" applyProtection="1">
      <alignment horizontal="center" vertical="center" wrapText="1"/>
      <protection locked="0"/>
    </xf>
    <xf numFmtId="0" fontId="75" fillId="0" borderId="0" xfId="0" applyFont="1" applyAlignment="1">
      <alignment horizontal="center" vertical="center"/>
    </xf>
    <xf numFmtId="0" fontId="75" fillId="0" borderId="0" xfId="0" applyFont="1" applyAlignment="1">
      <alignment vertical="center"/>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74" fillId="0" borderId="84" xfId="0" applyFont="1" applyBorder="1" applyAlignment="1">
      <alignment vertical="center"/>
    </xf>
    <xf numFmtId="0" fontId="74" fillId="0" borderId="84" xfId="0" applyFont="1" applyBorder="1"/>
    <xf numFmtId="0" fontId="78" fillId="0" borderId="0" xfId="0" applyFont="1" applyAlignment="1">
      <alignment horizontal="center" vertical="center"/>
    </xf>
    <xf numFmtId="0" fontId="74" fillId="0" borderId="0" xfId="0" applyFont="1" applyAlignment="1">
      <alignment vertical="center"/>
    </xf>
    <xf numFmtId="0" fontId="64" fillId="0" borderId="0" xfId="0" applyFont="1"/>
    <xf numFmtId="0" fontId="17" fillId="0" borderId="79" xfId="0" applyFont="1" applyBorder="1" applyAlignment="1">
      <alignment horizontal="center" vertical="top" wrapText="1"/>
    </xf>
    <xf numFmtId="0" fontId="1" fillId="0" borderId="0" xfId="0" applyFont="1" applyAlignment="1">
      <alignment horizontal="center" vertical="center" wrapText="1"/>
    </xf>
    <xf numFmtId="0" fontId="82" fillId="0" borderId="0" xfId="0" applyFont="1" applyAlignment="1">
      <alignment horizontal="center" vertical="top" wrapText="1"/>
    </xf>
    <xf numFmtId="0" fontId="0" fillId="0" borderId="0" xfId="0" applyAlignment="1">
      <alignment horizontal="center" vertical="center" wrapText="1"/>
    </xf>
    <xf numFmtId="0" fontId="83" fillId="0" borderId="0" xfId="0" applyFont="1" applyAlignment="1">
      <alignment vertical="top" wrapText="1"/>
    </xf>
    <xf numFmtId="9" fontId="1" fillId="0" borderId="0" xfId="0" applyNumberFormat="1" applyFont="1"/>
    <xf numFmtId="0" fontId="61" fillId="0" borderId="80" xfId="0" applyFont="1" applyBorder="1" applyAlignment="1">
      <alignment vertical="center"/>
    </xf>
    <xf numFmtId="0" fontId="61" fillId="0" borderId="33" xfId="0" applyFont="1" applyBorder="1" applyAlignment="1">
      <alignment horizontal="center" wrapText="1"/>
    </xf>
    <xf numFmtId="9" fontId="74" fillId="0" borderId="0" xfId="1" applyFont="1" applyFill="1" applyBorder="1"/>
    <xf numFmtId="0" fontId="74" fillId="0" borderId="0" xfId="1" applyNumberFormat="1" applyFont="1" applyFill="1" applyBorder="1"/>
    <xf numFmtId="0" fontId="82" fillId="27" borderId="79" xfId="0" applyFont="1" applyFill="1" applyBorder="1" applyAlignment="1">
      <alignment vertical="top" wrapText="1"/>
    </xf>
    <xf numFmtId="9" fontId="74" fillId="0" borderId="81" xfId="0" applyNumberFormat="1" applyFont="1" applyBorder="1" applyAlignment="1" applyProtection="1">
      <alignment horizontal="center" vertical="top" wrapText="1"/>
      <protection hidden="1"/>
    </xf>
    <xf numFmtId="0" fontId="1" fillId="13" borderId="0" xfId="0" applyFont="1" applyFill="1"/>
    <xf numFmtId="0" fontId="80" fillId="13" borderId="33" xfId="0" applyFont="1" applyFill="1" applyBorder="1" applyAlignment="1" applyProtection="1">
      <alignment horizontal="justify" vertical="top" wrapText="1"/>
      <protection locked="0"/>
    </xf>
    <xf numFmtId="9" fontId="74" fillId="0" borderId="33" xfId="0" applyNumberFormat="1" applyFont="1" applyBorder="1" applyAlignment="1" applyProtection="1">
      <alignment horizontal="center" vertical="top" wrapText="1"/>
      <protection hidden="1"/>
    </xf>
    <xf numFmtId="0" fontId="74" fillId="0" borderId="81" xfId="0" applyFont="1" applyBorder="1" applyAlignment="1">
      <alignment horizontal="center" vertical="center"/>
    </xf>
    <xf numFmtId="0" fontId="74" fillId="0" borderId="33" xfId="0" applyFont="1" applyBorder="1" applyAlignment="1" applyProtection="1">
      <alignment vertical="center" textRotation="90"/>
      <protection locked="0"/>
    </xf>
    <xf numFmtId="0" fontId="74" fillId="0" borderId="33" xfId="0" applyFont="1" applyBorder="1" applyAlignment="1" applyProtection="1">
      <alignment vertical="center" wrapText="1"/>
      <protection locked="0"/>
    </xf>
    <xf numFmtId="14" fontId="74" fillId="0" borderId="33" xfId="0" applyNumberFormat="1" applyFont="1" applyBorder="1" applyAlignment="1" applyProtection="1">
      <alignment vertical="center" wrapText="1"/>
      <protection locked="0"/>
    </xf>
    <xf numFmtId="0" fontId="78" fillId="0" borderId="33" xfId="0" applyFont="1" applyBorder="1" applyAlignment="1" applyProtection="1">
      <alignment horizontal="center" vertical="top"/>
      <protection hidden="1"/>
    </xf>
    <xf numFmtId="0" fontId="78" fillId="0" borderId="33" xfId="0" applyFont="1" applyBorder="1" applyAlignment="1" applyProtection="1">
      <alignment horizontal="center" vertical="top" wrapText="1"/>
      <protection hidden="1"/>
    </xf>
    <xf numFmtId="0" fontId="79" fillId="0" borderId="33" xfId="0" applyFont="1" applyBorder="1" applyAlignment="1" applyProtection="1">
      <alignment horizontal="center" vertical="top" wrapText="1"/>
      <protection locked="0"/>
    </xf>
    <xf numFmtId="0" fontId="74" fillId="0" borderId="81" xfId="0" applyFont="1" applyBorder="1" applyAlignment="1">
      <alignment horizontal="center" vertical="top"/>
    </xf>
    <xf numFmtId="0" fontId="79" fillId="0" borderId="33" xfId="0" applyFont="1" applyBorder="1" applyAlignment="1" applyProtection="1">
      <alignment horizontal="center" vertical="top" textRotation="90"/>
      <protection locked="0"/>
    </xf>
    <xf numFmtId="0" fontId="48" fillId="0" borderId="33" xfId="0" applyFont="1" applyBorder="1" applyAlignment="1" applyProtection="1">
      <alignment horizontal="justify" vertical="top" wrapText="1"/>
      <protection locked="0"/>
    </xf>
    <xf numFmtId="0" fontId="74" fillId="0" borderId="33" xfId="0" applyFont="1" applyBorder="1" applyAlignment="1">
      <alignment horizontal="center" wrapText="1"/>
    </xf>
    <xf numFmtId="0" fontId="80" fillId="0" borderId="81" xfId="0" applyFont="1" applyBorder="1" applyAlignment="1" applyProtection="1">
      <alignment horizontal="left" vertical="top" wrapText="1"/>
      <protection locked="0"/>
    </xf>
    <xf numFmtId="0" fontId="74" fillId="0" borderId="34" xfId="0" applyFont="1" applyBorder="1" applyAlignment="1">
      <alignment horizontal="center" vertical="center"/>
    </xf>
    <xf numFmtId="0" fontId="0" fillId="0" borderId="33" xfId="0" applyBorder="1" applyAlignment="1" applyProtection="1">
      <alignment horizontal="center" vertical="center"/>
      <protection locked="0"/>
    </xf>
    <xf numFmtId="0" fontId="15" fillId="0" borderId="0" xfId="5" applyProtection="1">
      <protection locked="0"/>
    </xf>
    <xf numFmtId="0" fontId="15" fillId="0" borderId="52" xfId="5" applyBorder="1" applyProtection="1">
      <protection locked="0"/>
    </xf>
    <xf numFmtId="0" fontId="61" fillId="0" borderId="0" xfId="5" applyFont="1" applyAlignment="1" applyProtection="1">
      <alignment horizontal="center"/>
      <protection locked="0"/>
    </xf>
    <xf numFmtId="0" fontId="15" fillId="0" borderId="0" xfId="5" applyAlignment="1" applyProtection="1">
      <alignment vertical="center"/>
      <protection locked="0"/>
    </xf>
    <xf numFmtId="0" fontId="15" fillId="0" borderId="0" xfId="5" applyAlignment="1" applyProtection="1">
      <alignment horizontal="center" vertical="center"/>
      <protection locked="0"/>
    </xf>
    <xf numFmtId="0" fontId="15" fillId="0" borderId="0" xfId="5" applyAlignment="1" applyProtection="1">
      <alignment horizontal="left" vertical="center"/>
      <protection locked="0"/>
    </xf>
    <xf numFmtId="0" fontId="74" fillId="3" borderId="34" xfId="5" applyFont="1" applyFill="1" applyBorder="1"/>
    <xf numFmtId="0" fontId="74" fillId="3" borderId="84" xfId="5" applyFont="1" applyFill="1" applyBorder="1"/>
    <xf numFmtId="0" fontId="74" fillId="3" borderId="33" xfId="5" applyFont="1" applyFill="1" applyBorder="1"/>
    <xf numFmtId="0" fontId="15" fillId="0" borderId="78" xfId="5" applyBorder="1" applyProtection="1">
      <protection locked="0"/>
    </xf>
    <xf numFmtId="0" fontId="61" fillId="0" borderId="0" xfId="5" applyFont="1" applyAlignment="1" applyProtection="1">
      <alignment horizontal="left" vertical="center" wrapText="1"/>
      <protection locked="0"/>
    </xf>
    <xf numFmtId="0" fontId="61" fillId="0" borderId="0" xfId="5" applyFont="1" applyAlignment="1" applyProtection="1">
      <alignment horizontal="center" vertical="center" wrapText="1"/>
      <protection locked="0"/>
    </xf>
    <xf numFmtId="0" fontId="78" fillId="27" borderId="33" xfId="5" applyFont="1" applyFill="1" applyBorder="1" applyAlignment="1">
      <alignment horizontal="center" vertical="center"/>
    </xf>
    <xf numFmtId="0" fontId="78" fillId="27" borderId="33" xfId="5" applyFont="1" applyFill="1" applyBorder="1" applyAlignment="1">
      <alignment horizontal="center" vertical="center" wrapText="1"/>
    </xf>
    <xf numFmtId="0" fontId="61" fillId="0" borderId="0" xfId="5" applyFont="1" applyProtection="1">
      <protection locked="0"/>
    </xf>
    <xf numFmtId="0" fontId="61" fillId="0" borderId="0" xfId="5" applyFont="1" applyAlignment="1" applyProtection="1">
      <alignment vertical="center"/>
      <protection locked="0"/>
    </xf>
    <xf numFmtId="0" fontId="61" fillId="0" borderId="0" xfId="5" applyFont="1" applyAlignment="1" applyProtection="1">
      <alignment horizontal="center" vertical="center"/>
      <protection locked="0"/>
    </xf>
    <xf numFmtId="0" fontId="61" fillId="0" borderId="0" xfId="5" applyFont="1" applyAlignment="1" applyProtection="1">
      <alignment wrapText="1"/>
      <protection locked="0"/>
    </xf>
    <xf numFmtId="0" fontId="61" fillId="0" borderId="0" xfId="5" applyFont="1" applyAlignment="1" applyProtection="1">
      <alignment vertical="center" wrapText="1"/>
      <protection locked="0"/>
    </xf>
    <xf numFmtId="0" fontId="15" fillId="0" borderId="0" xfId="5" applyAlignment="1" applyProtection="1">
      <alignment vertical="center" wrapText="1"/>
      <protection locked="0"/>
    </xf>
    <xf numFmtId="0" fontId="61" fillId="13" borderId="33" xfId="5" applyFont="1" applyFill="1" applyBorder="1" applyAlignment="1" applyProtection="1">
      <alignment horizontal="center" vertical="center" wrapText="1"/>
      <protection locked="0"/>
    </xf>
    <xf numFmtId="0" fontId="78" fillId="27" borderId="81" xfId="5" applyFont="1" applyFill="1" applyBorder="1" applyAlignment="1">
      <alignment horizontal="center" vertical="center" wrapText="1"/>
    </xf>
    <xf numFmtId="0" fontId="78" fillId="27" borderId="33" xfId="5" applyFont="1" applyFill="1" applyBorder="1" applyAlignment="1">
      <alignment vertical="center" wrapText="1"/>
    </xf>
    <xf numFmtId="0" fontId="61" fillId="27" borderId="33" xfId="5" applyFont="1" applyFill="1" applyBorder="1" applyAlignment="1" applyProtection="1">
      <alignment horizontal="center" vertical="center"/>
      <protection locked="0"/>
    </xf>
    <xf numFmtId="0" fontId="78" fillId="27" borderId="81" xfId="5" applyFont="1" applyFill="1" applyBorder="1" applyAlignment="1">
      <alignment horizontal="center" vertical="center" textRotation="90" wrapText="1"/>
    </xf>
    <xf numFmtId="0" fontId="74" fillId="0" borderId="33" xfId="5" applyFont="1" applyBorder="1" applyAlignment="1">
      <alignment horizontal="center" vertical="top"/>
    </xf>
    <xf numFmtId="0" fontId="74" fillId="0" borderId="33" xfId="5" applyFont="1" applyBorder="1" applyAlignment="1" applyProtection="1">
      <alignment horizontal="center" vertical="top"/>
      <protection hidden="1"/>
    </xf>
    <xf numFmtId="0" fontId="74" fillId="0" borderId="33" xfId="5" applyFont="1" applyBorder="1" applyAlignment="1" applyProtection="1">
      <alignment horizontal="center" vertical="top" textRotation="90"/>
      <protection locked="0"/>
    </xf>
    <xf numFmtId="9" fontId="74" fillId="0" borderId="33" xfId="5" applyNumberFormat="1" applyFont="1" applyBorder="1" applyAlignment="1" applyProtection="1">
      <alignment horizontal="center" vertical="top"/>
      <protection hidden="1"/>
    </xf>
    <xf numFmtId="164" fontId="74" fillId="0" borderId="33" xfId="7" applyNumberFormat="1" applyFont="1" applyFill="1" applyBorder="1" applyAlignment="1">
      <alignment horizontal="center" vertical="top"/>
    </xf>
    <xf numFmtId="0" fontId="78" fillId="0" borderId="33" xfId="5" applyFont="1" applyBorder="1" applyAlignment="1" applyProtection="1">
      <alignment horizontal="center" vertical="top" textRotation="90" wrapText="1"/>
      <protection hidden="1"/>
    </xf>
    <xf numFmtId="0" fontId="78" fillId="0" borderId="33" xfId="5" applyFont="1" applyBorder="1" applyAlignment="1" applyProtection="1">
      <alignment horizontal="center" vertical="top" textRotation="90"/>
      <protection hidden="1"/>
    </xf>
    <xf numFmtId="14" fontId="74" fillId="0" borderId="33" xfId="5" applyNumberFormat="1" applyFont="1" applyBorder="1" applyAlignment="1" applyProtection="1">
      <alignment horizontal="center" vertical="top"/>
      <protection locked="0"/>
    </xf>
    <xf numFmtId="0" fontId="74" fillId="0" borderId="33" xfId="5" applyFont="1" applyBorder="1" applyAlignment="1" applyProtection="1">
      <alignment horizontal="center" vertical="top" wrapText="1"/>
      <protection locked="0"/>
    </xf>
    <xf numFmtId="0" fontId="74" fillId="0" borderId="33" xfId="5" applyFont="1" applyBorder="1" applyAlignment="1" applyProtection="1">
      <alignment horizontal="center" vertical="top"/>
      <protection locked="0"/>
    </xf>
    <xf numFmtId="0" fontId="15" fillId="0" borderId="33" xfId="5" applyBorder="1" applyAlignment="1">
      <alignment vertical="center"/>
    </xf>
    <xf numFmtId="0" fontId="71" fillId="0" borderId="33" xfId="5" applyFont="1" applyBorder="1" applyAlignment="1">
      <alignment vertical="center"/>
    </xf>
    <xf numFmtId="164" fontId="15" fillId="0" borderId="33" xfId="5" applyNumberFormat="1" applyBorder="1" applyAlignment="1" applyProtection="1">
      <alignment vertical="center"/>
      <protection locked="0"/>
    </xf>
    <xf numFmtId="0" fontId="15" fillId="0" borderId="33" xfId="5" applyBorder="1" applyAlignment="1" applyProtection="1">
      <alignment vertical="center" wrapText="1"/>
      <protection locked="0"/>
    </xf>
    <xf numFmtId="0" fontId="15" fillId="0" borderId="33" xfId="5" applyBorder="1" applyProtection="1">
      <protection locked="0"/>
    </xf>
    <xf numFmtId="9" fontId="15" fillId="0" borderId="33" xfId="5" applyNumberFormat="1" applyBorder="1" applyProtection="1">
      <protection locked="0"/>
    </xf>
    <xf numFmtId="9" fontId="15" fillId="0" borderId="0" xfId="5" applyNumberFormat="1" applyProtection="1">
      <protection locked="0"/>
    </xf>
    <xf numFmtId="0" fontId="15" fillId="0" borderId="33" xfId="5" applyBorder="1" applyAlignment="1" applyProtection="1">
      <alignment vertical="center"/>
      <protection locked="0"/>
    </xf>
    <xf numFmtId="0" fontId="15" fillId="0" borderId="0" xfId="5" applyAlignment="1">
      <alignment vertical="top" wrapText="1"/>
    </xf>
    <xf numFmtId="0" fontId="15" fillId="0" borderId="0" xfId="5" applyAlignment="1">
      <alignment vertical="center"/>
    </xf>
    <xf numFmtId="0" fontId="15" fillId="0" borderId="0" xfId="5" applyAlignment="1" applyProtection="1">
      <alignment wrapText="1"/>
      <protection locked="0"/>
    </xf>
    <xf numFmtId="0" fontId="61" fillId="0" borderId="81" xfId="5" applyFont="1" applyBorder="1" applyAlignment="1" applyProtection="1">
      <alignment horizontal="center" vertical="center"/>
      <protection locked="0"/>
    </xf>
    <xf numFmtId="0" fontId="61" fillId="0" borderId="81" xfId="5" applyFont="1" applyBorder="1" applyAlignment="1" applyProtection="1">
      <alignment horizontal="center" vertical="center" wrapText="1"/>
      <protection locked="0"/>
    </xf>
    <xf numFmtId="0" fontId="61" fillId="0" borderId="33" xfId="5" applyFont="1" applyBorder="1" applyAlignment="1" applyProtection="1">
      <alignment horizontal="center" vertical="center"/>
      <protection locked="0"/>
    </xf>
    <xf numFmtId="0" fontId="61" fillId="0" borderId="34" xfId="5" applyFont="1" applyBorder="1" applyAlignment="1" applyProtection="1">
      <alignment horizontal="center" vertical="center"/>
      <protection locked="0"/>
    </xf>
    <xf numFmtId="0" fontId="61" fillId="0" borderId="34" xfId="5" applyFont="1" applyBorder="1" applyAlignment="1" applyProtection="1">
      <alignment horizontal="center" vertical="center" wrapText="1"/>
      <protection locked="0"/>
    </xf>
    <xf numFmtId="0" fontId="61" fillId="13" borderId="33" xfId="5" applyFont="1" applyFill="1" applyBorder="1" applyAlignment="1" applyProtection="1">
      <alignment horizontal="center" vertical="center"/>
      <protection locked="0"/>
    </xf>
    <xf numFmtId="0" fontId="15" fillId="0" borderId="77" xfId="5" applyBorder="1" applyAlignment="1" applyProtection="1">
      <alignment horizontal="center" vertical="center"/>
      <protection locked="0"/>
    </xf>
    <xf numFmtId="0" fontId="15" fillId="0" borderId="85" xfId="5" applyBorder="1" applyAlignment="1" applyProtection="1">
      <alignment horizontal="left" vertical="center" wrapText="1"/>
      <protection locked="0"/>
    </xf>
    <xf numFmtId="0" fontId="15" fillId="0" borderId="0" xfId="5" applyAlignment="1" applyProtection="1">
      <alignment horizontal="center" wrapText="1"/>
      <protection locked="0"/>
    </xf>
    <xf numFmtId="0" fontId="28" fillId="0" borderId="77" xfId="5" applyFont="1" applyBorder="1" applyAlignment="1" applyProtection="1">
      <alignment horizontal="center" vertical="center"/>
      <protection locked="0"/>
    </xf>
    <xf numFmtId="0" fontId="28" fillId="0" borderId="85" xfId="5" applyFont="1" applyBorder="1" applyAlignment="1" applyProtection="1">
      <alignment horizontal="left" vertical="center" wrapText="1"/>
      <protection locked="0"/>
    </xf>
    <xf numFmtId="0" fontId="15" fillId="0" borderId="85" xfId="5" applyBorder="1" applyAlignment="1" applyProtection="1">
      <alignment vertical="center" wrapText="1"/>
      <protection locked="0"/>
    </xf>
    <xf numFmtId="0" fontId="15" fillId="0" borderId="86" xfId="5" applyBorder="1" applyAlignment="1" applyProtection="1">
      <alignment horizontal="center" vertical="center"/>
      <protection locked="0"/>
    </xf>
    <xf numFmtId="0" fontId="15" fillId="0" borderId="34" xfId="5" applyBorder="1" applyAlignment="1" applyProtection="1">
      <alignment vertical="center" wrapText="1"/>
      <protection locked="0"/>
    </xf>
    <xf numFmtId="0" fontId="15" fillId="0" borderId="0" xfId="5" applyAlignment="1" applyProtection="1">
      <alignment horizontal="center" vertical="center" wrapText="1"/>
      <protection locked="0"/>
    </xf>
    <xf numFmtId="0" fontId="61" fillId="0" borderId="33" xfId="5" applyFont="1" applyBorder="1" applyAlignment="1">
      <alignment horizontal="center" vertical="center"/>
    </xf>
    <xf numFmtId="0" fontId="15" fillId="0" borderId="34" xfId="5" applyBorder="1" applyAlignment="1" applyProtection="1">
      <alignment horizontal="center" vertical="center" wrapText="1"/>
      <protection locked="0"/>
    </xf>
    <xf numFmtId="0" fontId="61" fillId="28" borderId="33" xfId="5" applyFont="1" applyFill="1" applyBorder="1" applyAlignment="1" applyProtection="1">
      <alignment horizontal="left"/>
      <protection locked="0"/>
    </xf>
    <xf numFmtId="9" fontId="61" fillId="28" borderId="33" xfId="5" applyNumberFormat="1" applyFont="1" applyFill="1" applyBorder="1" applyAlignment="1" applyProtection="1">
      <alignment horizontal="center"/>
      <protection locked="0"/>
    </xf>
    <xf numFmtId="9" fontId="61" fillId="28" borderId="0" xfId="5" applyNumberFormat="1" applyFont="1" applyFill="1" applyAlignment="1" applyProtection="1">
      <alignment horizontal="center"/>
      <protection locked="0"/>
    </xf>
    <xf numFmtId="0" fontId="1" fillId="0" borderId="0" xfId="5" applyFont="1"/>
    <xf numFmtId="0" fontId="1" fillId="0" borderId="0" xfId="5" applyFont="1" applyAlignment="1">
      <alignment horizontal="center"/>
    </xf>
    <xf numFmtId="0" fontId="4" fillId="0" borderId="0" xfId="5" applyFont="1"/>
    <xf numFmtId="0" fontId="61" fillId="13" borderId="33" xfId="5" applyFont="1" applyFill="1" applyBorder="1" applyAlignment="1" applyProtection="1">
      <alignment horizontal="left"/>
      <protection locked="0"/>
    </xf>
    <xf numFmtId="9" fontId="61" fillId="13" borderId="33" xfId="5" applyNumberFormat="1" applyFont="1" applyFill="1" applyBorder="1" applyAlignment="1" applyProtection="1">
      <alignment horizontal="center"/>
      <protection locked="0"/>
    </xf>
    <xf numFmtId="9" fontId="61" fillId="13" borderId="0" xfId="5" applyNumberFormat="1" applyFont="1" applyFill="1" applyAlignment="1" applyProtection="1">
      <alignment horizontal="center"/>
      <protection locked="0"/>
    </xf>
    <xf numFmtId="0" fontId="15" fillId="0" borderId="0" xfId="5"/>
    <xf numFmtId="0" fontId="61" fillId="26" borderId="33" xfId="5" applyFont="1" applyFill="1" applyBorder="1" applyAlignment="1" applyProtection="1">
      <alignment horizontal="left"/>
      <protection locked="0"/>
    </xf>
    <xf numFmtId="9" fontId="61" fillId="26" borderId="33" xfId="5" applyNumberFormat="1" applyFont="1" applyFill="1" applyBorder="1" applyAlignment="1" applyProtection="1">
      <alignment horizontal="center"/>
      <protection locked="0"/>
    </xf>
    <xf numFmtId="9" fontId="61" fillId="26" borderId="0" xfId="5" applyNumberFormat="1" applyFont="1" applyFill="1" applyAlignment="1" applyProtection="1">
      <alignment horizontal="center"/>
      <protection locked="0"/>
    </xf>
    <xf numFmtId="0" fontId="61" fillId="5" borderId="33" xfId="5" applyFont="1" applyFill="1" applyBorder="1" applyAlignment="1" applyProtection="1">
      <alignment horizontal="left"/>
      <protection locked="0"/>
    </xf>
    <xf numFmtId="9" fontId="61" fillId="5" borderId="33" xfId="5" applyNumberFormat="1" applyFont="1" applyFill="1" applyBorder="1" applyAlignment="1" applyProtection="1">
      <alignment horizontal="center"/>
      <protection locked="0"/>
    </xf>
    <xf numFmtId="9" fontId="61" fillId="5" borderId="0" xfId="5" applyNumberFormat="1" applyFont="1" applyFill="1" applyAlignment="1" applyProtection="1">
      <alignment horizontal="center"/>
      <protection locked="0"/>
    </xf>
    <xf numFmtId="0" fontId="61" fillId="9" borderId="33" xfId="5" applyFont="1" applyFill="1" applyBorder="1" applyAlignment="1" applyProtection="1">
      <alignment horizontal="left"/>
      <protection locked="0"/>
    </xf>
    <xf numFmtId="9" fontId="61" fillId="9" borderId="33" xfId="5" applyNumberFormat="1" applyFont="1" applyFill="1" applyBorder="1" applyAlignment="1" applyProtection="1">
      <alignment horizontal="center"/>
      <protection locked="0"/>
    </xf>
    <xf numFmtId="9" fontId="61" fillId="9" borderId="0" xfId="5" applyNumberFormat="1" applyFont="1" applyFill="1" applyAlignment="1" applyProtection="1">
      <alignment horizontal="center"/>
      <protection locked="0"/>
    </xf>
    <xf numFmtId="0" fontId="15" fillId="0" borderId="69" xfId="5" applyBorder="1" applyProtection="1">
      <protection locked="0"/>
    </xf>
    <xf numFmtId="0" fontId="15" fillId="0" borderId="77" xfId="5" applyBorder="1" applyProtection="1">
      <protection locked="0"/>
    </xf>
    <xf numFmtId="0" fontId="15" fillId="0" borderId="86" xfId="5" applyBorder="1" applyProtection="1">
      <protection locked="0"/>
    </xf>
    <xf numFmtId="0" fontId="0" fillId="0" borderId="34" xfId="0" applyBorder="1" applyAlignment="1" applyProtection="1">
      <alignment vertical="center"/>
      <protection locked="0"/>
    </xf>
    <xf numFmtId="0" fontId="0" fillId="0" borderId="33" xfId="0" applyBorder="1" applyAlignment="1" applyProtection="1">
      <alignment vertical="top" wrapText="1"/>
      <protection locked="0"/>
    </xf>
    <xf numFmtId="0" fontId="74" fillId="0" borderId="33" xfId="0" applyFont="1" applyBorder="1" applyAlignment="1">
      <alignment vertical="center" wrapText="1"/>
    </xf>
    <xf numFmtId="0" fontId="15" fillId="0" borderId="0" xfId="5" applyAlignment="1" applyProtection="1">
      <alignment horizontal="left" vertical="top" wrapText="1"/>
      <protection locked="0"/>
    </xf>
    <xf numFmtId="0" fontId="15" fillId="0" borderId="0" xfId="5" applyAlignment="1">
      <alignment horizontal="center" vertical="center"/>
    </xf>
    <xf numFmtId="0" fontId="37" fillId="0" borderId="33" xfId="0" applyFont="1" applyBorder="1" applyAlignment="1">
      <alignment horizontal="left" vertical="top" wrapText="1"/>
    </xf>
    <xf numFmtId="9" fontId="74" fillId="0" borderId="33" xfId="0" applyNumberFormat="1" applyFont="1" applyBorder="1" applyAlignment="1" applyProtection="1">
      <alignment horizontal="center" vertical="top" wrapText="1"/>
      <protection locked="0"/>
    </xf>
    <xf numFmtId="0" fontId="15" fillId="0" borderId="34" xfId="5" applyBorder="1" applyAlignment="1" applyProtection="1">
      <alignment vertical="center"/>
      <protection locked="0"/>
    </xf>
    <xf numFmtId="0" fontId="16" fillId="3" borderId="33" xfId="4" applyFont="1" applyFill="1" applyBorder="1" applyAlignment="1">
      <alignment horizontal="center" vertical="center" wrapText="1"/>
    </xf>
    <xf numFmtId="0" fontId="16" fillId="3" borderId="33" xfId="0" applyFont="1" applyFill="1" applyBorder="1" applyAlignment="1">
      <alignment vertical="center" wrapText="1"/>
    </xf>
    <xf numFmtId="14" fontId="16" fillId="3" borderId="33" xfId="4" applyNumberFormat="1" applyFont="1" applyFill="1" applyBorder="1" applyAlignment="1">
      <alignment horizontal="center" vertical="center" wrapText="1"/>
    </xf>
    <xf numFmtId="0" fontId="15" fillId="0" borderId="34" xfId="5" applyBorder="1" applyAlignment="1">
      <alignment vertical="center"/>
    </xf>
    <xf numFmtId="0" fontId="16" fillId="3" borderId="33" xfId="9" applyFont="1" applyFill="1" applyBorder="1" applyAlignment="1">
      <alignment vertical="top" wrapText="1"/>
    </xf>
    <xf numFmtId="0" fontId="57" fillId="0" borderId="33" xfId="0" applyFont="1" applyBorder="1" applyAlignment="1">
      <alignment vertical="top" wrapText="1"/>
    </xf>
    <xf numFmtId="0" fontId="74" fillId="17" borderId="33" xfId="0" applyFont="1" applyFill="1" applyBorder="1" applyAlignment="1" applyProtection="1">
      <alignment horizontal="center" vertical="top" wrapText="1"/>
      <protection locked="0"/>
    </xf>
    <xf numFmtId="0" fontId="88" fillId="17" borderId="33" xfId="0" applyFont="1" applyFill="1" applyBorder="1" applyAlignment="1" applyProtection="1">
      <alignment horizontal="justify" vertical="top" wrapText="1"/>
      <protection locked="0"/>
    </xf>
    <xf numFmtId="0" fontId="16" fillId="17" borderId="33" xfId="0" applyFont="1" applyFill="1" applyBorder="1" applyAlignment="1">
      <alignment horizontal="left" vertical="top" wrapText="1"/>
    </xf>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0" fillId="0" borderId="33" xfId="0" applyBorder="1" applyAlignment="1">
      <alignment horizontal="center"/>
    </xf>
    <xf numFmtId="0" fontId="28" fillId="0" borderId="33" xfId="0" applyFont="1" applyBorder="1" applyAlignment="1">
      <alignment horizontal="center" vertical="center" wrapText="1"/>
    </xf>
    <xf numFmtId="0" fontId="16" fillId="0" borderId="75" xfId="0" applyFont="1" applyBorder="1" applyAlignment="1">
      <alignment horizontal="center" wrapText="1"/>
    </xf>
    <xf numFmtId="0" fontId="16" fillId="0" borderId="84" xfId="0" applyFont="1" applyBorder="1" applyAlignment="1">
      <alignment horizontal="center" wrapText="1"/>
    </xf>
    <xf numFmtId="0" fontId="16" fillId="0" borderId="33" xfId="0" applyFont="1" applyBorder="1" applyAlignment="1">
      <alignment horizontal="center" wrapText="1"/>
    </xf>
    <xf numFmtId="0" fontId="16" fillId="0" borderId="33" xfId="0" applyFont="1" applyBorder="1" applyAlignment="1">
      <alignment horizontal="center"/>
    </xf>
    <xf numFmtId="0" fontId="16" fillId="0" borderId="76" xfId="0" applyFont="1" applyBorder="1" applyAlignment="1">
      <alignment horizontal="center" vertical="center" wrapText="1"/>
    </xf>
    <xf numFmtId="0" fontId="16" fillId="0" borderId="82" xfId="0" applyFont="1" applyBorder="1" applyAlignment="1">
      <alignment horizontal="center" vertical="center" wrapText="1"/>
    </xf>
    <xf numFmtId="0" fontId="16" fillId="0" borderId="77" xfId="0" applyFont="1" applyBorder="1" applyAlignment="1">
      <alignment horizontal="center" vertical="center" wrapText="1"/>
    </xf>
    <xf numFmtId="0" fontId="16" fillId="0" borderId="78"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0" xfId="0" applyFont="1" applyBorder="1" applyAlignment="1">
      <alignment horizontal="center" vertical="center" wrapText="1"/>
    </xf>
    <xf numFmtId="0" fontId="0" fillId="0" borderId="75" xfId="0" applyBorder="1" applyAlignment="1">
      <alignment horizontal="center" wrapText="1"/>
    </xf>
    <xf numFmtId="0" fontId="0" fillId="0" borderId="84" xfId="0" applyBorder="1" applyAlignment="1">
      <alignment horizontal="center" wrapText="1"/>
    </xf>
    <xf numFmtId="0" fontId="0" fillId="0" borderId="76" xfId="0" applyBorder="1" applyAlignment="1">
      <alignment horizontal="center" vertical="center" wrapText="1"/>
    </xf>
    <xf numFmtId="0" fontId="0" fillId="0" borderId="82"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86" xfId="0" applyBorder="1" applyAlignment="1">
      <alignment horizontal="center" vertical="center" wrapText="1"/>
    </xf>
    <xf numFmtId="0" fontId="0" fillId="0" borderId="80" xfId="0" applyBorder="1" applyAlignment="1">
      <alignment horizontal="center" vertical="center" wrapText="1"/>
    </xf>
    <xf numFmtId="0" fontId="28" fillId="0" borderId="33" xfId="0" applyFont="1" applyBorder="1" applyAlignment="1">
      <alignment horizontal="center" wrapText="1"/>
    </xf>
    <xf numFmtId="0" fontId="0" fillId="0" borderId="33" xfId="0" applyBorder="1" applyAlignment="1">
      <alignment horizontal="center" wrapText="1"/>
    </xf>
    <xf numFmtId="0" fontId="64" fillId="22" borderId="35" xfId="0" applyFont="1" applyFill="1" applyBorder="1" applyAlignment="1">
      <alignment horizontal="center"/>
    </xf>
    <xf numFmtId="0" fontId="64" fillId="22" borderId="36" xfId="0" applyFont="1" applyFill="1" applyBorder="1" applyAlignment="1">
      <alignment horizontal="center"/>
    </xf>
    <xf numFmtId="0" fontId="64" fillId="22" borderId="47" xfId="0" applyFont="1" applyFill="1" applyBorder="1" applyAlignment="1">
      <alignment horizontal="center"/>
    </xf>
    <xf numFmtId="0" fontId="61" fillId="0" borderId="86" xfId="0" applyFont="1" applyBorder="1" applyAlignment="1">
      <alignment horizontal="center" vertical="center"/>
    </xf>
    <xf numFmtId="0" fontId="61" fillId="0" borderId="69" xfId="0" applyFont="1" applyBorder="1" applyAlignment="1">
      <alignment horizontal="center" vertical="center"/>
    </xf>
    <xf numFmtId="0" fontId="70" fillId="0" borderId="94" xfId="0" applyFont="1" applyBorder="1" applyAlignment="1">
      <alignment horizontal="center" vertical="center"/>
    </xf>
    <xf numFmtId="0" fontId="70" fillId="0" borderId="95" xfId="0" applyFont="1" applyBorder="1" applyAlignment="1">
      <alignment horizontal="center" vertical="center"/>
    </xf>
    <xf numFmtId="0" fontId="70" fillId="0" borderId="96" xfId="0" applyFont="1" applyBorder="1" applyAlignment="1">
      <alignment horizontal="center" vertical="center"/>
    </xf>
    <xf numFmtId="0" fontId="64" fillId="22" borderId="35" xfId="0" applyFont="1" applyFill="1" applyBorder="1" applyAlignment="1">
      <alignment horizontal="center" vertical="top"/>
    </xf>
    <xf numFmtId="0" fontId="64" fillId="22" borderId="36" xfId="0" applyFont="1" applyFill="1" applyBorder="1" applyAlignment="1">
      <alignment horizontal="center" vertical="top"/>
    </xf>
    <xf numFmtId="0" fontId="64" fillId="22" borderId="47" xfId="0" applyFont="1" applyFill="1" applyBorder="1" applyAlignment="1">
      <alignment horizontal="center" vertical="top"/>
    </xf>
    <xf numFmtId="0" fontId="0" fillId="0" borderId="98" xfId="0" applyBorder="1" applyAlignment="1">
      <alignment horizontal="center" vertical="top" wrapText="1"/>
    </xf>
    <xf numFmtId="0" fontId="0" fillId="0" borderId="99" xfId="0" applyBorder="1" applyAlignment="1">
      <alignment horizontal="center" vertical="top" wrapText="1"/>
    </xf>
    <xf numFmtId="0" fontId="61" fillId="0" borderId="44" xfId="0"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0" fillId="0" borderId="100" xfId="0" applyBorder="1" applyAlignment="1">
      <alignment horizontal="center" vertical="top" wrapText="1"/>
    </xf>
    <xf numFmtId="0" fontId="64" fillId="0" borderId="35" xfId="0" applyFont="1" applyBorder="1" applyAlignment="1">
      <alignment horizontal="center"/>
    </xf>
    <xf numFmtId="0" fontId="64" fillId="0" borderId="36" xfId="0" applyFont="1" applyBorder="1" applyAlignment="1">
      <alignment horizontal="center"/>
    </xf>
    <xf numFmtId="0" fontId="64" fillId="0" borderId="47" xfId="0" applyFont="1" applyBorder="1" applyAlignment="1">
      <alignment horizontal="center"/>
    </xf>
    <xf numFmtId="0" fontId="0" fillId="0" borderId="76" xfId="0" applyBorder="1" applyAlignment="1">
      <alignment horizontal="center" wrapText="1"/>
    </xf>
    <xf numFmtId="0" fontId="0" fillId="0" borderId="82" xfId="0" applyBorder="1" applyAlignment="1">
      <alignment horizontal="center" wrapText="1"/>
    </xf>
    <xf numFmtId="0" fontId="61" fillId="0" borderId="33" xfId="0" applyFont="1" applyBorder="1" applyAlignment="1">
      <alignment horizontal="center" vertical="center"/>
    </xf>
    <xf numFmtId="0" fontId="0" fillId="0" borderId="33" xfId="0" applyBorder="1" applyAlignment="1">
      <alignment horizontal="center" vertical="center" wrapText="1"/>
    </xf>
    <xf numFmtId="0" fontId="0" fillId="0" borderId="0" xfId="0" applyAlignment="1">
      <alignment horizontal="center" vertical="top"/>
    </xf>
    <xf numFmtId="0" fontId="28" fillId="0" borderId="0" xfId="0" applyFont="1" applyAlignment="1">
      <alignment horizontal="center" vertical="top"/>
    </xf>
    <xf numFmtId="0" fontId="16" fillId="0" borderId="75" xfId="0" applyFont="1" applyBorder="1" applyAlignment="1">
      <alignment horizontal="center" vertical="center" wrapText="1"/>
    </xf>
    <xf numFmtId="0" fontId="16" fillId="0" borderId="84" xfId="0" applyFont="1" applyBorder="1" applyAlignment="1">
      <alignment horizontal="center" vertical="center" wrapText="1"/>
    </xf>
    <xf numFmtId="0" fontId="16" fillId="0" borderId="33" xfId="0" applyFont="1" applyBorder="1" applyAlignment="1">
      <alignment horizontal="center" vertical="center" wrapText="1"/>
    </xf>
    <xf numFmtId="0" fontId="51" fillId="27" borderId="48" xfId="2" applyFont="1" applyFill="1" applyBorder="1" applyAlignment="1">
      <alignment horizontal="center" vertical="center" wrapText="1"/>
    </xf>
    <xf numFmtId="0" fontId="51" fillId="27" borderId="49" xfId="2" applyFont="1" applyFill="1" applyBorder="1" applyAlignment="1">
      <alignment horizontal="center" vertical="center" wrapText="1"/>
    </xf>
    <xf numFmtId="0" fontId="51" fillId="27" borderId="50" xfId="2" applyFont="1" applyFill="1" applyBorder="1" applyAlignment="1">
      <alignment horizontal="center" vertical="center" wrapText="1"/>
    </xf>
    <xf numFmtId="0" fontId="50" fillId="0" borderId="14" xfId="2" quotePrefix="1" applyFont="1" applyBorder="1" applyAlignment="1">
      <alignment horizontal="left" vertical="center" wrapText="1"/>
    </xf>
    <xf numFmtId="0" fontId="50" fillId="0" borderId="0" xfId="2" quotePrefix="1" applyFont="1" applyAlignment="1">
      <alignment horizontal="left" vertical="center" wrapText="1"/>
    </xf>
    <xf numFmtId="0" fontId="50" fillId="0" borderId="15" xfId="2" quotePrefix="1" applyFont="1" applyBorder="1" applyAlignment="1">
      <alignment horizontal="left" vertical="center" wrapText="1"/>
    </xf>
    <xf numFmtId="0" fontId="50" fillId="0" borderId="68" xfId="2" quotePrefix="1" applyFont="1" applyBorder="1" applyAlignment="1">
      <alignment horizontal="left" vertical="center" wrapText="1"/>
    </xf>
    <xf numFmtId="0" fontId="50" fillId="0" borderId="69" xfId="2" quotePrefix="1" applyFont="1" applyBorder="1" applyAlignment="1">
      <alignment horizontal="left" vertical="center" wrapText="1"/>
    </xf>
    <xf numFmtId="0" fontId="50" fillId="0" borderId="70" xfId="2" quotePrefix="1" applyFont="1" applyBorder="1" applyAlignment="1">
      <alignment horizontal="left" vertical="center" wrapText="1"/>
    </xf>
    <xf numFmtId="0" fontId="52" fillId="3" borderId="51" xfId="2" quotePrefix="1" applyFont="1" applyFill="1" applyBorder="1" applyAlignment="1">
      <alignment horizontal="left" vertical="top" wrapText="1"/>
    </xf>
    <xf numFmtId="0" fontId="53" fillId="3" borderId="52" xfId="2" quotePrefix="1" applyFont="1" applyFill="1" applyBorder="1" applyAlignment="1">
      <alignment horizontal="left" vertical="top" wrapText="1"/>
    </xf>
    <xf numFmtId="0" fontId="53" fillId="3" borderId="53" xfId="2" quotePrefix="1" applyFont="1" applyFill="1" applyBorder="1" applyAlignment="1">
      <alignment horizontal="left" vertical="top" wrapText="1"/>
    </xf>
    <xf numFmtId="0" fontId="50" fillId="0" borderId="14" xfId="2" quotePrefix="1" applyFont="1" applyBorder="1" applyAlignment="1">
      <alignment horizontal="left" vertical="top" wrapText="1"/>
    </xf>
    <xf numFmtId="0" fontId="50" fillId="0" borderId="0" xfId="2" quotePrefix="1" applyFont="1" applyAlignment="1">
      <alignment horizontal="left" vertical="top" wrapText="1"/>
    </xf>
    <xf numFmtId="0" fontId="50" fillId="0" borderId="15" xfId="2" quotePrefix="1" applyFont="1" applyBorder="1" applyAlignment="1">
      <alignment horizontal="left" vertical="top" wrapText="1"/>
    </xf>
    <xf numFmtId="0" fontId="55" fillId="27" borderId="54" xfId="3" applyFont="1" applyFill="1" applyBorder="1" applyAlignment="1">
      <alignment horizontal="center" vertical="center" wrapText="1"/>
    </xf>
    <xf numFmtId="0" fontId="55" fillId="27" borderId="55" xfId="3" applyFont="1" applyFill="1" applyBorder="1" applyAlignment="1">
      <alignment horizontal="center" vertical="center" wrapText="1"/>
    </xf>
    <xf numFmtId="0" fontId="55" fillId="27" borderId="56" xfId="2" applyFont="1" applyFill="1" applyBorder="1" applyAlignment="1">
      <alignment horizontal="center" vertical="center"/>
    </xf>
    <xf numFmtId="0" fontId="55" fillId="27" borderId="57" xfId="2" applyFont="1" applyFill="1" applyBorder="1" applyAlignment="1">
      <alignment horizontal="center" vertical="center"/>
    </xf>
    <xf numFmtId="0" fontId="2" fillId="3" borderId="68" xfId="2" quotePrefix="1" applyFont="1" applyFill="1" applyBorder="1" applyAlignment="1">
      <alignment horizontal="justify" vertical="center" wrapText="1"/>
    </xf>
    <xf numFmtId="0" fontId="2" fillId="3" borderId="69" xfId="2" quotePrefix="1" applyFont="1" applyFill="1" applyBorder="1" applyAlignment="1">
      <alignment horizontal="justify" vertical="center" wrapText="1"/>
    </xf>
    <xf numFmtId="0" fontId="2" fillId="3" borderId="70" xfId="2" quotePrefix="1" applyFont="1" applyFill="1" applyBorder="1" applyAlignment="1">
      <alignment horizontal="justify" vertical="center" wrapText="1"/>
    </xf>
    <xf numFmtId="0" fontId="55" fillId="3" borderId="58" xfId="3" applyFont="1" applyFill="1" applyBorder="1" applyAlignment="1">
      <alignment horizontal="left" vertical="top" wrapText="1" readingOrder="1"/>
    </xf>
    <xf numFmtId="0" fontId="55" fillId="3" borderId="59" xfId="3" applyFont="1" applyFill="1" applyBorder="1" applyAlignment="1">
      <alignment horizontal="left" vertical="top" wrapText="1" readingOrder="1"/>
    </xf>
    <xf numFmtId="0" fontId="56" fillId="3" borderId="60" xfId="2" applyFont="1" applyFill="1" applyBorder="1" applyAlignment="1">
      <alignment horizontal="justify" vertical="center" wrapText="1"/>
    </xf>
    <xf numFmtId="0" fontId="56" fillId="3" borderId="61" xfId="2" applyFont="1" applyFill="1" applyBorder="1" applyAlignment="1">
      <alignment horizontal="justify" vertical="center" wrapText="1"/>
    </xf>
    <xf numFmtId="0" fontId="55" fillId="3" borderId="62" xfId="0" applyFont="1" applyFill="1" applyBorder="1" applyAlignment="1">
      <alignment horizontal="left" vertical="center" wrapText="1"/>
    </xf>
    <xf numFmtId="0" fontId="55" fillId="3" borderId="63" xfId="0" applyFont="1" applyFill="1" applyBorder="1" applyAlignment="1">
      <alignment horizontal="left" vertical="center" wrapText="1"/>
    </xf>
    <xf numFmtId="0" fontId="56" fillId="3" borderId="64" xfId="2" applyFont="1" applyFill="1" applyBorder="1" applyAlignment="1">
      <alignment horizontal="justify" vertical="center" wrapText="1"/>
    </xf>
    <xf numFmtId="0" fontId="56" fillId="3" borderId="65" xfId="2" applyFont="1" applyFill="1" applyBorder="1" applyAlignment="1">
      <alignment horizontal="justify" vertical="center" wrapText="1"/>
    </xf>
    <xf numFmtId="0" fontId="55" fillId="3" borderId="71" xfId="0" applyFont="1" applyFill="1" applyBorder="1" applyAlignment="1">
      <alignment horizontal="left" vertical="center" wrapText="1"/>
    </xf>
    <xf numFmtId="0" fontId="55" fillId="3" borderId="72" xfId="0" applyFont="1" applyFill="1" applyBorder="1" applyAlignment="1">
      <alignment horizontal="left" vertical="center" wrapText="1"/>
    </xf>
    <xf numFmtId="0" fontId="55" fillId="3" borderId="73" xfId="0" applyFont="1" applyFill="1" applyBorder="1" applyAlignment="1">
      <alignment horizontal="left" vertical="center" wrapText="1"/>
    </xf>
    <xf numFmtId="0" fontId="55" fillId="3" borderId="74" xfId="0" applyFont="1" applyFill="1" applyBorder="1" applyAlignment="1">
      <alignment horizontal="left" vertical="center" wrapText="1"/>
    </xf>
    <xf numFmtId="0" fontId="56" fillId="3" borderId="66" xfId="0" applyFont="1" applyFill="1" applyBorder="1" applyAlignment="1">
      <alignment horizontal="justify" vertical="center" wrapText="1"/>
    </xf>
    <xf numFmtId="0" fontId="56" fillId="3" borderId="67" xfId="0" applyFont="1" applyFill="1" applyBorder="1" applyAlignment="1">
      <alignment horizontal="justify" vertical="center" wrapText="1"/>
    </xf>
    <xf numFmtId="0" fontId="78" fillId="27" borderId="33" xfId="0" applyFont="1" applyFill="1" applyBorder="1" applyAlignment="1">
      <alignment horizontal="center" vertical="center"/>
    </xf>
    <xf numFmtId="0" fontId="61" fillId="0" borderId="33" xfId="0" applyFont="1" applyBorder="1" applyAlignment="1" applyProtection="1">
      <alignment horizontal="center" vertical="center"/>
      <protection locked="0"/>
    </xf>
    <xf numFmtId="0" fontId="1" fillId="0" borderId="33" xfId="0" applyFont="1" applyBorder="1" applyAlignment="1">
      <alignment horizontal="center"/>
    </xf>
    <xf numFmtId="0" fontId="78" fillId="0" borderId="33" xfId="0" applyFont="1" applyBorder="1" applyAlignment="1">
      <alignment horizontal="center" vertical="center"/>
    </xf>
    <xf numFmtId="0" fontId="1" fillId="0" borderId="75" xfId="0" applyFont="1" applyBorder="1" applyAlignment="1">
      <alignment horizontal="center"/>
    </xf>
    <xf numFmtId="0" fontId="1" fillId="0" borderId="84" xfId="0" applyFont="1" applyBorder="1" applyAlignment="1">
      <alignment horizontal="center"/>
    </xf>
    <xf numFmtId="0" fontId="78" fillId="27" borderId="33" xfId="0" applyFont="1" applyFill="1" applyBorder="1" applyAlignment="1">
      <alignment horizontal="center" vertical="center" wrapText="1"/>
    </xf>
    <xf numFmtId="0" fontId="61" fillId="0" borderId="75" xfId="0" applyFont="1" applyBorder="1" applyAlignment="1" applyProtection="1">
      <alignment horizontal="center" vertical="center"/>
      <protection locked="0"/>
    </xf>
    <xf numFmtId="0" fontId="61" fillId="0" borderId="84" xfId="0" applyFont="1" applyBorder="1" applyAlignment="1" applyProtection="1">
      <alignment horizontal="center" vertical="center"/>
      <protection locked="0"/>
    </xf>
    <xf numFmtId="0" fontId="78" fillId="0" borderId="75" xfId="0" applyFont="1" applyBorder="1" applyAlignment="1">
      <alignment horizontal="center" vertical="center"/>
    </xf>
    <xf numFmtId="0" fontId="78" fillId="0" borderId="84" xfId="0" applyFont="1" applyBorder="1" applyAlignment="1">
      <alignment horizontal="center" vertical="center"/>
    </xf>
    <xf numFmtId="0" fontId="0" fillId="0" borderId="33" xfId="0" applyBorder="1" applyAlignment="1" applyProtection="1">
      <alignment horizontal="center"/>
      <protection locked="0"/>
    </xf>
    <xf numFmtId="0" fontId="78" fillId="27" borderId="75" xfId="0" applyFont="1" applyFill="1" applyBorder="1" applyAlignment="1">
      <alignment horizontal="center" vertical="center" wrapText="1"/>
    </xf>
    <xf numFmtId="0" fontId="78" fillId="27" borderId="83" xfId="0" applyFont="1" applyFill="1" applyBorder="1" applyAlignment="1">
      <alignment horizontal="center" vertical="center" wrapText="1"/>
    </xf>
    <xf numFmtId="0" fontId="78" fillId="27" borderId="84" xfId="0" applyFont="1" applyFill="1" applyBorder="1" applyAlignment="1">
      <alignment horizontal="center" vertical="center" wrapText="1"/>
    </xf>
    <xf numFmtId="0" fontId="1" fillId="0" borderId="0" xfId="0" applyFont="1" applyAlignment="1">
      <alignment horizontal="center"/>
    </xf>
    <xf numFmtId="0" fontId="76" fillId="24" borderId="89" xfId="0" applyFont="1" applyFill="1" applyBorder="1" applyAlignment="1">
      <alignment horizontal="center" vertical="center"/>
    </xf>
    <xf numFmtId="0" fontId="76" fillId="24" borderId="90" xfId="0" applyFont="1" applyFill="1" applyBorder="1" applyAlignment="1">
      <alignment horizontal="center" vertical="center"/>
    </xf>
    <xf numFmtId="0" fontId="76" fillId="0" borderId="0" xfId="0" applyFont="1" applyAlignment="1">
      <alignment horizontal="center" vertical="center"/>
    </xf>
    <xf numFmtId="0" fontId="76" fillId="0" borderId="78" xfId="0" applyFont="1" applyBorder="1" applyAlignment="1">
      <alignment horizontal="center" vertical="center"/>
    </xf>
    <xf numFmtId="0" fontId="61" fillId="0" borderId="0" xfId="0" applyFont="1" applyAlignment="1" applyProtection="1">
      <alignment horizontal="center" vertical="center" wrapText="1"/>
      <protection locked="0"/>
    </xf>
    <xf numFmtId="9" fontId="74" fillId="0" borderId="33" xfId="0" applyNumberFormat="1" applyFont="1" applyBorder="1" applyAlignment="1" applyProtection="1">
      <alignment horizontal="center" vertical="top" wrapText="1"/>
      <protection hidden="1"/>
    </xf>
    <xf numFmtId="0" fontId="78"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protection locked="0"/>
    </xf>
    <xf numFmtId="0" fontId="78" fillId="0" borderId="33" xfId="0" applyFont="1" applyBorder="1" applyAlignment="1" applyProtection="1">
      <alignment horizontal="center" vertical="top" wrapText="1"/>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lignment horizontal="center" vertical="top"/>
    </xf>
    <xf numFmtId="0" fontId="79" fillId="0" borderId="33" xfId="0" applyFont="1" applyBorder="1" applyAlignment="1" applyProtection="1">
      <alignment horizontal="center" vertical="top" wrapText="1"/>
      <protection locked="0"/>
    </xf>
    <xf numFmtId="0" fontId="74" fillId="0" borderId="81" xfId="0" applyFont="1" applyBorder="1" applyAlignment="1" applyProtection="1">
      <alignment horizontal="center" vertical="top"/>
      <protection locked="0"/>
    </xf>
    <xf numFmtId="0" fontId="74" fillId="0" borderId="34" xfId="0" applyFont="1" applyBorder="1" applyAlignment="1" applyProtection="1">
      <alignment horizontal="center" vertical="top"/>
      <protection locked="0"/>
    </xf>
    <xf numFmtId="0" fontId="78" fillId="27" borderId="33" xfId="0" applyFont="1" applyFill="1" applyBorder="1" applyAlignment="1">
      <alignment horizontal="center" vertical="center" textRotation="90" wrapText="1"/>
    </xf>
    <xf numFmtId="0" fontId="78" fillId="27" borderId="81" xfId="0" applyFont="1" applyFill="1" applyBorder="1" applyAlignment="1">
      <alignment horizontal="center" vertical="center" wrapText="1"/>
    </xf>
    <xf numFmtId="0" fontId="78" fillId="27" borderId="34" xfId="0" applyFont="1" applyFill="1" applyBorder="1" applyAlignment="1">
      <alignment horizontal="center" vertical="center" wrapText="1"/>
    </xf>
    <xf numFmtId="0" fontId="78" fillId="24" borderId="33" xfId="0" applyFont="1" applyFill="1" applyBorder="1" applyAlignment="1">
      <alignment horizontal="center" vertical="center" wrapText="1"/>
    </xf>
    <xf numFmtId="0" fontId="75" fillId="27" borderId="89" xfId="0" applyFont="1" applyFill="1" applyBorder="1" applyAlignment="1">
      <alignment horizontal="center" vertical="center"/>
    </xf>
    <xf numFmtId="0" fontId="75" fillId="27" borderId="90" xfId="0" applyFont="1" applyFill="1" applyBorder="1" applyAlignment="1">
      <alignment horizontal="center" vertical="center"/>
    </xf>
    <xf numFmtId="0" fontId="75" fillId="27" borderId="91" xfId="0" applyFont="1" applyFill="1" applyBorder="1" applyAlignment="1">
      <alignment horizontal="center" vertical="center"/>
    </xf>
    <xf numFmtId="0" fontId="75" fillId="27" borderId="92" xfId="0" applyFont="1" applyFill="1" applyBorder="1" applyAlignment="1">
      <alignment horizontal="center" vertical="center"/>
    </xf>
    <xf numFmtId="0" fontId="75" fillId="27" borderId="81" xfId="0" applyFont="1" applyFill="1" applyBorder="1" applyAlignment="1">
      <alignment horizontal="center" vertical="center"/>
    </xf>
    <xf numFmtId="0" fontId="75" fillId="27" borderId="40" xfId="0" applyFont="1" applyFill="1" applyBorder="1" applyAlignment="1">
      <alignment horizontal="center" vertical="center"/>
    </xf>
    <xf numFmtId="0" fontId="75" fillId="27" borderId="41" xfId="0" applyFont="1" applyFill="1" applyBorder="1" applyAlignment="1">
      <alignment horizontal="center" vertical="center"/>
    </xf>
    <xf numFmtId="0" fontId="76" fillId="27" borderId="33" xfId="0" applyFont="1" applyFill="1" applyBorder="1" applyAlignment="1">
      <alignment horizontal="left" vertical="center"/>
    </xf>
    <xf numFmtId="0" fontId="77" fillId="22" borderId="33" xfId="0" applyFont="1" applyFill="1" applyBorder="1" applyAlignment="1" applyProtection="1">
      <alignment horizontal="left" vertical="center"/>
      <protection locked="0"/>
    </xf>
    <xf numFmtId="0" fontId="74" fillId="3" borderId="0" xfId="0" applyFont="1" applyFill="1" applyAlignment="1">
      <alignment horizontal="left" vertical="center"/>
    </xf>
    <xf numFmtId="0" fontId="78" fillId="13" borderId="33" xfId="0" applyFont="1" applyFill="1" applyBorder="1" applyAlignment="1">
      <alignment horizontal="center" vertical="center" wrapText="1"/>
    </xf>
    <xf numFmtId="0" fontId="78" fillId="24" borderId="81" xfId="0" applyFont="1" applyFill="1" applyBorder="1" applyAlignment="1">
      <alignment horizontal="center" vertical="center" wrapText="1"/>
    </xf>
    <xf numFmtId="0" fontId="78" fillId="24" borderId="34" xfId="0" applyFont="1" applyFill="1" applyBorder="1" applyAlignment="1">
      <alignment horizontal="center" vertical="center" wrapText="1"/>
    </xf>
    <xf numFmtId="0" fontId="1" fillId="0" borderId="4"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1" fillId="0" borderId="4"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5" xfId="0" applyFont="1" applyBorder="1" applyAlignment="1" applyProtection="1">
      <alignment horizontal="center" vertical="top"/>
      <protection locked="0"/>
    </xf>
    <xf numFmtId="0" fontId="4" fillId="0" borderId="4" xfId="0" applyFont="1" applyBorder="1" applyAlignment="1" applyProtection="1">
      <alignment horizontal="center" vertical="top" wrapText="1"/>
      <protection hidden="1"/>
    </xf>
    <xf numFmtId="0" fontId="4" fillId="0" borderId="8"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0" fontId="1" fillId="0" borderId="4" xfId="0" applyFont="1" applyBorder="1" applyAlignment="1">
      <alignment horizontal="center" vertical="top"/>
    </xf>
    <xf numFmtId="0" fontId="1" fillId="0" borderId="8" xfId="0" applyFont="1" applyBorder="1" applyAlignment="1">
      <alignment horizontal="center" vertical="top"/>
    </xf>
    <xf numFmtId="0" fontId="1" fillId="0" borderId="5" xfId="0" applyFont="1" applyBorder="1" applyAlignment="1">
      <alignment horizontal="center" vertical="top"/>
    </xf>
    <xf numFmtId="0" fontId="2" fillId="0" borderId="4"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4" fillId="0" borderId="4" xfId="0" applyFont="1" applyBorder="1" applyAlignment="1" applyProtection="1">
      <alignment horizontal="center" vertical="top"/>
      <protection hidden="1"/>
    </xf>
    <xf numFmtId="0" fontId="4" fillId="0" borderId="8"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9" fontId="1" fillId="0" borderId="4" xfId="0" applyNumberFormat="1" applyFont="1" applyBorder="1" applyAlignment="1" applyProtection="1">
      <alignment horizontal="center" vertical="top" wrapText="1"/>
      <protection hidden="1"/>
    </xf>
    <xf numFmtId="9" fontId="1" fillId="0" borderId="8" xfId="0" applyNumberFormat="1" applyFont="1" applyBorder="1" applyAlignment="1" applyProtection="1">
      <alignment horizontal="center" vertical="top" wrapText="1"/>
      <protection hidden="1"/>
    </xf>
    <xf numFmtId="9" fontId="1" fillId="0" borderId="5" xfId="0" applyNumberFormat="1" applyFont="1" applyBorder="1" applyAlignment="1" applyProtection="1">
      <alignment horizontal="center" vertical="top" wrapText="1"/>
      <protection hidden="1"/>
    </xf>
    <xf numFmtId="9" fontId="1" fillId="0" borderId="4" xfId="0" applyNumberFormat="1" applyFont="1" applyBorder="1" applyAlignment="1" applyProtection="1">
      <alignment horizontal="center" vertical="top" wrapText="1"/>
      <protection locked="0"/>
    </xf>
    <xf numFmtId="9" fontId="1" fillId="0" borderId="8" xfId="0" applyNumberFormat="1" applyFont="1" applyBorder="1" applyAlignment="1" applyProtection="1">
      <alignment horizontal="center" vertical="top" wrapText="1"/>
      <protection locked="0"/>
    </xf>
    <xf numFmtId="9" fontId="1" fillId="0" borderId="5" xfId="0" applyNumberFormat="1" applyFont="1" applyBorder="1" applyAlignment="1" applyProtection="1">
      <alignment horizontal="center" vertical="top" wrapText="1"/>
      <protection locked="0"/>
    </xf>
    <xf numFmtId="0" fontId="4" fillId="2" borderId="2" xfId="0" applyFont="1" applyFill="1" applyBorder="1" applyAlignment="1">
      <alignment horizontal="center" vertical="center" textRotation="90"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xf>
    <xf numFmtId="0" fontId="27" fillId="2" borderId="4" xfId="0" applyFont="1" applyFill="1" applyBorder="1" applyAlignment="1">
      <alignment horizontal="center" vertical="center" textRotation="90"/>
    </xf>
    <xf numFmtId="0" fontId="27" fillId="2" borderId="5" xfId="0" applyFont="1" applyFill="1" applyBorder="1" applyAlignment="1">
      <alignment horizontal="center" vertical="center" textRotation="90"/>
    </xf>
    <xf numFmtId="0" fontId="4" fillId="2" borderId="5" xfId="0" applyFont="1" applyFill="1" applyBorder="1" applyAlignment="1">
      <alignment horizontal="center" vertical="center"/>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8" fillId="3" borderId="6"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protection locked="0"/>
    </xf>
    <xf numFmtId="0" fontId="8" fillId="3" borderId="6"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1" fillId="3" borderId="0" xfId="0" applyFont="1" applyFill="1" applyAlignment="1">
      <alignment horizontal="left"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30"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xf>
    <xf numFmtId="0" fontId="1" fillId="0" borderId="6" xfId="0" applyFont="1" applyBorder="1" applyAlignment="1">
      <alignment horizontal="left" vertical="center" wrapText="1"/>
    </xf>
    <xf numFmtId="0" fontId="1" fillId="0" borderId="10" xfId="0" applyFont="1" applyBorder="1" applyAlignment="1">
      <alignment horizontal="left" vertical="center" wrapText="1"/>
    </xf>
    <xf numFmtId="0" fontId="1" fillId="0" borderId="7" xfId="0" applyFont="1" applyBorder="1" applyAlignment="1">
      <alignment horizontal="left" vertical="center" wrapText="1"/>
    </xf>
    <xf numFmtId="164" fontId="74" fillId="0" borderId="81" xfId="1" applyNumberFormat="1" applyFont="1" applyFill="1" applyBorder="1" applyAlignment="1">
      <alignment horizontal="center" vertical="top"/>
    </xf>
    <xf numFmtId="164" fontId="74" fillId="0" borderId="34" xfId="1" applyNumberFormat="1" applyFont="1" applyFill="1" applyBorder="1" applyAlignment="1">
      <alignment horizontal="center" vertical="top"/>
    </xf>
    <xf numFmtId="9" fontId="85" fillId="0" borderId="81" xfId="0" applyNumberFormat="1" applyFont="1" applyBorder="1" applyAlignment="1" applyProtection="1">
      <alignment horizontal="center" vertical="top" wrapText="1"/>
      <protection locked="0"/>
    </xf>
    <xf numFmtId="9" fontId="85" fillId="0" borderId="85" xfId="0" applyNumberFormat="1" applyFont="1" applyBorder="1" applyAlignment="1" applyProtection="1">
      <alignment horizontal="center" vertical="top" wrapText="1"/>
      <protection locked="0"/>
    </xf>
    <xf numFmtId="0" fontId="78" fillId="0" borderId="81" xfId="0" applyFont="1" applyBorder="1" applyAlignment="1" applyProtection="1">
      <alignment horizontal="center" vertical="top"/>
      <protection hidden="1"/>
    </xf>
    <xf numFmtId="0" fontId="78" fillId="0" borderId="85" xfId="0" applyFont="1" applyBorder="1" applyAlignment="1" applyProtection="1">
      <alignment horizontal="center" vertical="top"/>
      <protection hidden="1"/>
    </xf>
    <xf numFmtId="9" fontId="74" fillId="0" borderId="81" xfId="0" applyNumberFormat="1" applyFont="1" applyBorder="1" applyAlignment="1" applyProtection="1">
      <alignment horizontal="center" vertical="top" wrapText="1"/>
      <protection hidden="1"/>
    </xf>
    <xf numFmtId="9" fontId="74" fillId="0" borderId="85" xfId="0" applyNumberFormat="1" applyFont="1" applyBorder="1" applyAlignment="1" applyProtection="1">
      <alignment horizontal="center" vertical="top" wrapText="1"/>
      <protection hidden="1"/>
    </xf>
    <xf numFmtId="0" fontId="78" fillId="0" borderId="81" xfId="0" applyFont="1" applyBorder="1" applyAlignment="1" applyProtection="1">
      <alignment horizontal="center" vertical="top" wrapText="1"/>
      <protection hidden="1"/>
    </xf>
    <xf numFmtId="0" fontId="78" fillId="0" borderId="85" xfId="0" applyFont="1" applyBorder="1" applyAlignment="1" applyProtection="1">
      <alignment horizontal="center" vertical="top" wrapText="1"/>
      <protection hidden="1"/>
    </xf>
    <xf numFmtId="14" fontId="74" fillId="0" borderId="81" xfId="0" applyNumberFormat="1" applyFont="1" applyBorder="1" applyAlignment="1" applyProtection="1">
      <alignment horizontal="center" vertical="top"/>
      <protection locked="0"/>
    </xf>
    <xf numFmtId="14" fontId="74" fillId="0" borderId="34" xfId="0" applyNumberFormat="1" applyFont="1" applyBorder="1" applyAlignment="1" applyProtection="1">
      <alignment horizontal="center" vertical="top"/>
      <protection locked="0"/>
    </xf>
    <xf numFmtId="0" fontId="79" fillId="0" borderId="33" xfId="0" applyFont="1" applyBorder="1" applyAlignment="1" applyProtection="1">
      <alignment horizontal="center" vertical="top"/>
      <protection locked="0"/>
    </xf>
    <xf numFmtId="9" fontId="85" fillId="0" borderId="33" xfId="0" applyNumberFormat="1" applyFont="1" applyBorder="1" applyAlignment="1" applyProtection="1">
      <alignment horizontal="center" vertical="top" wrapText="1"/>
      <protection locked="0"/>
    </xf>
    <xf numFmtId="0" fontId="85" fillId="0" borderId="33" xfId="0" applyFont="1" applyBorder="1" applyAlignment="1" applyProtection="1">
      <alignment horizontal="center" vertical="top" wrapText="1"/>
      <protection locked="0"/>
    </xf>
    <xf numFmtId="9" fontId="74" fillId="0" borderId="81" xfId="0" applyNumberFormat="1" applyFont="1" applyBorder="1" applyAlignment="1" applyProtection="1">
      <alignment horizontal="center" vertical="top"/>
      <protection hidden="1"/>
    </xf>
    <xf numFmtId="9" fontId="74" fillId="0" borderId="34" xfId="0" applyNumberFormat="1" applyFont="1" applyBorder="1" applyAlignment="1" applyProtection="1">
      <alignment horizontal="center" vertical="top"/>
      <protection hidden="1"/>
    </xf>
    <xf numFmtId="0" fontId="78" fillId="0" borderId="81" xfId="0" applyFont="1" applyBorder="1" applyAlignment="1" applyProtection="1">
      <alignment horizontal="center" vertical="top" textRotation="90" wrapText="1"/>
      <protection hidden="1"/>
    </xf>
    <xf numFmtId="0" fontId="78" fillId="0" borderId="34" xfId="0" applyFont="1" applyBorder="1" applyAlignment="1" applyProtection="1">
      <alignment horizontal="center" vertical="top" textRotation="90" wrapText="1"/>
      <protection hidden="1"/>
    </xf>
    <xf numFmtId="0" fontId="78" fillId="0" borderId="81" xfId="0" applyFont="1" applyBorder="1" applyAlignment="1" applyProtection="1">
      <alignment horizontal="center" vertical="top" textRotation="90"/>
      <protection hidden="1"/>
    </xf>
    <xf numFmtId="0" fontId="78" fillId="0" borderId="34" xfId="0" applyFont="1" applyBorder="1" applyAlignment="1" applyProtection="1">
      <alignment horizontal="center" vertical="top" textRotation="90"/>
      <protection hidden="1"/>
    </xf>
    <xf numFmtId="0" fontId="74" fillId="0" borderId="81" xfId="0" applyFont="1" applyBorder="1" applyAlignment="1" applyProtection="1">
      <alignment horizontal="center" vertical="top" textRotation="90"/>
      <protection locked="0"/>
    </xf>
    <xf numFmtId="0" fontId="74" fillId="0" borderId="34" xfId="0" applyFont="1" applyBorder="1" applyAlignment="1" applyProtection="1">
      <alignment horizontal="center" vertical="top" textRotation="90"/>
      <protection locked="0"/>
    </xf>
    <xf numFmtId="0" fontId="74" fillId="0" borderId="81" xfId="0" applyFont="1" applyBorder="1" applyAlignment="1" applyProtection="1">
      <alignment horizontal="center" vertical="top"/>
      <protection hidden="1"/>
    </xf>
    <xf numFmtId="0" fontId="74" fillId="0" borderId="34" xfId="0" applyFont="1" applyBorder="1" applyAlignment="1" applyProtection="1">
      <alignment horizontal="center" vertical="top"/>
      <protection hidden="1"/>
    </xf>
    <xf numFmtId="0" fontId="79" fillId="0" borderId="81" xfId="0" applyFont="1" applyBorder="1" applyAlignment="1" applyProtection="1">
      <alignment horizontal="center" vertical="top" textRotation="90"/>
      <protection locked="0"/>
    </xf>
    <xf numFmtId="0" fontId="79" fillId="0" borderId="34" xfId="0" applyFont="1" applyBorder="1" applyAlignment="1" applyProtection="1">
      <alignment horizontal="center" vertical="top" textRotation="90"/>
      <protection locked="0"/>
    </xf>
    <xf numFmtId="0" fontId="74" fillId="0" borderId="81" xfId="0" applyFont="1" applyBorder="1" applyAlignment="1" applyProtection="1">
      <alignment horizontal="center" vertical="top" wrapText="1"/>
      <protection locked="0"/>
    </xf>
    <xf numFmtId="0" fontId="74" fillId="0" borderId="34" xfId="0" applyFont="1" applyBorder="1" applyAlignment="1" applyProtection="1">
      <alignment horizontal="center" vertical="top" wrapText="1"/>
      <protection locked="0"/>
    </xf>
    <xf numFmtId="0" fontId="48" fillId="0" borderId="81" xfId="0" applyFont="1" applyBorder="1" applyAlignment="1" applyProtection="1">
      <alignment horizontal="left" vertical="top" wrapText="1"/>
      <protection locked="0"/>
    </xf>
    <xf numFmtId="0" fontId="48" fillId="0" borderId="34" xfId="0" applyFont="1" applyBorder="1" applyAlignment="1" applyProtection="1">
      <alignment horizontal="left" vertical="top" wrapText="1"/>
      <protection locked="0"/>
    </xf>
    <xf numFmtId="0" fontId="74" fillId="0" borderId="81" xfId="0" applyFont="1" applyBorder="1" applyAlignment="1">
      <alignment horizontal="center" vertical="top"/>
    </xf>
    <xf numFmtId="0" fontId="74" fillId="0" borderId="34" xfId="0" applyFont="1" applyBorder="1" applyAlignment="1">
      <alignment horizontal="center" vertical="top"/>
    </xf>
    <xf numFmtId="9" fontId="74" fillId="0" borderId="33" xfId="0" applyNumberFormat="1" applyFont="1" applyBorder="1" applyAlignment="1" applyProtection="1">
      <alignment horizontal="center" vertical="top" wrapText="1"/>
      <protection locked="0"/>
    </xf>
    <xf numFmtId="0" fontId="74" fillId="0" borderId="85" xfId="0" applyFont="1" applyBorder="1" applyAlignment="1" applyProtection="1">
      <alignment horizontal="center" vertical="top" wrapText="1"/>
      <protection locked="0"/>
    </xf>
    <xf numFmtId="0" fontId="74" fillId="0" borderId="85" xfId="0" applyFont="1" applyBorder="1" applyAlignment="1">
      <alignment horizontal="center" vertical="top"/>
    </xf>
    <xf numFmtId="0" fontId="74" fillId="13" borderId="33" xfId="0" applyFont="1" applyFill="1" applyBorder="1" applyAlignment="1" applyProtection="1">
      <alignment horizontal="center" vertical="top" wrapText="1"/>
      <protection locked="0"/>
    </xf>
    <xf numFmtId="0" fontId="79" fillId="13" borderId="33" xfId="0" applyFont="1" applyFill="1" applyBorder="1" applyAlignment="1" applyProtection="1">
      <alignment horizontal="center" vertical="top" wrapText="1"/>
      <protection locked="0"/>
    </xf>
    <xf numFmtId="0" fontId="74" fillId="0" borderId="85" xfId="0" applyFont="1" applyBorder="1" applyAlignment="1" applyProtection="1">
      <alignment horizontal="center" vertical="top"/>
      <protection locked="0"/>
    </xf>
    <xf numFmtId="0" fontId="79" fillId="0" borderId="81" xfId="0" applyFont="1" applyBorder="1" applyAlignment="1" applyProtection="1">
      <alignment horizontal="center" vertical="top" wrapText="1"/>
      <protection locked="0"/>
    </xf>
    <xf numFmtId="0" fontId="79" fillId="0" borderId="85" xfId="0" applyFont="1" applyBorder="1" applyAlignment="1" applyProtection="1">
      <alignment horizontal="center" vertical="top" wrapText="1"/>
      <protection locked="0"/>
    </xf>
    <xf numFmtId="0" fontId="78" fillId="0" borderId="33" xfId="0" applyFont="1" applyBorder="1" applyAlignment="1">
      <alignment horizontal="center" vertical="center" wrapText="1"/>
    </xf>
    <xf numFmtId="9" fontId="74" fillId="0" borderId="34" xfId="0" applyNumberFormat="1" applyFont="1" applyBorder="1" applyAlignment="1" applyProtection="1">
      <alignment horizontal="center" vertical="top" wrapText="1"/>
      <protection hidden="1"/>
    </xf>
    <xf numFmtId="9" fontId="84" fillId="0" borderId="81" xfId="0" applyNumberFormat="1" applyFont="1" applyBorder="1" applyAlignment="1" applyProtection="1">
      <alignment horizontal="center" vertical="top" wrapText="1"/>
      <protection hidden="1"/>
    </xf>
    <xf numFmtId="9" fontId="84" fillId="0" borderId="85" xfId="0" applyNumberFormat="1" applyFont="1" applyBorder="1" applyAlignment="1" applyProtection="1">
      <alignment horizontal="center" vertical="top" wrapText="1"/>
      <protection hidden="1"/>
    </xf>
    <xf numFmtId="9" fontId="84" fillId="0" borderId="34" xfId="0" applyNumberFormat="1" applyFont="1" applyBorder="1" applyAlignment="1" applyProtection="1">
      <alignment horizontal="center" vertical="top" wrapText="1"/>
      <protection hidden="1"/>
    </xf>
    <xf numFmtId="0" fontId="79" fillId="0" borderId="34" xfId="0" applyFont="1" applyBorder="1" applyAlignment="1" applyProtection="1">
      <alignment horizontal="center" vertical="top" wrapText="1"/>
      <protection locked="0"/>
    </xf>
    <xf numFmtId="9" fontId="74" fillId="0" borderId="81" xfId="0" applyNumberFormat="1" applyFont="1" applyBorder="1" applyAlignment="1" applyProtection="1">
      <alignment horizontal="center" vertical="top" wrapText="1"/>
      <protection locked="0"/>
    </xf>
    <xf numFmtId="9" fontId="74" fillId="0" borderId="85" xfId="0" applyNumberFormat="1" applyFont="1" applyBorder="1" applyAlignment="1" applyProtection="1">
      <alignment horizontal="center" vertical="top" wrapText="1"/>
      <protection locked="0"/>
    </xf>
    <xf numFmtId="0" fontId="75" fillId="27" borderId="39" xfId="0" applyFont="1" applyFill="1" applyBorder="1" applyAlignment="1">
      <alignment horizontal="center" vertical="center"/>
    </xf>
    <xf numFmtId="0" fontId="76" fillId="27" borderId="81" xfId="0" applyFont="1" applyFill="1" applyBorder="1" applyAlignment="1">
      <alignment horizontal="left" vertical="center"/>
    </xf>
    <xf numFmtId="0" fontId="77" fillId="22" borderId="81" xfId="0" applyFont="1" applyFill="1" applyBorder="1" applyAlignment="1" applyProtection="1">
      <alignment horizontal="left" vertical="center" wrapText="1"/>
      <protection locked="0"/>
    </xf>
    <xf numFmtId="0" fontId="73" fillId="27" borderId="33" xfId="0" applyFont="1" applyFill="1" applyBorder="1" applyAlignment="1">
      <alignment horizontal="center" vertical="center" textRotation="90"/>
    </xf>
    <xf numFmtId="0" fontId="78" fillId="24" borderId="33" xfId="0" applyFont="1" applyFill="1" applyBorder="1" applyAlignment="1">
      <alignment horizontal="center" vertical="center"/>
    </xf>
    <xf numFmtId="0" fontId="78" fillId="24" borderId="75" xfId="0" applyFont="1" applyFill="1" applyBorder="1" applyAlignment="1">
      <alignment horizontal="center" vertical="center"/>
    </xf>
    <xf numFmtId="0" fontId="78" fillId="24" borderId="83" xfId="0" applyFont="1" applyFill="1" applyBorder="1" applyAlignment="1">
      <alignment horizontal="center" vertical="center"/>
    </xf>
    <xf numFmtId="0" fontId="78" fillId="24" borderId="84" xfId="0" applyFont="1" applyFill="1" applyBorder="1" applyAlignment="1">
      <alignment horizontal="center" vertical="center"/>
    </xf>
    <xf numFmtId="0" fontId="78" fillId="0" borderId="34" xfId="0" applyFont="1" applyBorder="1" applyAlignment="1" applyProtection="1">
      <alignment horizontal="center" vertical="top"/>
      <protection hidden="1"/>
    </xf>
    <xf numFmtId="0" fontId="78" fillId="0" borderId="34" xfId="0" applyFont="1" applyBorder="1" applyAlignment="1" applyProtection="1">
      <alignment horizontal="center" vertical="top" wrapText="1"/>
      <protection hidden="1"/>
    </xf>
    <xf numFmtId="0" fontId="85" fillId="0" borderId="85" xfId="0" applyFont="1" applyBorder="1" applyAlignment="1" applyProtection="1">
      <alignment horizontal="center" vertical="top" wrapText="1"/>
      <protection locked="0"/>
    </xf>
    <xf numFmtId="0" fontId="85" fillId="0" borderId="34" xfId="0" applyFont="1" applyBorder="1" applyAlignment="1" applyProtection="1">
      <alignment horizontal="center" vertical="top" wrapText="1"/>
      <protection locked="0"/>
    </xf>
    <xf numFmtId="0" fontId="74" fillId="0" borderId="81" xfId="0" applyFont="1" applyBorder="1" applyAlignment="1">
      <alignment horizontal="center" vertical="center"/>
    </xf>
    <xf numFmtId="0" fontId="74" fillId="0" borderId="85" xfId="0" applyFont="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85"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85" xfId="0" applyFont="1" applyBorder="1" applyAlignment="1" applyProtection="1">
      <alignment horizontal="center" vertical="center" wrapText="1"/>
      <protection locked="0"/>
    </xf>
    <xf numFmtId="0" fontId="87" fillId="0" borderId="81" xfId="0" applyFont="1" applyBorder="1" applyAlignment="1" applyProtection="1">
      <alignment horizontal="center" vertical="center" wrapText="1"/>
      <protection locked="0"/>
    </xf>
    <xf numFmtId="0" fontId="87" fillId="0" borderId="85" xfId="0" applyFont="1" applyBorder="1" applyAlignment="1" applyProtection="1">
      <alignment horizontal="center" vertical="center" wrapText="1"/>
      <protection locked="0"/>
    </xf>
    <xf numFmtId="0" fontId="79" fillId="0" borderId="81" xfId="0" applyFont="1" applyBorder="1" applyAlignment="1" applyProtection="1">
      <alignment horizontal="center" vertical="top"/>
      <protection locked="0"/>
    </xf>
    <xf numFmtId="0" fontId="79" fillId="0" borderId="85" xfId="0" applyFont="1" applyBorder="1" applyAlignment="1" applyProtection="1">
      <alignment horizontal="center" vertical="top"/>
      <protection locked="0"/>
    </xf>
    <xf numFmtId="0" fontId="15" fillId="0" borderId="0" xfId="5" applyAlignment="1" applyProtection="1">
      <alignment horizontal="center" vertical="center"/>
      <protection locked="0"/>
    </xf>
    <xf numFmtId="0" fontId="75" fillId="27" borderId="89" xfId="5" applyFont="1" applyFill="1" applyBorder="1" applyAlignment="1">
      <alignment horizontal="center" vertical="center"/>
    </xf>
    <xf numFmtId="0" fontId="75" fillId="27" borderId="90" xfId="5" applyFont="1" applyFill="1" applyBorder="1" applyAlignment="1">
      <alignment horizontal="center" vertical="center"/>
    </xf>
    <xf numFmtId="0" fontId="75" fillId="27" borderId="91" xfId="5" applyFont="1" applyFill="1" applyBorder="1" applyAlignment="1">
      <alignment horizontal="center" vertical="center"/>
    </xf>
    <xf numFmtId="0" fontId="75" fillId="27" borderId="39" xfId="5" applyFont="1" applyFill="1" applyBorder="1" applyAlignment="1">
      <alignment horizontal="center" vertical="center"/>
    </xf>
    <xf numFmtId="0" fontId="75" fillId="27" borderId="40" xfId="5" applyFont="1" applyFill="1" applyBorder="1" applyAlignment="1">
      <alignment horizontal="center" vertical="center"/>
    </xf>
    <xf numFmtId="0" fontId="75" fillId="27" borderId="41" xfId="5" applyFont="1" applyFill="1" applyBorder="1" applyAlignment="1">
      <alignment horizontal="center" vertical="center"/>
    </xf>
    <xf numFmtId="0" fontId="76" fillId="27" borderId="44" xfId="5" applyFont="1" applyFill="1" applyBorder="1" applyAlignment="1">
      <alignment horizontal="center" vertical="center"/>
    </xf>
    <xf numFmtId="0" fontId="76" fillId="27" borderId="45" xfId="5" applyFont="1" applyFill="1" applyBorder="1" applyAlignment="1">
      <alignment horizontal="center" vertical="center"/>
    </xf>
    <xf numFmtId="0" fontId="76" fillId="27" borderId="103" xfId="5" applyFont="1" applyFill="1" applyBorder="1" applyAlignment="1">
      <alignment horizontal="center" vertical="center"/>
    </xf>
    <xf numFmtId="0" fontId="76" fillId="27" borderId="46" xfId="5" applyFont="1" applyFill="1" applyBorder="1" applyAlignment="1">
      <alignment horizontal="center" vertical="center"/>
    </xf>
    <xf numFmtId="0" fontId="77" fillId="22" borderId="35" xfId="5" applyFont="1" applyFill="1" applyBorder="1" applyAlignment="1" applyProtection="1">
      <alignment horizontal="left" vertical="center"/>
      <protection locked="0"/>
    </xf>
    <xf numFmtId="0" fontId="77" fillId="22" borderId="36" xfId="5" applyFont="1" applyFill="1" applyBorder="1" applyAlignment="1" applyProtection="1">
      <alignment horizontal="left" vertical="center"/>
      <protection locked="0"/>
    </xf>
    <xf numFmtId="0" fontId="77" fillId="22" borderId="47" xfId="5" applyFont="1" applyFill="1" applyBorder="1" applyAlignment="1" applyProtection="1">
      <alignment horizontal="left" vertical="center"/>
      <protection locked="0"/>
    </xf>
    <xf numFmtId="0" fontId="74" fillId="3" borderId="80" xfId="5" applyFont="1" applyFill="1" applyBorder="1" applyAlignment="1">
      <alignment horizontal="left" vertical="center"/>
    </xf>
    <xf numFmtId="0" fontId="74" fillId="3" borderId="34" xfId="5" applyFont="1" applyFill="1" applyBorder="1" applyAlignment="1">
      <alignment horizontal="left" vertical="center"/>
    </xf>
    <xf numFmtId="0" fontId="61" fillId="0" borderId="34" xfId="5" applyFont="1" applyBorder="1" applyAlignment="1" applyProtection="1">
      <alignment horizontal="left" vertical="center" wrapText="1"/>
      <protection locked="0"/>
    </xf>
    <xf numFmtId="0" fontId="15" fillId="0" borderId="34" xfId="5" applyBorder="1" applyAlignment="1" applyProtection="1">
      <alignment horizontal="center" vertical="center"/>
      <protection locked="0"/>
    </xf>
    <xf numFmtId="0" fontId="75" fillId="24" borderId="0" xfId="5" applyFont="1" applyFill="1" applyAlignment="1">
      <alignment horizontal="center" vertical="center"/>
    </xf>
    <xf numFmtId="0" fontId="75" fillId="24" borderId="78" xfId="5" applyFont="1" applyFill="1" applyBorder="1" applyAlignment="1">
      <alignment horizontal="center" vertical="center"/>
    </xf>
    <xf numFmtId="0" fontId="78" fillId="27" borderId="33" xfId="5" applyFont="1" applyFill="1" applyBorder="1" applyAlignment="1">
      <alignment horizontal="center" vertical="center" wrapText="1"/>
    </xf>
    <xf numFmtId="0" fontId="78" fillId="27" borderId="75" xfId="5" applyFont="1" applyFill="1" applyBorder="1" applyAlignment="1">
      <alignment horizontal="center" vertical="center" wrapText="1"/>
    </xf>
    <xf numFmtId="0" fontId="78" fillId="27" borderId="84" xfId="5" applyFont="1" applyFill="1" applyBorder="1" applyAlignment="1">
      <alignment horizontal="center" vertical="center" wrapText="1"/>
    </xf>
    <xf numFmtId="0" fontId="86" fillId="0" borderId="104" xfId="6" applyFont="1" applyBorder="1" applyAlignment="1">
      <alignment horizontal="center" vertical="center" wrapText="1"/>
    </xf>
    <xf numFmtId="0" fontId="79" fillId="0" borderId="105" xfId="6" applyFont="1" applyBorder="1" applyAlignment="1">
      <alignment vertical="center"/>
    </xf>
    <xf numFmtId="0" fontId="15" fillId="0" borderId="76" xfId="5" applyBorder="1" applyAlignment="1" applyProtection="1">
      <alignment horizontal="center" vertical="center" wrapText="1"/>
      <protection locked="0"/>
    </xf>
    <xf numFmtId="0" fontId="15" fillId="0" borderId="82" xfId="5" applyBorder="1" applyAlignment="1" applyProtection="1">
      <alignment horizontal="center" vertical="center" wrapText="1"/>
      <protection locked="0"/>
    </xf>
    <xf numFmtId="0" fontId="15" fillId="0" borderId="82" xfId="5" applyBorder="1" applyAlignment="1" applyProtection="1">
      <alignment horizontal="center" vertical="center"/>
      <protection locked="0"/>
    </xf>
    <xf numFmtId="0" fontId="75" fillId="24" borderId="77" xfId="5" applyFont="1" applyFill="1" applyBorder="1" applyAlignment="1">
      <alignment horizontal="center" vertical="center"/>
    </xf>
    <xf numFmtId="0" fontId="61" fillId="27" borderId="33" xfId="5" applyFont="1" applyFill="1" applyBorder="1" applyAlignment="1" applyProtection="1">
      <alignment horizontal="center" vertical="center"/>
      <protection locked="0"/>
    </xf>
    <xf numFmtId="0" fontId="61" fillId="27" borderId="75" xfId="5" applyFont="1" applyFill="1" applyBorder="1" applyAlignment="1" applyProtection="1">
      <alignment horizontal="center" vertical="center"/>
      <protection locked="0"/>
    </xf>
    <xf numFmtId="0" fontId="61" fillId="27" borderId="83" xfId="5" applyFont="1" applyFill="1" applyBorder="1" applyAlignment="1" applyProtection="1">
      <alignment horizontal="center" vertical="center"/>
      <protection locked="0"/>
    </xf>
    <xf numFmtId="0" fontId="61" fillId="27" borderId="84" xfId="5" applyFont="1" applyFill="1" applyBorder="1" applyAlignment="1" applyProtection="1">
      <alignment horizontal="center" vertical="center"/>
      <protection locked="0"/>
    </xf>
    <xf numFmtId="0" fontId="78" fillId="27" borderId="33" xfId="5" applyFont="1" applyFill="1" applyBorder="1" applyAlignment="1">
      <alignment horizontal="center" vertical="center"/>
    </xf>
    <xf numFmtId="0" fontId="78" fillId="27" borderId="33" xfId="5" applyFont="1" applyFill="1" applyBorder="1" applyAlignment="1">
      <alignment horizontal="center" vertical="center" textRotation="90" wrapText="1"/>
    </xf>
    <xf numFmtId="0" fontId="78" fillId="27" borderId="81" xfId="5" applyFont="1" applyFill="1" applyBorder="1" applyAlignment="1">
      <alignment horizontal="center" vertical="center" wrapText="1"/>
    </xf>
    <xf numFmtId="0" fontId="78" fillId="27" borderId="85" xfId="5" applyFont="1" applyFill="1" applyBorder="1" applyAlignment="1">
      <alignment horizontal="center" vertical="center" wrapText="1"/>
    </xf>
    <xf numFmtId="0" fontId="78" fillId="24" borderId="33" xfId="5" applyFont="1" applyFill="1" applyBorder="1" applyAlignment="1">
      <alignment horizontal="center" vertical="center" wrapText="1"/>
    </xf>
    <xf numFmtId="0" fontId="15" fillId="0" borderId="0" xfId="5" applyAlignment="1">
      <alignment horizontal="center" vertical="center"/>
    </xf>
    <xf numFmtId="0" fontId="15" fillId="0" borderId="0" xfId="5" applyAlignment="1" applyProtection="1">
      <alignment horizontal="center" vertical="center" wrapText="1"/>
      <protection locked="0"/>
    </xf>
    <xf numFmtId="0" fontId="15" fillId="0" borderId="81" xfId="5" applyBorder="1" applyAlignment="1" applyProtection="1">
      <alignment horizontal="center" vertical="center"/>
      <protection locked="0"/>
    </xf>
    <xf numFmtId="0" fontId="15" fillId="0" borderId="85" xfId="5" applyBorder="1" applyAlignment="1" applyProtection="1">
      <alignment horizontal="center" vertical="center"/>
      <protection locked="0"/>
    </xf>
    <xf numFmtId="0" fontId="78" fillId="0" borderId="81" xfId="5" applyFont="1" applyBorder="1" applyAlignment="1" applyProtection="1">
      <alignment horizontal="center" vertical="center" wrapText="1"/>
      <protection hidden="1"/>
    </xf>
    <xf numFmtId="0" fontId="78" fillId="0" borderId="85" xfId="5" applyFont="1" applyBorder="1" applyAlignment="1" applyProtection="1">
      <alignment horizontal="center" vertical="center" wrapText="1"/>
      <protection hidden="1"/>
    </xf>
    <xf numFmtId="9" fontId="78" fillId="0" borderId="81" xfId="5" applyNumberFormat="1" applyFont="1" applyBorder="1" applyAlignment="1">
      <alignment horizontal="center" vertical="center" wrapText="1"/>
    </xf>
    <xf numFmtId="9" fontId="78" fillId="0" borderId="85" xfId="5" applyNumberFormat="1" applyFont="1" applyBorder="1" applyAlignment="1">
      <alignment horizontal="center" vertical="center" wrapText="1"/>
    </xf>
    <xf numFmtId="9" fontId="78" fillId="0" borderId="34" xfId="5" applyNumberFormat="1" applyFont="1" applyBorder="1" applyAlignment="1">
      <alignment horizontal="center" vertical="center" wrapText="1"/>
    </xf>
    <xf numFmtId="0" fontId="61" fillId="0" borderId="33" xfId="5" applyFont="1" applyBorder="1" applyAlignment="1" applyProtection="1">
      <alignment horizontal="center" vertical="center"/>
      <protection locked="0"/>
    </xf>
    <xf numFmtId="9" fontId="61" fillId="0" borderId="81" xfId="7" applyFont="1" applyBorder="1" applyAlignment="1" applyProtection="1">
      <alignment horizontal="center" vertical="center"/>
      <protection locked="0"/>
    </xf>
    <xf numFmtId="9" fontId="61" fillId="0" borderId="85" xfId="7" applyFont="1" applyBorder="1" applyAlignment="1" applyProtection="1">
      <alignment horizontal="center" vertical="center"/>
      <protection locked="0"/>
    </xf>
    <xf numFmtId="9" fontId="61" fillId="0" borderId="34" xfId="7" applyFont="1" applyBorder="1" applyAlignment="1" applyProtection="1">
      <alignment horizontal="center" vertical="center"/>
      <protection locked="0"/>
    </xf>
    <xf numFmtId="0" fontId="61" fillId="0" borderId="75" xfId="5" applyFont="1" applyBorder="1" applyAlignment="1" applyProtection="1">
      <alignment horizontal="center" vertical="center"/>
      <protection locked="0"/>
    </xf>
    <xf numFmtId="0" fontId="15" fillId="0" borderId="33" xfId="5" applyBorder="1" applyAlignment="1" applyProtection="1">
      <alignment horizontal="center" vertical="center" wrapText="1"/>
      <protection locked="0"/>
    </xf>
    <xf numFmtId="0" fontId="61" fillId="0" borderId="0" xfId="5" applyFont="1" applyAlignment="1" applyProtection="1">
      <alignment horizontal="center" wrapText="1"/>
      <protection locked="0"/>
    </xf>
    <xf numFmtId="0" fontId="61" fillId="21" borderId="33" xfId="5" applyFont="1" applyFill="1" applyBorder="1" applyAlignment="1" applyProtection="1">
      <alignment horizontal="center"/>
      <protection locked="0"/>
    </xf>
    <xf numFmtId="0" fontId="61" fillId="0" borderId="0" xfId="5" applyFont="1" applyAlignment="1" applyProtection="1">
      <alignment horizontal="center"/>
      <protection locked="0"/>
    </xf>
    <xf numFmtId="0" fontId="61" fillId="0" borderId="81" xfId="5" applyFont="1" applyBorder="1" applyAlignment="1" applyProtection="1">
      <alignment horizontal="center" vertical="center"/>
      <protection locked="0"/>
    </xf>
    <xf numFmtId="0" fontId="61" fillId="0" borderId="34" xfId="5" applyFont="1" applyBorder="1" applyAlignment="1" applyProtection="1">
      <alignment horizontal="center" vertical="center"/>
      <protection locked="0"/>
    </xf>
    <xf numFmtId="0" fontId="61" fillId="0" borderId="81" xfId="5" applyFont="1" applyBorder="1" applyAlignment="1" applyProtection="1">
      <alignment horizontal="center" vertical="center" wrapText="1"/>
      <protection locked="0"/>
    </xf>
    <xf numFmtId="0" fontId="61" fillId="0" borderId="34" xfId="5" applyFont="1" applyBorder="1" applyAlignment="1" applyProtection="1">
      <alignment horizontal="center" vertical="center" wrapText="1"/>
      <protection locked="0"/>
    </xf>
    <xf numFmtId="0" fontId="61" fillId="0" borderId="0" xfId="5" applyFont="1" applyAlignment="1" applyProtection="1">
      <alignment horizontal="center" vertical="center"/>
      <protection locked="0"/>
    </xf>
    <xf numFmtId="0" fontId="61" fillId="0" borderId="0" xfId="5" applyFont="1" applyAlignment="1" applyProtection="1">
      <alignment horizontal="center" vertical="center" wrapText="1"/>
      <protection locked="0"/>
    </xf>
    <xf numFmtId="0" fontId="15" fillId="0" borderId="0" xfId="5" applyAlignment="1" applyProtection="1">
      <alignment horizontal="left" vertical="top" wrapText="1"/>
      <protection locked="0"/>
    </xf>
    <xf numFmtId="0" fontId="15" fillId="0" borderId="0" xfId="5" applyAlignment="1" applyProtection="1">
      <alignment horizontal="left" vertical="center"/>
      <protection locked="0"/>
    </xf>
    <xf numFmtId="0" fontId="15" fillId="0" borderId="0" xfId="5" applyAlignment="1" applyProtection="1">
      <alignment horizontal="center" wrapText="1"/>
      <protection locked="0"/>
    </xf>
    <xf numFmtId="0" fontId="15" fillId="0" borderId="0" xfId="5" applyAlignment="1" applyProtection="1">
      <alignment horizontal="left" vertical="center" wrapText="1"/>
      <protection locked="0"/>
    </xf>
    <xf numFmtId="0" fontId="61" fillId="0" borderId="33" xfId="5" applyFont="1" applyBorder="1" applyAlignment="1" applyProtection="1">
      <alignment horizontal="center"/>
      <protection locked="0"/>
    </xf>
    <xf numFmtId="0" fontId="1" fillId="0" borderId="0" xfId="5" applyFont="1" applyAlignment="1">
      <alignment horizontal="center"/>
    </xf>
    <xf numFmtId="0" fontId="15" fillId="0" borderId="0" xfId="5" applyAlignment="1">
      <alignment horizontal="center" vertical="center" wrapText="1"/>
    </xf>
    <xf numFmtId="0" fontId="77" fillId="22" borderId="81" xfId="0" applyFont="1" applyFill="1" applyBorder="1" applyAlignment="1" applyProtection="1">
      <alignment horizontal="left" vertical="center"/>
      <protection locked="0"/>
    </xf>
    <xf numFmtId="0" fontId="61" fillId="27" borderId="81" xfId="0" applyFont="1" applyFill="1" applyBorder="1" applyAlignment="1" applyProtection="1">
      <alignment horizontal="center" vertical="center"/>
      <protection locked="0"/>
    </xf>
    <xf numFmtId="0" fontId="61" fillId="27" borderId="34" xfId="0" applyFont="1" applyFill="1" applyBorder="1" applyAlignment="1" applyProtection="1">
      <alignment horizontal="center" vertical="center"/>
      <protection locked="0"/>
    </xf>
    <xf numFmtId="0" fontId="61" fillId="27" borderId="81" xfId="0" applyFont="1" applyFill="1" applyBorder="1" applyAlignment="1" applyProtection="1">
      <alignment horizontal="center" vertical="center" wrapText="1"/>
      <protection locked="0"/>
    </xf>
    <xf numFmtId="0" fontId="61" fillId="27" borderId="34" xfId="0" applyFont="1" applyFill="1" applyBorder="1" applyAlignment="1" applyProtection="1">
      <alignment horizontal="center" vertical="center" wrapText="1"/>
      <protection locked="0"/>
    </xf>
    <xf numFmtId="0" fontId="78" fillId="0" borderId="33" xfId="0" applyFont="1" applyBorder="1" applyAlignment="1" applyProtection="1">
      <alignment horizontal="center" vertical="top" wrapText="1"/>
      <protection locked="0"/>
    </xf>
    <xf numFmtId="0" fontId="5" fillId="0" borderId="5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20" borderId="75" xfId="0" applyFill="1" applyBorder="1" applyAlignment="1">
      <alignment horizontal="center"/>
    </xf>
    <xf numFmtId="0" fontId="0" fillId="20" borderId="83" xfId="0" applyFill="1" applyBorder="1" applyAlignment="1">
      <alignment horizontal="center"/>
    </xf>
    <xf numFmtId="0" fontId="0" fillId="20" borderId="84" xfId="0" applyFill="1" applyBorder="1" applyAlignment="1">
      <alignment horizontal="center"/>
    </xf>
    <xf numFmtId="0" fontId="0" fillId="0" borderId="81"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20" borderId="81" xfId="0" applyFill="1" applyBorder="1" applyAlignment="1">
      <alignment horizontal="center" vertical="center"/>
    </xf>
    <xf numFmtId="0" fontId="0" fillId="20" borderId="85" xfId="0" applyFill="1" applyBorder="1" applyAlignment="1">
      <alignment horizontal="center" vertical="center"/>
    </xf>
    <xf numFmtId="0" fontId="0" fillId="20" borderId="34" xfId="0" applyFill="1" applyBorder="1" applyAlignment="1">
      <alignment horizontal="center" vertical="center"/>
    </xf>
    <xf numFmtId="0" fontId="0" fillId="0" borderId="82"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1"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81"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81"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85" xfId="0" applyBorder="1" applyAlignment="1" applyProtection="1">
      <alignment horizontal="left" vertical="top" wrapText="1"/>
      <protection locked="0"/>
    </xf>
    <xf numFmtId="0" fontId="0" fillId="0" borderId="85" xfId="0" applyBorder="1" applyAlignment="1" applyProtection="1">
      <alignment horizontal="center" vertical="center"/>
      <protection locked="0"/>
    </xf>
    <xf numFmtId="0" fontId="0" fillId="0" borderId="81"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85" xfId="0" applyBorder="1" applyAlignment="1" applyProtection="1">
      <alignment horizontal="left" vertical="center"/>
      <protection locked="0"/>
    </xf>
    <xf numFmtId="0" fontId="0" fillId="0" borderId="81"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0" fillId="0" borderId="33" xfId="0" applyBorder="1" applyAlignment="1" applyProtection="1">
      <alignment horizontal="left" vertical="top" wrapText="1"/>
      <protection locked="0"/>
    </xf>
    <xf numFmtId="0" fontId="0" fillId="20" borderId="33" xfId="0" applyFill="1" applyBorder="1" applyAlignment="1">
      <alignment horizontal="center" vertical="center"/>
    </xf>
    <xf numFmtId="0" fontId="0" fillId="0" borderId="76"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0" fillId="0" borderId="33" xfId="0" applyBorder="1" applyAlignment="1" applyProtection="1">
      <alignment horizontal="center" vertical="top" wrapText="1"/>
      <protection locked="0"/>
    </xf>
    <xf numFmtId="0" fontId="61" fillId="21" borderId="0" xfId="0" applyFont="1" applyFill="1" applyAlignment="1" applyProtection="1">
      <alignment horizontal="center" wrapText="1"/>
      <protection locked="0"/>
    </xf>
    <xf numFmtId="0" fontId="61" fillId="21" borderId="69" xfId="0" applyFont="1" applyFill="1" applyBorder="1" applyAlignment="1" applyProtection="1">
      <alignment horizontal="center" wrapText="1"/>
      <protection locked="0"/>
    </xf>
    <xf numFmtId="0" fontId="61" fillId="21" borderId="75" xfId="0" applyFont="1" applyFill="1" applyBorder="1" applyAlignment="1" applyProtection="1">
      <alignment horizontal="center"/>
      <protection locked="0"/>
    </xf>
    <xf numFmtId="0" fontId="61" fillId="21" borderId="83" xfId="0" applyFont="1" applyFill="1" applyBorder="1" applyAlignment="1" applyProtection="1">
      <alignment horizontal="center"/>
      <protection locked="0"/>
    </xf>
    <xf numFmtId="0" fontId="61" fillId="21" borderId="84" xfId="0" applyFont="1" applyFill="1" applyBorder="1" applyAlignment="1" applyProtection="1">
      <alignment horizontal="center"/>
      <protection locked="0"/>
    </xf>
    <xf numFmtId="0" fontId="61" fillId="0" borderId="81"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0" fillId="0" borderId="33"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61" fillId="2" borderId="76" xfId="0"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protection locked="0"/>
    </xf>
    <xf numFmtId="0" fontId="61" fillId="2" borderId="86"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protection locked="0"/>
    </xf>
    <xf numFmtId="0" fontId="61" fillId="0" borderId="76" xfId="0" applyFont="1" applyBorder="1" applyAlignment="1" applyProtection="1">
      <alignment horizontal="center"/>
      <protection locked="0"/>
    </xf>
    <xf numFmtId="0" fontId="61" fillId="0" borderId="82" xfId="0" applyFont="1" applyBorder="1" applyAlignment="1" applyProtection="1">
      <alignment horizontal="center"/>
      <protection locked="0"/>
    </xf>
    <xf numFmtId="0" fontId="61" fillId="2" borderId="75" xfId="0" applyFont="1" applyFill="1" applyBorder="1" applyAlignment="1" applyProtection="1">
      <alignment horizontal="center" wrapText="1"/>
      <protection locked="0"/>
    </xf>
    <xf numFmtId="0" fontId="61" fillId="2" borderId="84" xfId="0" applyFont="1" applyFill="1" applyBorder="1" applyAlignment="1" applyProtection="1">
      <alignment horizontal="center" wrapText="1"/>
      <protection locked="0"/>
    </xf>
    <xf numFmtId="0" fontId="61" fillId="16" borderId="77" xfId="0" applyFont="1" applyFill="1" applyBorder="1" applyAlignment="1" applyProtection="1">
      <alignment horizontal="center"/>
      <protection locked="0"/>
    </xf>
    <xf numFmtId="0" fontId="61" fillId="16" borderId="0" xfId="0" applyFont="1" applyFill="1" applyAlignment="1" applyProtection="1">
      <alignment horizontal="center"/>
      <protection locked="0"/>
    </xf>
    <xf numFmtId="0" fontId="61" fillId="2" borderId="33" xfId="0" applyFont="1" applyFill="1" applyBorder="1" applyAlignment="1" applyProtection="1">
      <alignment horizontal="center" vertical="center"/>
      <protection locked="0"/>
    </xf>
    <xf numFmtId="0" fontId="61" fillId="14" borderId="75" xfId="0" applyFont="1" applyFill="1" applyBorder="1" applyAlignment="1" applyProtection="1">
      <alignment horizontal="center" vertical="center"/>
      <protection locked="0"/>
    </xf>
    <xf numFmtId="0" fontId="61" fillId="14" borderId="83" xfId="0" applyFont="1" applyFill="1" applyBorder="1" applyAlignment="1" applyProtection="1">
      <alignment horizontal="center" vertical="center"/>
      <protection locked="0"/>
    </xf>
    <xf numFmtId="0" fontId="61" fillId="14" borderId="84" xfId="0" applyFont="1" applyFill="1" applyBorder="1" applyAlignment="1" applyProtection="1">
      <alignment horizontal="center" vertical="center"/>
      <protection locked="0"/>
    </xf>
    <xf numFmtId="0" fontId="61" fillId="2" borderId="76"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protection locked="0"/>
    </xf>
    <xf numFmtId="0" fontId="61" fillId="2" borderId="82" xfId="0" applyFont="1" applyFill="1" applyBorder="1" applyAlignment="1" applyProtection="1">
      <alignment horizontal="center" vertical="center"/>
      <protection locked="0"/>
    </xf>
    <xf numFmtId="0" fontId="61" fillId="2" borderId="86" xfId="0" applyFont="1" applyFill="1" applyBorder="1" applyAlignment="1" applyProtection="1">
      <alignment horizontal="center" vertical="center"/>
      <protection locked="0"/>
    </xf>
    <xf numFmtId="0" fontId="61" fillId="2" borderId="69" xfId="0" applyFont="1" applyFill="1" applyBorder="1" applyAlignment="1" applyProtection="1">
      <alignment horizontal="center" vertical="center"/>
      <protection locked="0"/>
    </xf>
    <xf numFmtId="0" fontId="61" fillId="2" borderId="80" xfId="0" applyFont="1" applyFill="1" applyBorder="1" applyAlignment="1" applyProtection="1">
      <alignment horizontal="center" vertical="center"/>
      <protection locked="0"/>
    </xf>
    <xf numFmtId="0" fontId="61" fillId="16" borderId="33" xfId="0" applyFont="1" applyFill="1" applyBorder="1" applyAlignment="1" applyProtection="1">
      <alignment horizontal="center"/>
      <protection locked="0"/>
    </xf>
    <xf numFmtId="0" fontId="61" fillId="2" borderId="84" xfId="0" applyFont="1" applyFill="1" applyBorder="1" applyAlignment="1" applyProtection="1">
      <alignment horizontal="center" vertical="center"/>
      <protection locked="0"/>
    </xf>
    <xf numFmtId="0" fontId="61" fillId="2" borderId="33" xfId="0" applyFont="1" applyFill="1" applyBorder="1" applyAlignment="1" applyProtection="1">
      <alignment horizontal="center" wrapText="1"/>
      <protection locked="0"/>
    </xf>
    <xf numFmtId="0" fontId="61" fillId="2" borderId="83" xfId="0" applyFont="1" applyFill="1" applyBorder="1" applyAlignment="1" applyProtection="1">
      <alignment horizontal="center" wrapText="1"/>
      <protection locked="0"/>
    </xf>
    <xf numFmtId="0" fontId="61" fillId="2" borderId="33" xfId="0" applyFont="1" applyFill="1" applyBorder="1" applyAlignment="1" applyProtection="1">
      <alignment horizontal="center" vertical="center" wrapText="1"/>
      <protection locked="0"/>
    </xf>
    <xf numFmtId="0" fontId="61" fillId="0" borderId="33" xfId="0" applyFont="1" applyBorder="1" applyAlignment="1" applyProtection="1">
      <alignment horizontal="center" vertical="center" wrapText="1"/>
      <protection locked="0"/>
    </xf>
    <xf numFmtId="0" fontId="61" fillId="0" borderId="33" xfId="0" applyFont="1" applyBorder="1" applyAlignment="1" applyProtection="1">
      <alignment horizontal="center"/>
      <protection locked="0"/>
    </xf>
    <xf numFmtId="0" fontId="0" fillId="0" borderId="33" xfId="0"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7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33" xfId="0" applyBorder="1" applyAlignment="1" applyProtection="1">
      <alignment horizontal="left" vertical="center"/>
      <protection locked="0"/>
    </xf>
    <xf numFmtId="0" fontId="61" fillId="0" borderId="34" xfId="0" applyFont="1" applyBorder="1" applyAlignment="1" applyProtection="1">
      <alignment horizontal="center" vertical="center"/>
      <protection locked="0"/>
    </xf>
    <xf numFmtId="0" fontId="0" fillId="0" borderId="33" xfId="0" applyBorder="1" applyAlignment="1" applyProtection="1">
      <alignment horizontal="left" vertical="center" wrapText="1"/>
      <protection locked="0"/>
    </xf>
    <xf numFmtId="0" fontId="0" fillId="0" borderId="85" xfId="0" applyBorder="1" applyAlignment="1" applyProtection="1">
      <alignment horizontal="center" vertical="top" wrapText="1"/>
      <protection locked="0"/>
    </xf>
    <xf numFmtId="0" fontId="61" fillId="0" borderId="34" xfId="0" applyFont="1" applyBorder="1" applyAlignment="1" applyProtection="1">
      <alignment horizontal="left" vertical="center" wrapText="1"/>
      <protection locked="0"/>
    </xf>
    <xf numFmtId="0" fontId="61" fillId="27" borderId="33" xfId="0" applyFont="1" applyFill="1" applyBorder="1" applyAlignment="1" applyProtection="1">
      <alignment horizontal="center"/>
      <protection locked="0"/>
    </xf>
    <xf numFmtId="0" fontId="61" fillId="18" borderId="33" xfId="0" applyFont="1" applyFill="1" applyBorder="1" applyAlignment="1" applyProtection="1">
      <alignment horizontal="center"/>
      <protection locked="0"/>
    </xf>
    <xf numFmtId="0" fontId="61" fillId="19" borderId="33" xfId="0" applyFont="1" applyFill="1" applyBorder="1" applyAlignment="1" applyProtection="1">
      <alignment horizontal="center" vertical="center"/>
      <protection locked="0"/>
    </xf>
    <xf numFmtId="0" fontId="76" fillId="27" borderId="44" xfId="0" applyFont="1" applyFill="1" applyBorder="1" applyAlignment="1">
      <alignment horizontal="left" vertical="center"/>
    </xf>
    <xf numFmtId="0" fontId="76" fillId="27" borderId="46" xfId="0" applyFont="1" applyFill="1" applyBorder="1" applyAlignment="1">
      <alignment horizontal="left" vertical="center"/>
    </xf>
    <xf numFmtId="0" fontId="0" fillId="3" borderId="12" xfId="0" applyFill="1" applyBorder="1" applyAlignment="1">
      <alignment horizontal="center" vertical="center"/>
    </xf>
    <xf numFmtId="0" fontId="0" fillId="3" borderId="1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8" fillId="3" borderId="44" xfId="0" applyFont="1" applyFill="1" applyBorder="1" applyAlignment="1">
      <alignment horizontal="center" vertical="center"/>
    </xf>
    <xf numFmtId="0" fontId="48" fillId="3" borderId="45" xfId="0" applyFont="1" applyFill="1" applyBorder="1" applyAlignment="1">
      <alignment horizontal="center" vertical="center"/>
    </xf>
    <xf numFmtId="0" fontId="48" fillId="3" borderId="46" xfId="0" applyFont="1" applyFill="1" applyBorder="1" applyAlignment="1">
      <alignment horizontal="center" vertical="center"/>
    </xf>
    <xf numFmtId="0" fontId="48" fillId="3" borderId="16"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62" fillId="17" borderId="35" xfId="0" applyFont="1" applyFill="1" applyBorder="1" applyAlignment="1">
      <alignment horizontal="center" vertical="center"/>
    </xf>
    <xf numFmtId="0" fontId="62" fillId="17" borderId="36" xfId="0" applyFont="1" applyFill="1" applyBorder="1" applyAlignment="1">
      <alignment horizontal="center" vertical="center"/>
    </xf>
    <xf numFmtId="0" fontId="48" fillId="3" borderId="45"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62" fillId="17" borderId="47"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75" fillId="27" borderId="12" xfId="0" applyFont="1" applyFill="1" applyBorder="1" applyAlignment="1">
      <alignment horizontal="center" vertical="center"/>
    </xf>
    <xf numFmtId="0" fontId="75" fillId="27" borderId="19" xfId="0" applyFont="1" applyFill="1" applyBorder="1" applyAlignment="1">
      <alignment horizontal="center" vertical="center"/>
    </xf>
    <xf numFmtId="0" fontId="75" fillId="27" borderId="101" xfId="0" applyFont="1" applyFill="1" applyBorder="1" applyAlignment="1">
      <alignment horizontal="center" vertical="center"/>
    </xf>
    <xf numFmtId="0" fontId="75" fillId="27" borderId="16" xfId="0" applyFont="1" applyFill="1" applyBorder="1" applyAlignment="1">
      <alignment horizontal="center" vertical="center"/>
    </xf>
    <xf numFmtId="0" fontId="75" fillId="27" borderId="18" xfId="0" applyFont="1" applyFill="1" applyBorder="1" applyAlignment="1">
      <alignment horizontal="center" vertical="center"/>
    </xf>
    <xf numFmtId="0" fontId="75" fillId="27" borderId="102" xfId="0" applyFont="1" applyFill="1" applyBorder="1" applyAlignment="1">
      <alignment horizontal="center" vertical="center"/>
    </xf>
    <xf numFmtId="0" fontId="77" fillId="22" borderId="35" xfId="0" applyFont="1" applyFill="1" applyBorder="1" applyAlignment="1" applyProtection="1">
      <alignment horizontal="left" vertical="center"/>
      <protection locked="0"/>
    </xf>
    <xf numFmtId="0" fontId="77" fillId="22" borderId="36" xfId="0" applyFont="1" applyFill="1" applyBorder="1" applyAlignment="1" applyProtection="1">
      <alignment horizontal="left" vertical="center"/>
      <protection locked="0"/>
    </xf>
    <xf numFmtId="0" fontId="77" fillId="22" borderId="47" xfId="0" applyFont="1" applyFill="1" applyBorder="1" applyAlignment="1" applyProtection="1">
      <alignment horizontal="left" vertical="center"/>
      <protection locked="0"/>
    </xf>
    <xf numFmtId="0" fontId="77" fillId="22" borderId="16" xfId="0" applyFont="1" applyFill="1" applyBorder="1" applyAlignment="1" applyProtection="1">
      <alignment horizontal="left" vertical="center"/>
      <protection locked="0"/>
    </xf>
    <xf numFmtId="0" fontId="77" fillId="22" borderId="18" xfId="0" applyFont="1" applyFill="1" applyBorder="1" applyAlignment="1" applyProtection="1">
      <alignment horizontal="left" vertical="center"/>
      <protection locked="0"/>
    </xf>
    <xf numFmtId="0" fontId="77" fillId="22" borderId="17" xfId="0" applyFont="1" applyFill="1" applyBorder="1" applyAlignment="1" applyProtection="1">
      <alignment horizontal="left" vertical="center"/>
      <protection locked="0"/>
    </xf>
    <xf numFmtId="0" fontId="75" fillId="27" borderId="13" xfId="0" applyFont="1" applyFill="1" applyBorder="1" applyAlignment="1">
      <alignment horizontal="center" vertical="center"/>
    </xf>
    <xf numFmtId="0" fontId="75" fillId="27" borderId="17" xfId="0" applyFont="1" applyFill="1" applyBorder="1" applyAlignment="1">
      <alignment horizontal="center" vertical="center"/>
    </xf>
    <xf numFmtId="0" fontId="72" fillId="19" borderId="35" xfId="0" applyFont="1" applyFill="1" applyBorder="1" applyAlignment="1" applyProtection="1">
      <alignment horizontal="center" vertical="center"/>
      <protection locked="0"/>
    </xf>
    <xf numFmtId="0" fontId="72" fillId="19" borderId="36" xfId="0" applyFont="1" applyFill="1" applyBorder="1" applyAlignment="1" applyProtection="1">
      <alignment horizontal="center" vertical="center"/>
      <protection locked="0"/>
    </xf>
    <xf numFmtId="0" fontId="72" fillId="19" borderId="47" xfId="0" applyFont="1" applyFill="1" applyBorder="1" applyAlignment="1" applyProtection="1">
      <alignment horizontal="center" vertical="center"/>
      <protection locked="0"/>
    </xf>
    <xf numFmtId="0" fontId="73" fillId="0" borderId="34" xfId="0" applyFont="1" applyBorder="1" applyAlignment="1" applyProtection="1">
      <alignment horizontal="center" vertical="center"/>
      <protection locked="0"/>
    </xf>
    <xf numFmtId="0" fontId="73" fillId="0" borderId="43" xfId="0" applyFont="1" applyBorder="1" applyAlignment="1" applyProtection="1">
      <alignment horizontal="center" vertical="center"/>
      <protection locked="0"/>
    </xf>
    <xf numFmtId="0" fontId="61" fillId="0" borderId="12" xfId="0" applyFont="1" applyBorder="1" applyAlignment="1">
      <alignment horizontal="center"/>
    </xf>
    <xf numFmtId="0" fontId="61" fillId="0" borderId="13" xfId="0" applyFont="1" applyBorder="1" applyAlignment="1">
      <alignment horizontal="center"/>
    </xf>
    <xf numFmtId="0" fontId="74" fillId="0" borderId="35" xfId="0" applyFont="1" applyBorder="1" applyAlignment="1">
      <alignment horizontal="center"/>
    </xf>
    <xf numFmtId="0" fontId="74" fillId="0" borderId="36" xfId="0" applyFont="1" applyBorder="1" applyAlignment="1">
      <alignment horizontal="center"/>
    </xf>
    <xf numFmtId="0" fontId="74" fillId="0" borderId="47" xfId="0" applyFont="1" applyBorder="1" applyAlignment="1">
      <alignment horizontal="center"/>
    </xf>
    <xf numFmtId="0" fontId="44" fillId="24" borderId="35" xfId="0" applyFont="1" applyFill="1" applyBorder="1" applyAlignment="1">
      <alignment horizontal="center"/>
    </xf>
    <xf numFmtId="0" fontId="44" fillId="24" borderId="36" xfId="0" applyFont="1" applyFill="1" applyBorder="1" applyAlignment="1">
      <alignment horizontal="center"/>
    </xf>
    <xf numFmtId="0" fontId="44" fillId="24" borderId="47"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47" xfId="0" applyBorder="1" applyAlignment="1">
      <alignment horizontal="center"/>
    </xf>
    <xf numFmtId="0" fontId="44" fillId="24" borderId="12" xfId="0" applyFont="1" applyFill="1" applyBorder="1" applyAlignment="1">
      <alignment horizontal="center"/>
    </xf>
    <xf numFmtId="0" fontId="44" fillId="24" borderId="19" xfId="0" applyFont="1" applyFill="1" applyBorder="1" applyAlignment="1">
      <alignment horizontal="center"/>
    </xf>
    <xf numFmtId="0" fontId="44" fillId="24" borderId="13" xfId="0" applyFont="1" applyFill="1" applyBorder="1" applyAlignment="1">
      <alignment horizontal="center"/>
    </xf>
    <xf numFmtId="0" fontId="61" fillId="0" borderId="44" xfId="0" applyFont="1" applyBorder="1" applyAlignment="1">
      <alignment horizontal="center" vertical="top" wrapText="1"/>
    </xf>
    <xf numFmtId="0" fontId="61" fillId="0" borderId="45" xfId="0" applyFont="1" applyBorder="1" applyAlignment="1">
      <alignment horizontal="center" vertical="top" wrapText="1"/>
    </xf>
    <xf numFmtId="0" fontId="61" fillId="0" borderId="46" xfId="0" applyFont="1" applyBorder="1" applyAlignment="1">
      <alignment horizontal="center" vertical="top" wrapText="1"/>
    </xf>
    <xf numFmtId="0" fontId="0" fillId="0" borderId="75" xfId="0" applyBorder="1" applyAlignment="1">
      <alignment horizontal="center"/>
    </xf>
    <xf numFmtId="0" fontId="0" fillId="0" borderId="84" xfId="0" applyBorder="1" applyAlignment="1">
      <alignment horizontal="center"/>
    </xf>
    <xf numFmtId="0" fontId="0" fillId="0" borderId="38" xfId="0" applyBorder="1" applyAlignment="1">
      <alignment horizontal="center"/>
    </xf>
    <xf numFmtId="0" fontId="73" fillId="0" borderId="86"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protection locked="0"/>
    </xf>
    <xf numFmtId="0" fontId="73" fillId="0" borderId="69" xfId="0" applyFont="1" applyBorder="1" applyAlignment="1" applyProtection="1">
      <alignment horizontal="center" vertical="center"/>
      <protection locked="0"/>
    </xf>
    <xf numFmtId="0" fontId="0" fillId="0" borderId="97" xfId="0" applyBorder="1" applyAlignment="1">
      <alignment horizontal="center"/>
    </xf>
    <xf numFmtId="0" fontId="0" fillId="0" borderId="88"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25" fillId="0" borderId="0" xfId="0" applyFont="1" applyAlignment="1">
      <alignment horizontal="center" vertical="center"/>
    </xf>
    <xf numFmtId="0" fontId="46" fillId="0" borderId="0" xfId="0" applyFont="1" applyAlignment="1">
      <alignment horizontal="center" vertical="center"/>
    </xf>
    <xf numFmtId="0" fontId="41" fillId="15" borderId="35" xfId="0" applyFont="1" applyFill="1" applyBorder="1" applyAlignment="1">
      <alignment horizontal="center" vertical="center" wrapText="1" readingOrder="1"/>
    </xf>
    <xf numFmtId="0" fontId="41" fillId="15" borderId="36" xfId="0" applyFont="1" applyFill="1" applyBorder="1" applyAlignment="1">
      <alignment horizontal="center" vertical="center" wrapText="1" readingOrder="1"/>
    </xf>
    <xf numFmtId="0" fontId="41" fillId="15" borderId="47" xfId="0" applyFont="1" applyFill="1" applyBorder="1" applyAlignment="1">
      <alignment horizontal="center" vertical="center" wrapText="1" readingOrder="1"/>
    </xf>
    <xf numFmtId="0" fontId="36" fillId="3" borderId="0" xfId="0" applyFont="1" applyFill="1" applyAlignment="1">
      <alignment horizontal="justify" vertical="center" wrapText="1"/>
    </xf>
    <xf numFmtId="0" fontId="38" fillId="15" borderId="44" xfId="0" applyFont="1" applyFill="1" applyBorder="1" applyAlignment="1">
      <alignment horizontal="center" vertical="center" wrapText="1" readingOrder="1"/>
    </xf>
    <xf numFmtId="0" fontId="38" fillId="15" borderId="45" xfId="0" applyFont="1" applyFill="1" applyBorder="1" applyAlignment="1">
      <alignment horizontal="center" vertical="center" wrapText="1" readingOrder="1"/>
    </xf>
    <xf numFmtId="0" fontId="38" fillId="3" borderId="42" xfId="0" applyFont="1" applyFill="1" applyBorder="1" applyAlignment="1">
      <alignment horizontal="center" vertical="center" wrapText="1" readingOrder="1"/>
    </xf>
    <xf numFmtId="0" fontId="38" fillId="3" borderId="37" xfId="0" applyFont="1" applyFill="1" applyBorder="1" applyAlignment="1">
      <alignment horizontal="center" vertical="center" wrapText="1" readingOrder="1"/>
    </xf>
    <xf numFmtId="0" fontId="38" fillId="3" borderId="34" xfId="0"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8" fillId="3" borderId="39"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8" fillId="0" borderId="0" xfId="0" applyFont="1" applyAlignment="1">
      <alignment horizontal="center" vertical="center" wrapText="1"/>
    </xf>
    <xf numFmtId="0" fontId="67" fillId="10" borderId="0" xfId="0" applyFont="1" applyFill="1" applyAlignment="1">
      <alignment horizontal="center" vertical="center" wrapText="1" readingOrder="1"/>
    </xf>
    <xf numFmtId="0" fontId="67" fillId="10" borderId="0" xfId="0" applyFont="1" applyFill="1" applyAlignment="1">
      <alignment horizontal="center" vertical="center" textRotation="90" wrapText="1" readingOrder="1"/>
    </xf>
    <xf numFmtId="0" fontId="67" fillId="10" borderId="15" xfId="0" applyFont="1" applyFill="1" applyBorder="1" applyAlignment="1">
      <alignment horizontal="center" vertical="center" textRotation="90" wrapText="1" readingOrder="1"/>
    </xf>
    <xf numFmtId="0" fontId="68" fillId="0" borderId="12" xfId="0" applyFont="1" applyBorder="1" applyAlignment="1">
      <alignment horizontal="center" vertical="center" wrapText="1"/>
    </xf>
    <xf numFmtId="0" fontId="68" fillId="0" borderId="19" xfId="0" applyFont="1" applyBorder="1" applyAlignment="1">
      <alignment horizontal="center" vertical="center"/>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0" xfId="0" applyFont="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8" xfId="0" applyFont="1" applyBorder="1" applyAlignment="1">
      <alignment horizontal="center" vertical="center"/>
    </xf>
    <xf numFmtId="0" fontId="68" fillId="0" borderId="17" xfId="0" applyFont="1" applyBorder="1" applyAlignment="1">
      <alignment horizontal="center" vertical="center"/>
    </xf>
    <xf numFmtId="0" fontId="67" fillId="11" borderId="12" xfId="0" applyFont="1" applyFill="1" applyBorder="1" applyAlignment="1" applyProtection="1">
      <alignment horizontal="center" vertical="center" wrapText="1" readingOrder="1"/>
      <protection hidden="1"/>
    </xf>
    <xf numFmtId="0" fontId="67" fillId="11" borderId="19" xfId="0" applyFont="1" applyFill="1" applyBorder="1" applyAlignment="1" applyProtection="1">
      <alignment horizontal="center" vertical="center" wrapText="1" readingOrder="1"/>
      <protection hidden="1"/>
    </xf>
    <xf numFmtId="0" fontId="67" fillId="11" borderId="14" xfId="0" applyFont="1" applyFill="1" applyBorder="1" applyAlignment="1" applyProtection="1">
      <alignment horizontal="center" vertical="center" wrapText="1" readingOrder="1"/>
      <protection hidden="1"/>
    </xf>
    <xf numFmtId="0" fontId="67" fillId="11" borderId="0" xfId="0" applyFont="1" applyFill="1" applyAlignment="1" applyProtection="1">
      <alignment horizontal="center" vertical="center" wrapText="1" readingOrder="1"/>
      <protection hidden="1"/>
    </xf>
    <xf numFmtId="0" fontId="67" fillId="11" borderId="13" xfId="0" applyFont="1" applyFill="1" applyBorder="1" applyAlignment="1" applyProtection="1">
      <alignment horizontal="center" vertical="center" wrapText="1" readingOrder="1"/>
      <protection hidden="1"/>
    </xf>
    <xf numFmtId="0" fontId="67" fillId="11" borderId="15" xfId="0" applyFont="1" applyFill="1" applyBorder="1" applyAlignment="1" applyProtection="1">
      <alignment horizontal="center" vertical="center" wrapText="1" readingOrder="1"/>
      <protection hidden="1"/>
    </xf>
    <xf numFmtId="0" fontId="67" fillId="12" borderId="12" xfId="0" applyFont="1" applyFill="1" applyBorder="1" applyAlignment="1" applyProtection="1">
      <alignment horizontal="center" wrapText="1" readingOrder="1"/>
      <protection hidden="1"/>
    </xf>
    <xf numFmtId="0" fontId="67" fillId="12" borderId="19" xfId="0" applyFont="1" applyFill="1" applyBorder="1" applyAlignment="1" applyProtection="1">
      <alignment horizontal="center" wrapText="1" readingOrder="1"/>
      <protection hidden="1"/>
    </xf>
    <xf numFmtId="0" fontId="67" fillId="12" borderId="14" xfId="0" applyFont="1" applyFill="1" applyBorder="1" applyAlignment="1" applyProtection="1">
      <alignment horizontal="center" wrapText="1" readingOrder="1"/>
      <protection hidden="1"/>
    </xf>
    <xf numFmtId="0" fontId="67" fillId="12" borderId="0" xfId="0" applyFont="1" applyFill="1" applyAlignment="1" applyProtection="1">
      <alignment horizontal="center" wrapText="1" readingOrder="1"/>
      <protection hidden="1"/>
    </xf>
    <xf numFmtId="0" fontId="67" fillId="12" borderId="13" xfId="0" applyFont="1" applyFill="1" applyBorder="1" applyAlignment="1" applyProtection="1">
      <alignment horizontal="center" wrapText="1" readingOrder="1"/>
      <protection hidden="1"/>
    </xf>
    <xf numFmtId="0" fontId="67" fillId="12" borderId="15" xfId="0" applyFont="1" applyFill="1" applyBorder="1" applyAlignment="1" applyProtection="1">
      <alignment horizontal="center" wrapText="1" readingOrder="1"/>
      <protection hidden="1"/>
    </xf>
    <xf numFmtId="0" fontId="67" fillId="12" borderId="20" xfId="0" applyFont="1" applyFill="1" applyBorder="1" applyAlignment="1">
      <alignment horizontal="center" vertical="center" wrapText="1" readingOrder="1"/>
    </xf>
    <xf numFmtId="0" fontId="67" fillId="12" borderId="21" xfId="0" applyFont="1" applyFill="1" applyBorder="1" applyAlignment="1">
      <alignment horizontal="center" vertical="center" wrapText="1" readingOrder="1"/>
    </xf>
    <xf numFmtId="0" fontId="67" fillId="12" borderId="22" xfId="0" applyFont="1" applyFill="1" applyBorder="1" applyAlignment="1">
      <alignment horizontal="center" vertical="center" wrapText="1" readingOrder="1"/>
    </xf>
    <xf numFmtId="0" fontId="67" fillId="12" borderId="23" xfId="0" applyFont="1" applyFill="1" applyBorder="1" applyAlignment="1">
      <alignment horizontal="center" vertical="center" wrapText="1" readingOrder="1"/>
    </xf>
    <xf numFmtId="0" fontId="67" fillId="12" borderId="0" xfId="0" applyFont="1" applyFill="1" applyAlignment="1">
      <alignment horizontal="center" vertical="center" wrapText="1" readingOrder="1"/>
    </xf>
    <xf numFmtId="0" fontId="67" fillId="12" borderId="24" xfId="0" applyFont="1" applyFill="1" applyBorder="1" applyAlignment="1">
      <alignment horizontal="center" vertical="center" wrapText="1" readingOrder="1"/>
    </xf>
    <xf numFmtId="0" fontId="67" fillId="12" borderId="25" xfId="0" applyFont="1" applyFill="1" applyBorder="1" applyAlignment="1">
      <alignment horizontal="center" vertical="center" wrapText="1" readingOrder="1"/>
    </xf>
    <xf numFmtId="0" fontId="67" fillId="12" borderId="26" xfId="0" applyFont="1" applyFill="1" applyBorder="1" applyAlignment="1">
      <alignment horizontal="center" vertical="center" wrapText="1" readingOrder="1"/>
    </xf>
    <xf numFmtId="0" fontId="67" fillId="12" borderId="27" xfId="0" applyFont="1" applyFill="1" applyBorder="1" applyAlignment="1">
      <alignment horizontal="center" vertical="center" wrapText="1" readingOrder="1"/>
    </xf>
    <xf numFmtId="0" fontId="67" fillId="12" borderId="18" xfId="0" applyFont="1" applyFill="1" applyBorder="1" applyAlignment="1" applyProtection="1">
      <alignment horizontal="center" wrapText="1" readingOrder="1"/>
      <protection hidden="1"/>
    </xf>
    <xf numFmtId="0" fontId="67" fillId="12" borderId="17"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14"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3" borderId="15" xfId="0" applyFont="1" applyFill="1" applyBorder="1" applyAlignment="1" applyProtection="1">
      <alignment horizontal="center" wrapText="1" readingOrder="1"/>
      <protection hidden="1"/>
    </xf>
    <xf numFmtId="0" fontId="67" fillId="11" borderId="18" xfId="0" applyFont="1" applyFill="1" applyBorder="1" applyAlignment="1" applyProtection="1">
      <alignment horizontal="center" vertical="center" wrapText="1" readingOrder="1"/>
      <protection hidden="1"/>
    </xf>
    <xf numFmtId="0" fontId="67" fillId="11" borderId="17" xfId="0" applyFont="1" applyFill="1" applyBorder="1" applyAlignment="1" applyProtection="1">
      <alignment horizontal="center" vertical="center" wrapText="1" readingOrder="1"/>
      <protection hidden="1"/>
    </xf>
    <xf numFmtId="0" fontId="67" fillId="11" borderId="16" xfId="0" applyFont="1" applyFill="1" applyBorder="1" applyAlignment="1" applyProtection="1">
      <alignment horizontal="center" vertical="center" wrapText="1" readingOrder="1"/>
      <protection hidden="1"/>
    </xf>
    <xf numFmtId="0" fontId="67" fillId="12" borderId="16" xfId="0" applyFont="1" applyFill="1" applyBorder="1" applyAlignment="1" applyProtection="1">
      <alignment horizontal="center" wrapText="1" readingOrder="1"/>
      <protection hidden="1"/>
    </xf>
    <xf numFmtId="0" fontId="67" fillId="11" borderId="20" xfId="0" applyFont="1" applyFill="1" applyBorder="1" applyAlignment="1">
      <alignment horizontal="center" vertical="center" wrapText="1" readingOrder="1"/>
    </xf>
    <xf numFmtId="0" fontId="67" fillId="11" borderId="21" xfId="0" applyFont="1" applyFill="1" applyBorder="1" applyAlignment="1">
      <alignment horizontal="center" vertical="center" wrapText="1" readingOrder="1"/>
    </xf>
    <xf numFmtId="0" fontId="67" fillId="11" borderId="22" xfId="0" applyFont="1" applyFill="1" applyBorder="1" applyAlignment="1">
      <alignment horizontal="center" vertical="center" wrapText="1" readingOrder="1"/>
    </xf>
    <xf numFmtId="0" fontId="67" fillId="11" borderId="23" xfId="0" applyFont="1" applyFill="1" applyBorder="1" applyAlignment="1">
      <alignment horizontal="center" vertical="center" wrapText="1" readingOrder="1"/>
    </xf>
    <xf numFmtId="0" fontId="67" fillId="11" borderId="0" xfId="0" applyFont="1" applyFill="1" applyAlignment="1">
      <alignment horizontal="center" vertical="center" wrapText="1" readingOrder="1"/>
    </xf>
    <xf numFmtId="0" fontId="67" fillId="11" borderId="24" xfId="0" applyFont="1" applyFill="1" applyBorder="1" applyAlignment="1">
      <alignment horizontal="center" vertical="center" wrapText="1" readingOrder="1"/>
    </xf>
    <xf numFmtId="0" fontId="67" fillId="11" borderId="25" xfId="0" applyFont="1" applyFill="1" applyBorder="1" applyAlignment="1">
      <alignment horizontal="center" vertical="center" wrapText="1" readingOrder="1"/>
    </xf>
    <xf numFmtId="0" fontId="67" fillId="11" borderId="26" xfId="0" applyFont="1" applyFill="1" applyBorder="1" applyAlignment="1">
      <alignment horizontal="center" vertical="center" wrapText="1" readingOrder="1"/>
    </xf>
    <xf numFmtId="0" fontId="67" fillId="11" borderId="27" xfId="0" applyFont="1" applyFill="1" applyBorder="1" applyAlignment="1">
      <alignment horizontal="center" vertical="center" wrapText="1" readingOrder="1"/>
    </xf>
    <xf numFmtId="0" fontId="67" fillId="13" borderId="16" xfId="0" applyFont="1" applyFill="1" applyBorder="1" applyAlignment="1" applyProtection="1">
      <alignment horizontal="center" wrapText="1" readingOrder="1"/>
      <protection hidden="1"/>
    </xf>
    <xf numFmtId="0" fontId="67" fillId="13" borderId="18" xfId="0" applyFont="1" applyFill="1" applyBorder="1" applyAlignment="1" applyProtection="1">
      <alignment horizontal="center" wrapText="1" readingOrder="1"/>
      <protection hidden="1"/>
    </xf>
    <xf numFmtId="0" fontId="67" fillId="13" borderId="17" xfId="0" applyFont="1" applyFill="1" applyBorder="1" applyAlignment="1" applyProtection="1">
      <alignment horizontal="center" wrapText="1" readingOrder="1"/>
      <protection hidden="1"/>
    </xf>
    <xf numFmtId="0" fontId="67" fillId="13" borderId="20" xfId="0" applyFont="1" applyFill="1" applyBorder="1" applyAlignment="1">
      <alignment horizontal="center" vertical="center" wrapText="1" readingOrder="1"/>
    </xf>
    <xf numFmtId="0" fontId="67" fillId="13" borderId="21" xfId="0" applyFont="1" applyFill="1" applyBorder="1" applyAlignment="1">
      <alignment horizontal="center" vertical="center" wrapText="1" readingOrder="1"/>
    </xf>
    <xf numFmtId="0" fontId="67" fillId="13" borderId="22" xfId="0" applyFont="1" applyFill="1" applyBorder="1" applyAlignment="1">
      <alignment horizontal="center" vertical="center" wrapText="1" readingOrder="1"/>
    </xf>
    <xf numFmtId="0" fontId="67" fillId="13" borderId="23" xfId="0" applyFont="1" applyFill="1" applyBorder="1" applyAlignment="1">
      <alignment horizontal="center" vertical="center" wrapText="1" readingOrder="1"/>
    </xf>
    <xf numFmtId="0" fontId="67" fillId="13" borderId="0" xfId="0" applyFont="1" applyFill="1" applyAlignment="1">
      <alignment horizontal="center" vertical="center" wrapText="1" readingOrder="1"/>
    </xf>
    <xf numFmtId="0" fontId="67" fillId="13" borderId="24" xfId="0" applyFont="1" applyFill="1" applyBorder="1" applyAlignment="1">
      <alignment horizontal="center" vertical="center" wrapText="1" readingOrder="1"/>
    </xf>
    <xf numFmtId="0" fontId="67" fillId="13" borderId="25" xfId="0" applyFont="1" applyFill="1" applyBorder="1" applyAlignment="1">
      <alignment horizontal="center" vertical="center" wrapText="1" readingOrder="1"/>
    </xf>
    <xf numFmtId="0" fontId="67" fillId="13" borderId="26" xfId="0" applyFont="1" applyFill="1" applyBorder="1" applyAlignment="1">
      <alignment horizontal="center" vertical="center" wrapText="1" readingOrder="1"/>
    </xf>
    <xf numFmtId="0" fontId="67" fillId="13" borderId="27" xfId="0" applyFont="1" applyFill="1" applyBorder="1" applyAlignment="1">
      <alignment horizontal="center" vertical="center" wrapText="1" readingOrder="1"/>
    </xf>
    <xf numFmtId="0" fontId="67" fillId="5" borderId="12" xfId="0" applyFont="1" applyFill="1" applyBorder="1" applyAlignment="1" applyProtection="1">
      <alignment horizontal="center" wrapText="1" readingOrder="1"/>
      <protection hidden="1"/>
    </xf>
    <xf numFmtId="0" fontId="67" fillId="5" borderId="19" xfId="0" applyFont="1" applyFill="1" applyBorder="1" applyAlignment="1" applyProtection="1">
      <alignment horizontal="center" wrapText="1" readingOrder="1"/>
      <protection hidden="1"/>
    </xf>
    <xf numFmtId="0" fontId="67" fillId="5" borderId="14" xfId="0" applyFont="1" applyFill="1" applyBorder="1" applyAlignment="1" applyProtection="1">
      <alignment horizontal="center" wrapText="1" readingOrder="1"/>
      <protection hidden="1"/>
    </xf>
    <xf numFmtId="0" fontId="67" fillId="5" borderId="0" xfId="0" applyFont="1" applyFill="1" applyAlignment="1" applyProtection="1">
      <alignment horizontal="center" wrapText="1" readingOrder="1"/>
      <protection hidden="1"/>
    </xf>
    <xf numFmtId="0" fontId="67" fillId="5" borderId="13" xfId="0" applyFont="1" applyFill="1" applyBorder="1" applyAlignment="1" applyProtection="1">
      <alignment horizontal="center" wrapText="1" readingOrder="1"/>
      <protection hidden="1"/>
    </xf>
    <xf numFmtId="0" fontId="67" fillId="5" borderId="15" xfId="0" applyFont="1" applyFill="1" applyBorder="1" applyAlignment="1" applyProtection="1">
      <alignment horizontal="center" wrapText="1" readingOrder="1"/>
      <protection hidden="1"/>
    </xf>
    <xf numFmtId="0" fontId="67" fillId="5" borderId="20" xfId="0" applyFont="1" applyFill="1" applyBorder="1" applyAlignment="1">
      <alignment horizontal="center" vertical="center" wrapText="1" readingOrder="1"/>
    </xf>
    <xf numFmtId="0" fontId="67" fillId="5" borderId="21" xfId="0" applyFont="1" applyFill="1" applyBorder="1" applyAlignment="1">
      <alignment horizontal="center" vertical="center" wrapText="1" readingOrder="1"/>
    </xf>
    <xf numFmtId="0" fontId="67" fillId="5" borderId="22" xfId="0" applyFont="1" applyFill="1" applyBorder="1" applyAlignment="1">
      <alignment horizontal="center" vertical="center" wrapText="1" readingOrder="1"/>
    </xf>
    <xf numFmtId="0" fontId="67" fillId="5" borderId="23" xfId="0" applyFont="1" applyFill="1" applyBorder="1" applyAlignment="1">
      <alignment horizontal="center" vertical="center" wrapText="1" readingOrder="1"/>
    </xf>
    <xf numFmtId="0" fontId="67" fillId="5" borderId="0" xfId="0" applyFont="1" applyFill="1" applyAlignment="1">
      <alignment horizontal="center" vertical="center" wrapText="1" readingOrder="1"/>
    </xf>
    <xf numFmtId="0" fontId="67" fillId="5" borderId="24" xfId="0" applyFont="1" applyFill="1" applyBorder="1" applyAlignment="1">
      <alignment horizontal="center" vertical="center" wrapText="1" readingOrder="1"/>
    </xf>
    <xf numFmtId="0" fontId="67" fillId="5" borderId="25" xfId="0" applyFont="1" applyFill="1" applyBorder="1" applyAlignment="1">
      <alignment horizontal="center" vertical="center" wrapText="1" readingOrder="1"/>
    </xf>
    <xf numFmtId="0" fontId="67" fillId="5" borderId="26" xfId="0" applyFont="1" applyFill="1" applyBorder="1" applyAlignment="1">
      <alignment horizontal="center" vertical="center" wrapText="1" readingOrder="1"/>
    </xf>
    <xf numFmtId="0" fontId="67" fillId="5" borderId="27" xfId="0" applyFont="1" applyFill="1" applyBorder="1" applyAlignment="1">
      <alignment horizontal="center" vertical="center" wrapText="1" readingOrder="1"/>
    </xf>
    <xf numFmtId="0" fontId="67" fillId="5" borderId="16" xfId="0" applyFont="1" applyFill="1" applyBorder="1" applyAlignment="1" applyProtection="1">
      <alignment horizontal="center" wrapText="1" readingOrder="1"/>
      <protection hidden="1"/>
    </xf>
    <xf numFmtId="0" fontId="67" fillId="5" borderId="18" xfId="0" applyFont="1" applyFill="1" applyBorder="1" applyAlignment="1" applyProtection="1">
      <alignment horizontal="center" wrapText="1" readingOrder="1"/>
      <protection hidden="1"/>
    </xf>
    <xf numFmtId="0" fontId="67" fillId="5" borderId="17" xfId="0" applyFont="1" applyFill="1" applyBorder="1" applyAlignment="1" applyProtection="1">
      <alignment horizontal="center" wrapText="1" readingOrder="1"/>
      <protection hidden="1"/>
    </xf>
    <xf numFmtId="0" fontId="68" fillId="0" borderId="19" xfId="0" applyFont="1" applyBorder="1" applyAlignment="1">
      <alignment horizontal="center" vertical="center" wrapText="1"/>
    </xf>
    <xf numFmtId="0" fontId="27" fillId="0" borderId="0" xfId="0" applyFont="1" applyAlignment="1">
      <alignment horizontal="center" vertical="center" wrapText="1"/>
    </xf>
    <xf numFmtId="0" fontId="64" fillId="0" borderId="12" xfId="0" applyFont="1" applyBorder="1" applyAlignment="1">
      <alignment horizontal="center" vertical="center" wrapText="1"/>
    </xf>
    <xf numFmtId="0" fontId="64" fillId="0" borderId="19"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wrapText="1"/>
    </xf>
    <xf numFmtId="0" fontId="64" fillId="0" borderId="0" xfId="0" applyFont="1" applyAlignment="1">
      <alignment horizontal="center" vertical="center"/>
    </xf>
    <xf numFmtId="0" fontId="64" fillId="0" borderId="15" xfId="0" applyFont="1" applyBorder="1" applyAlignment="1">
      <alignment horizontal="center" vertical="center"/>
    </xf>
    <xf numFmtId="0" fontId="64" fillId="0" borderId="14" xfId="0" applyFont="1" applyBorder="1" applyAlignment="1">
      <alignment horizontal="center" vertical="center"/>
    </xf>
    <xf numFmtId="0" fontId="64" fillId="0" borderId="16" xfId="0" applyFont="1" applyBorder="1" applyAlignment="1">
      <alignment horizontal="center" vertical="center"/>
    </xf>
    <xf numFmtId="0" fontId="64" fillId="0" borderId="18" xfId="0" applyFont="1" applyBorder="1" applyAlignment="1">
      <alignment horizontal="center" vertical="center"/>
    </xf>
    <xf numFmtId="0" fontId="64" fillId="0" borderId="17" xfId="0" applyFont="1" applyBorder="1" applyAlignment="1">
      <alignment horizontal="center" vertical="center"/>
    </xf>
    <xf numFmtId="0" fontId="64" fillId="0" borderId="19" xfId="0" applyFont="1" applyBorder="1" applyAlignment="1">
      <alignment horizontal="center" vertical="center" wrapText="1"/>
    </xf>
    <xf numFmtId="0" fontId="66" fillId="10" borderId="0" xfId="0" applyFont="1" applyFill="1" applyAlignment="1">
      <alignment horizontal="center" vertical="center" wrapText="1" readingOrder="1"/>
    </xf>
    <xf numFmtId="0" fontId="66" fillId="10" borderId="0" xfId="0" applyFont="1" applyFill="1" applyAlignment="1">
      <alignment horizontal="center" vertical="center" textRotation="90" wrapText="1" readingOrder="1"/>
    </xf>
    <xf numFmtId="0" fontId="66" fillId="10" borderId="15" xfId="0" applyFont="1" applyFill="1" applyBorder="1" applyAlignment="1">
      <alignment horizontal="center" vertical="center" textRotation="90" wrapText="1" readingOrder="1"/>
    </xf>
    <xf numFmtId="0" fontId="66" fillId="12" borderId="20" xfId="0" applyFont="1" applyFill="1" applyBorder="1" applyAlignment="1">
      <alignment horizontal="center" vertical="center" wrapText="1" readingOrder="1"/>
    </xf>
    <xf numFmtId="0" fontId="66" fillId="12" borderId="21" xfId="0" applyFont="1" applyFill="1" applyBorder="1" applyAlignment="1">
      <alignment horizontal="center" vertical="center" wrapText="1" readingOrder="1"/>
    </xf>
    <xf numFmtId="0" fontId="66" fillId="12" borderId="22" xfId="0" applyFont="1" applyFill="1" applyBorder="1" applyAlignment="1">
      <alignment horizontal="center" vertical="center" wrapText="1" readingOrder="1"/>
    </xf>
    <xf numFmtId="0" fontId="66" fillId="12" borderId="23" xfId="0" applyFont="1" applyFill="1" applyBorder="1" applyAlignment="1">
      <alignment horizontal="center" vertical="center" wrapText="1" readingOrder="1"/>
    </xf>
    <xf numFmtId="0" fontId="66" fillId="12" borderId="0" xfId="0" applyFont="1" applyFill="1" applyAlignment="1">
      <alignment horizontal="center" vertical="center" wrapText="1" readingOrder="1"/>
    </xf>
    <xf numFmtId="0" fontId="66" fillId="12" borderId="24" xfId="0" applyFont="1" applyFill="1" applyBorder="1" applyAlignment="1">
      <alignment horizontal="center" vertical="center" wrapText="1" readingOrder="1"/>
    </xf>
    <xf numFmtId="0" fontId="66" fillId="12" borderId="25" xfId="0" applyFont="1" applyFill="1" applyBorder="1" applyAlignment="1">
      <alignment horizontal="center" vertical="center" wrapText="1" readingOrder="1"/>
    </xf>
    <xf numFmtId="0" fontId="66" fillId="12" borderId="26" xfId="0" applyFont="1" applyFill="1" applyBorder="1" applyAlignment="1">
      <alignment horizontal="center" vertical="center" wrapText="1" readingOrder="1"/>
    </xf>
    <xf numFmtId="0" fontId="66" fillId="12" borderId="27" xfId="0" applyFont="1" applyFill="1" applyBorder="1" applyAlignment="1">
      <alignment horizontal="center" vertical="center" wrapText="1" readingOrder="1"/>
    </xf>
    <xf numFmtId="0" fontId="66" fillId="11" borderId="20" xfId="0" applyFont="1" applyFill="1" applyBorder="1" applyAlignment="1">
      <alignment horizontal="center" vertical="center" wrapText="1" readingOrder="1"/>
    </xf>
    <xf numFmtId="0" fontId="66" fillId="11" borderId="21" xfId="0" applyFont="1" applyFill="1" applyBorder="1" applyAlignment="1">
      <alignment horizontal="center" vertical="center" wrapText="1" readingOrder="1"/>
    </xf>
    <xf numFmtId="0" fontId="66" fillId="11" borderId="22" xfId="0" applyFont="1" applyFill="1" applyBorder="1" applyAlignment="1">
      <alignment horizontal="center" vertical="center" wrapText="1" readingOrder="1"/>
    </xf>
    <xf numFmtId="0" fontId="66" fillId="11" borderId="23" xfId="0" applyFont="1" applyFill="1" applyBorder="1" applyAlignment="1">
      <alignment horizontal="center" vertical="center" wrapText="1" readingOrder="1"/>
    </xf>
    <xf numFmtId="0" fontId="66" fillId="11" borderId="0" xfId="0" applyFont="1" applyFill="1" applyAlignment="1">
      <alignment horizontal="center" vertical="center" wrapText="1" readingOrder="1"/>
    </xf>
    <xf numFmtId="0" fontId="66" fillId="11" borderId="24" xfId="0" applyFont="1" applyFill="1" applyBorder="1" applyAlignment="1">
      <alignment horizontal="center" vertical="center" wrapText="1" readingOrder="1"/>
    </xf>
    <xf numFmtId="0" fontId="66" fillId="11" borderId="25" xfId="0" applyFont="1" applyFill="1" applyBorder="1" applyAlignment="1">
      <alignment horizontal="center" vertical="center" wrapText="1" readingOrder="1"/>
    </xf>
    <xf numFmtId="0" fontId="66" fillId="11" borderId="26" xfId="0" applyFont="1" applyFill="1" applyBorder="1" applyAlignment="1">
      <alignment horizontal="center" vertical="center" wrapText="1" readingOrder="1"/>
    </xf>
    <xf numFmtId="0" fontId="66" fillId="11" borderId="27" xfId="0" applyFont="1" applyFill="1" applyBorder="1" applyAlignment="1">
      <alignment horizontal="center" vertical="center" wrapText="1" readingOrder="1"/>
    </xf>
    <xf numFmtId="0" fontId="66" fillId="13" borderId="20" xfId="0" applyFont="1" applyFill="1" applyBorder="1" applyAlignment="1">
      <alignment horizontal="center" vertical="center" wrapText="1" readingOrder="1"/>
    </xf>
    <xf numFmtId="0" fontId="66" fillId="13" borderId="21" xfId="0" applyFont="1" applyFill="1" applyBorder="1" applyAlignment="1">
      <alignment horizontal="center" vertical="center" wrapText="1" readingOrder="1"/>
    </xf>
    <xf numFmtId="0" fontId="66" fillId="13" borderId="22" xfId="0" applyFont="1" applyFill="1" applyBorder="1" applyAlignment="1">
      <alignment horizontal="center" vertical="center" wrapText="1" readingOrder="1"/>
    </xf>
    <xf numFmtId="0" fontId="66" fillId="13" borderId="23" xfId="0" applyFont="1" applyFill="1" applyBorder="1" applyAlignment="1">
      <alignment horizontal="center" vertical="center" wrapText="1" readingOrder="1"/>
    </xf>
    <xf numFmtId="0" fontId="66" fillId="13" borderId="0" xfId="0" applyFont="1" applyFill="1" applyAlignment="1">
      <alignment horizontal="center" vertical="center" wrapText="1" readingOrder="1"/>
    </xf>
    <xf numFmtId="0" fontId="66" fillId="13" borderId="24" xfId="0" applyFont="1" applyFill="1" applyBorder="1" applyAlignment="1">
      <alignment horizontal="center" vertical="center" wrapText="1" readingOrder="1"/>
    </xf>
    <xf numFmtId="0" fontId="66" fillId="13" borderId="25" xfId="0" applyFont="1" applyFill="1" applyBorder="1" applyAlignment="1">
      <alignment horizontal="center" vertical="center" wrapText="1" readingOrder="1"/>
    </xf>
    <xf numFmtId="0" fontId="66" fillId="13" borderId="26" xfId="0" applyFont="1" applyFill="1" applyBorder="1" applyAlignment="1">
      <alignment horizontal="center" vertical="center" wrapText="1" readingOrder="1"/>
    </xf>
    <xf numFmtId="0" fontId="66" fillId="13" borderId="27" xfId="0" applyFont="1" applyFill="1" applyBorder="1" applyAlignment="1">
      <alignment horizontal="center" vertical="center" wrapText="1" readingOrder="1"/>
    </xf>
    <xf numFmtId="0" fontId="66" fillId="5" borderId="20" xfId="0" applyFont="1" applyFill="1" applyBorder="1" applyAlignment="1">
      <alignment horizontal="center" vertical="center" wrapText="1" readingOrder="1"/>
    </xf>
    <xf numFmtId="0" fontId="66" fillId="5" borderId="21" xfId="0" applyFont="1" applyFill="1" applyBorder="1" applyAlignment="1">
      <alignment horizontal="center" vertical="center" wrapText="1" readingOrder="1"/>
    </xf>
    <xf numFmtId="0" fontId="66" fillId="5" borderId="22" xfId="0" applyFont="1" applyFill="1" applyBorder="1" applyAlignment="1">
      <alignment horizontal="center" vertical="center" wrapText="1" readingOrder="1"/>
    </xf>
    <xf numFmtId="0" fontId="66" fillId="5" borderId="23" xfId="0" applyFont="1" applyFill="1" applyBorder="1" applyAlignment="1">
      <alignment horizontal="center" vertical="center" wrapText="1" readingOrder="1"/>
    </xf>
    <xf numFmtId="0" fontId="66" fillId="5" borderId="0" xfId="0" applyFont="1" applyFill="1" applyAlignment="1">
      <alignment horizontal="center" vertical="center" wrapText="1" readingOrder="1"/>
    </xf>
    <xf numFmtId="0" fontId="66" fillId="5" borderId="24"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66" fillId="5" borderId="26" xfId="0" applyFont="1" applyFill="1" applyBorder="1" applyAlignment="1">
      <alignment horizontal="center" vertical="center" wrapText="1" readingOrder="1"/>
    </xf>
    <xf numFmtId="0" fontId="66" fillId="5" borderId="27" xfId="0" applyFont="1" applyFill="1" applyBorder="1" applyAlignment="1">
      <alignment horizontal="center" vertical="center" wrapText="1" readingOrder="1"/>
    </xf>
    <xf numFmtId="0" fontId="26" fillId="0" borderId="0" xfId="0" applyFont="1" applyAlignment="1">
      <alignment horizontal="center" vertical="center" wrapText="1"/>
    </xf>
    <xf numFmtId="0" fontId="21" fillId="5" borderId="14" xfId="0" applyFont="1" applyFill="1" applyBorder="1" applyAlignment="1" applyProtection="1">
      <alignment horizontal="center" wrapText="1" readingOrder="1"/>
      <protection hidden="1"/>
    </xf>
    <xf numFmtId="0" fontId="21" fillId="5" borderId="0" xfId="0" applyFont="1" applyFill="1" applyAlignment="1" applyProtection="1">
      <alignment horizontal="center" wrapText="1" readingOrder="1"/>
      <protection hidden="1"/>
    </xf>
    <xf numFmtId="0" fontId="21" fillId="5" borderId="15" xfId="0" applyFont="1" applyFill="1" applyBorder="1" applyAlignment="1" applyProtection="1">
      <alignment horizontal="center" wrapText="1" readingOrder="1"/>
      <protection hidden="1"/>
    </xf>
    <xf numFmtId="0" fontId="21" fillId="5" borderId="16" xfId="0" applyFont="1" applyFill="1" applyBorder="1" applyAlignment="1" applyProtection="1">
      <alignment horizontal="center" wrapText="1" readingOrder="1"/>
      <protection hidden="1"/>
    </xf>
    <xf numFmtId="0" fontId="21" fillId="5" borderId="18" xfId="0" applyFont="1" applyFill="1" applyBorder="1" applyAlignment="1" applyProtection="1">
      <alignment horizontal="center" wrapText="1" readingOrder="1"/>
      <protection hidden="1"/>
    </xf>
    <xf numFmtId="0" fontId="21" fillId="5" borderId="17" xfId="0" applyFont="1" applyFill="1" applyBorder="1" applyAlignment="1" applyProtection="1">
      <alignment horizontal="center" wrapText="1" readingOrder="1"/>
      <protection hidden="1"/>
    </xf>
    <xf numFmtId="0" fontId="21" fillId="5" borderId="12" xfId="0" applyFont="1" applyFill="1" applyBorder="1" applyAlignment="1" applyProtection="1">
      <alignment horizontal="center" wrapText="1" readingOrder="1"/>
      <protection hidden="1"/>
    </xf>
    <xf numFmtId="0" fontId="21" fillId="5" borderId="19" xfId="0" applyFont="1" applyFill="1" applyBorder="1" applyAlignment="1" applyProtection="1">
      <alignment horizontal="center" wrapText="1" readingOrder="1"/>
      <protection hidden="1"/>
    </xf>
    <xf numFmtId="0" fontId="21" fillId="5" borderId="13" xfId="0" applyFont="1" applyFill="1" applyBorder="1" applyAlignment="1" applyProtection="1">
      <alignment horizontal="center" wrapText="1" readingOrder="1"/>
      <protection hidden="1"/>
    </xf>
    <xf numFmtId="0" fontId="21" fillId="13" borderId="14" xfId="0" applyFont="1" applyFill="1" applyBorder="1" applyAlignment="1" applyProtection="1">
      <alignment horizontal="center" wrapText="1" readingOrder="1"/>
      <protection hidden="1"/>
    </xf>
    <xf numFmtId="0" fontId="21" fillId="13" borderId="0" xfId="0" applyFont="1" applyFill="1" applyAlignment="1" applyProtection="1">
      <alignment horizontal="center" wrapText="1" readingOrder="1"/>
      <protection hidden="1"/>
    </xf>
    <xf numFmtId="0" fontId="21" fillId="13" borderId="15" xfId="0" applyFont="1" applyFill="1" applyBorder="1" applyAlignment="1" applyProtection="1">
      <alignment horizontal="center" wrapText="1" readingOrder="1"/>
      <protection hidden="1"/>
    </xf>
    <xf numFmtId="0" fontId="21" fillId="13" borderId="16" xfId="0" applyFont="1" applyFill="1" applyBorder="1" applyAlignment="1" applyProtection="1">
      <alignment horizontal="center" wrapText="1" readingOrder="1"/>
      <protection hidden="1"/>
    </xf>
    <xf numFmtId="0" fontId="21" fillId="13" borderId="18" xfId="0" applyFont="1" applyFill="1" applyBorder="1" applyAlignment="1" applyProtection="1">
      <alignment horizontal="center" wrapText="1" readingOrder="1"/>
      <protection hidden="1"/>
    </xf>
    <xf numFmtId="0" fontId="21" fillId="13" borderId="17"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21" fillId="13" borderId="19" xfId="0" applyFont="1" applyFill="1" applyBorder="1" applyAlignment="1" applyProtection="1">
      <alignment horizontal="center" wrapText="1" readingOrder="1"/>
      <protection hidden="1"/>
    </xf>
    <xf numFmtId="0" fontId="21" fillId="13" borderId="13" xfId="0" applyFont="1" applyFill="1" applyBorder="1" applyAlignment="1" applyProtection="1">
      <alignment horizontal="center" wrapText="1" readingOrder="1"/>
      <protection hidden="1"/>
    </xf>
    <xf numFmtId="0" fontId="21" fillId="12" borderId="14" xfId="0" applyFont="1" applyFill="1" applyBorder="1" applyAlignment="1" applyProtection="1">
      <alignment horizontal="center" wrapText="1" readingOrder="1"/>
      <protection hidden="1"/>
    </xf>
    <xf numFmtId="0" fontId="21" fillId="12" borderId="0" xfId="0" applyFont="1" applyFill="1" applyAlignment="1" applyProtection="1">
      <alignment horizontal="center" wrapText="1" readingOrder="1"/>
      <protection hidden="1"/>
    </xf>
    <xf numFmtId="0" fontId="21" fillId="12" borderId="15" xfId="0" applyFont="1" applyFill="1" applyBorder="1" applyAlignment="1" applyProtection="1">
      <alignment horizontal="center" wrapText="1" readingOrder="1"/>
      <protection hidden="1"/>
    </xf>
    <xf numFmtId="0" fontId="21" fillId="12" borderId="16" xfId="0" applyFont="1" applyFill="1" applyBorder="1" applyAlignment="1" applyProtection="1">
      <alignment horizontal="center" wrapText="1" readingOrder="1"/>
      <protection hidden="1"/>
    </xf>
    <xf numFmtId="0" fontId="21" fillId="12" borderId="18" xfId="0" applyFont="1" applyFill="1" applyBorder="1" applyAlignment="1" applyProtection="1">
      <alignment horizontal="center" wrapText="1" readingOrder="1"/>
      <protection hidden="1"/>
    </xf>
    <xf numFmtId="0" fontId="21" fillId="12" borderId="17" xfId="0" applyFont="1" applyFill="1" applyBorder="1" applyAlignment="1" applyProtection="1">
      <alignment horizontal="center" wrapText="1" readingOrder="1"/>
      <protection hidden="1"/>
    </xf>
    <xf numFmtId="0" fontId="21" fillId="12" borderId="12" xfId="0" applyFont="1" applyFill="1" applyBorder="1" applyAlignment="1" applyProtection="1">
      <alignment horizontal="center" wrapText="1" readingOrder="1"/>
      <protection hidden="1"/>
    </xf>
    <xf numFmtId="0" fontId="21" fillId="12" borderId="19" xfId="0" applyFont="1" applyFill="1" applyBorder="1" applyAlignment="1" applyProtection="1">
      <alignment horizontal="center" wrapText="1" readingOrder="1"/>
      <protection hidden="1"/>
    </xf>
    <xf numFmtId="0" fontId="21" fillId="12" borderId="13" xfId="0" applyFont="1" applyFill="1" applyBorder="1" applyAlignment="1" applyProtection="1">
      <alignment horizontal="center" wrapText="1" readingOrder="1"/>
      <protection hidden="1"/>
    </xf>
    <xf numFmtId="0" fontId="21" fillId="11" borderId="14" xfId="0" applyFont="1" applyFill="1" applyBorder="1" applyAlignment="1" applyProtection="1">
      <alignment horizontal="center" vertical="center" wrapText="1" readingOrder="1"/>
      <protection hidden="1"/>
    </xf>
    <xf numFmtId="0" fontId="21" fillId="11" borderId="0" xfId="0" applyFont="1" applyFill="1" applyAlignment="1" applyProtection="1">
      <alignment horizontal="center" vertical="center" wrapText="1" readingOrder="1"/>
      <protection hidden="1"/>
    </xf>
    <xf numFmtId="0" fontId="21" fillId="11" borderId="15" xfId="0" applyFont="1" applyFill="1" applyBorder="1" applyAlignment="1" applyProtection="1">
      <alignment horizontal="center" vertical="center" wrapText="1" readingOrder="1"/>
      <protection hidden="1"/>
    </xf>
    <xf numFmtId="0" fontId="21" fillId="11" borderId="16" xfId="0" applyFont="1" applyFill="1" applyBorder="1" applyAlignment="1" applyProtection="1">
      <alignment horizontal="center" vertical="center" wrapText="1" readingOrder="1"/>
      <protection hidden="1"/>
    </xf>
    <xf numFmtId="0" fontId="21" fillId="11" borderId="18" xfId="0" applyFont="1" applyFill="1" applyBorder="1" applyAlignment="1" applyProtection="1">
      <alignment horizontal="center" vertical="center" wrapText="1" readingOrder="1"/>
      <protection hidden="1"/>
    </xf>
    <xf numFmtId="0" fontId="21" fillId="11" borderId="17" xfId="0" applyFont="1" applyFill="1" applyBorder="1" applyAlignment="1" applyProtection="1">
      <alignment horizontal="center" vertical="center" wrapText="1" readingOrder="1"/>
      <protection hidden="1"/>
    </xf>
    <xf numFmtId="0" fontId="21" fillId="11" borderId="12" xfId="0" applyFont="1" applyFill="1" applyBorder="1" applyAlignment="1" applyProtection="1">
      <alignment horizontal="center" vertical="center" wrapText="1" readingOrder="1"/>
      <protection hidden="1"/>
    </xf>
    <xf numFmtId="0" fontId="21" fillId="11" borderId="19" xfId="0" applyFont="1" applyFill="1" applyBorder="1" applyAlignment="1" applyProtection="1">
      <alignment horizontal="center" vertical="center" wrapText="1" readingOrder="1"/>
      <protection hidden="1"/>
    </xf>
    <xf numFmtId="0" fontId="21" fillId="11" borderId="13" xfId="0" applyFont="1" applyFill="1" applyBorder="1" applyAlignment="1" applyProtection="1">
      <alignment horizontal="center" vertical="center" wrapText="1" readingOrder="1"/>
      <protection hidden="1"/>
    </xf>
    <xf numFmtId="0" fontId="19" fillId="10" borderId="0" xfId="0" applyFont="1" applyFill="1" applyAlignment="1">
      <alignment horizontal="center" vertical="center" wrapText="1" readingOrder="1"/>
    </xf>
    <xf numFmtId="0" fontId="18" fillId="0" borderId="12" xfId="0" applyFont="1" applyBorder="1" applyAlignment="1">
      <alignment horizontal="center" vertical="center" wrapText="1"/>
    </xf>
    <xf numFmtId="0" fontId="18" fillId="0" borderId="19"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18" fillId="0" borderId="19" xfId="0" applyFont="1" applyBorder="1" applyAlignment="1">
      <alignment horizontal="center" vertical="center" wrapText="1"/>
    </xf>
    <xf numFmtId="0" fontId="19" fillId="10" borderId="0" xfId="0" applyFont="1" applyFill="1" applyAlignment="1">
      <alignment horizontal="center" vertical="center" textRotation="90" wrapText="1" readingOrder="1"/>
    </xf>
    <xf numFmtId="0" fontId="19" fillId="10" borderId="15" xfId="0" applyFont="1" applyFill="1" applyBorder="1" applyAlignment="1">
      <alignment horizontal="center" vertical="center" textRotation="90" wrapText="1" readingOrder="1"/>
    </xf>
    <xf numFmtId="0" fontId="22" fillId="12" borderId="20" xfId="0" applyFont="1" applyFill="1" applyBorder="1" applyAlignment="1">
      <alignment horizontal="center" vertical="center" wrapText="1" readingOrder="1"/>
    </xf>
    <xf numFmtId="0" fontId="22" fillId="12" borderId="21" xfId="0" applyFont="1" applyFill="1" applyBorder="1" applyAlignment="1">
      <alignment horizontal="center" vertical="center" wrapText="1" readingOrder="1"/>
    </xf>
    <xf numFmtId="0" fontId="22" fillId="12" borderId="22" xfId="0" applyFont="1" applyFill="1" applyBorder="1" applyAlignment="1">
      <alignment horizontal="center" vertical="center" wrapText="1" readingOrder="1"/>
    </xf>
    <xf numFmtId="0" fontId="22" fillId="12" borderId="23" xfId="0" applyFont="1" applyFill="1" applyBorder="1" applyAlignment="1">
      <alignment horizontal="center" vertical="center" wrapText="1" readingOrder="1"/>
    </xf>
    <xf numFmtId="0" fontId="22" fillId="12" borderId="0" xfId="0" applyFont="1" applyFill="1" applyAlignment="1">
      <alignment horizontal="center" vertical="center" wrapText="1" readingOrder="1"/>
    </xf>
    <xf numFmtId="0" fontId="22" fillId="12" borderId="24" xfId="0" applyFont="1" applyFill="1" applyBorder="1" applyAlignment="1">
      <alignment horizontal="center" vertical="center" wrapText="1" readingOrder="1"/>
    </xf>
    <xf numFmtId="0" fontId="22" fillId="12" borderId="25"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22" fillId="12" borderId="27" xfId="0" applyFont="1" applyFill="1" applyBorder="1" applyAlignment="1">
      <alignment horizontal="center" vertical="center" wrapText="1" readingOrder="1"/>
    </xf>
    <xf numFmtId="0" fontId="22" fillId="11" borderId="20" xfId="0" applyFont="1" applyFill="1" applyBorder="1" applyAlignment="1">
      <alignment horizontal="center" vertical="center" wrapText="1" readingOrder="1"/>
    </xf>
    <xf numFmtId="0" fontId="22" fillId="11" borderId="21" xfId="0" applyFont="1" applyFill="1" applyBorder="1" applyAlignment="1">
      <alignment horizontal="center" vertical="center" wrapText="1" readingOrder="1"/>
    </xf>
    <xf numFmtId="0" fontId="22" fillId="11" borderId="22" xfId="0" applyFont="1" applyFill="1" applyBorder="1" applyAlignment="1">
      <alignment horizontal="center" vertical="center" wrapText="1" readingOrder="1"/>
    </xf>
    <xf numFmtId="0" fontId="22" fillId="11" borderId="23" xfId="0" applyFont="1" applyFill="1" applyBorder="1" applyAlignment="1">
      <alignment horizontal="center" vertical="center" wrapText="1" readingOrder="1"/>
    </xf>
    <xf numFmtId="0" fontId="22" fillId="11" borderId="0" xfId="0" applyFont="1" applyFill="1" applyAlignment="1">
      <alignment horizontal="center" vertical="center" wrapText="1" readingOrder="1"/>
    </xf>
    <xf numFmtId="0" fontId="22" fillId="11" borderId="24" xfId="0" applyFont="1" applyFill="1" applyBorder="1" applyAlignment="1">
      <alignment horizontal="center" vertical="center" wrapText="1" readingOrder="1"/>
    </xf>
    <xf numFmtId="0" fontId="22" fillId="11" borderId="25" xfId="0" applyFont="1" applyFill="1" applyBorder="1" applyAlignment="1">
      <alignment horizontal="center" vertical="center" wrapText="1" readingOrder="1"/>
    </xf>
    <xf numFmtId="0" fontId="22" fillId="11" borderId="26" xfId="0" applyFont="1" applyFill="1" applyBorder="1" applyAlignment="1">
      <alignment horizontal="center" vertical="center" wrapText="1" readingOrder="1"/>
    </xf>
    <xf numFmtId="0" fontId="22" fillId="11" borderId="27" xfId="0" applyFont="1" applyFill="1" applyBorder="1" applyAlignment="1">
      <alignment horizontal="center" vertical="center" wrapText="1" readingOrder="1"/>
    </xf>
    <xf numFmtId="0" fontId="22" fillId="13" borderId="20" xfId="0" applyFont="1" applyFill="1" applyBorder="1" applyAlignment="1">
      <alignment horizontal="center" vertical="center" wrapText="1" readingOrder="1"/>
    </xf>
    <xf numFmtId="0" fontId="22" fillId="13" borderId="21" xfId="0" applyFont="1" applyFill="1" applyBorder="1" applyAlignment="1">
      <alignment horizontal="center" vertical="center" wrapText="1" readingOrder="1"/>
    </xf>
    <xf numFmtId="0" fontId="22" fillId="13" borderId="22" xfId="0" applyFont="1" applyFill="1" applyBorder="1" applyAlignment="1">
      <alignment horizontal="center" vertical="center" wrapText="1" readingOrder="1"/>
    </xf>
    <xf numFmtId="0" fontId="22" fillId="13" borderId="23" xfId="0" applyFont="1" applyFill="1" applyBorder="1" applyAlignment="1">
      <alignment horizontal="center" vertical="center" wrapText="1" readingOrder="1"/>
    </xf>
    <xf numFmtId="0" fontId="22" fillId="13" borderId="0" xfId="0" applyFont="1" applyFill="1" applyAlignment="1">
      <alignment horizontal="center" vertical="center" wrapText="1" readingOrder="1"/>
    </xf>
    <xf numFmtId="0" fontId="22" fillId="13" borderId="24" xfId="0" applyFont="1" applyFill="1" applyBorder="1" applyAlignment="1">
      <alignment horizontal="center" vertical="center" wrapText="1" readingOrder="1"/>
    </xf>
    <xf numFmtId="0" fontId="22" fillId="13" borderId="25" xfId="0" applyFont="1" applyFill="1" applyBorder="1" applyAlignment="1">
      <alignment horizontal="center" vertical="center" wrapText="1" readingOrder="1"/>
    </xf>
    <xf numFmtId="0" fontId="22" fillId="13" borderId="26" xfId="0" applyFont="1" applyFill="1" applyBorder="1" applyAlignment="1">
      <alignment horizontal="center" vertical="center" wrapText="1" readingOrder="1"/>
    </xf>
    <xf numFmtId="0" fontId="22" fillId="13" borderId="27" xfId="0" applyFont="1" applyFill="1" applyBorder="1" applyAlignment="1">
      <alignment horizontal="center" vertical="center" wrapText="1" readingOrder="1"/>
    </xf>
    <xf numFmtId="0" fontId="22" fillId="5" borderId="20"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2" fillId="5" borderId="0" xfId="0" applyFont="1" applyFill="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6" xfId="0" applyFont="1" applyFill="1" applyBorder="1" applyAlignment="1">
      <alignment horizontal="center" vertical="center" wrapText="1" readingOrder="1"/>
    </xf>
    <xf numFmtId="0" fontId="22" fillId="5" borderId="27" xfId="0" applyFont="1" applyFill="1" applyBorder="1" applyAlignment="1">
      <alignment horizontal="center" vertical="center" wrapText="1" readingOrder="1"/>
    </xf>
    <xf numFmtId="0" fontId="44" fillId="0" borderId="12" xfId="0" applyFont="1" applyBorder="1" applyAlignment="1">
      <alignment horizontal="center" vertical="center" wrapText="1"/>
    </xf>
    <xf numFmtId="0" fontId="44" fillId="0" borderId="19"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0" xfId="0" applyFont="1" applyAlignment="1">
      <alignment horizontal="center" vertical="center"/>
    </xf>
    <xf numFmtId="0" fontId="44" fillId="0" borderId="15" xfId="0" applyFont="1" applyBorder="1" applyAlignment="1">
      <alignment horizontal="center" vertical="center"/>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4" fillId="0" borderId="17" xfId="0" applyFont="1" applyBorder="1" applyAlignment="1">
      <alignment horizontal="center" vertical="center"/>
    </xf>
    <xf numFmtId="0" fontId="44" fillId="0" borderId="19" xfId="0" applyFont="1" applyBorder="1" applyAlignment="1">
      <alignment horizontal="center" vertical="center" wrapText="1"/>
    </xf>
    <xf numFmtId="0" fontId="43" fillId="11" borderId="20" xfId="0" applyFont="1" applyFill="1" applyBorder="1" applyAlignment="1">
      <alignment horizontal="center" vertical="center" wrapText="1" readingOrder="1"/>
    </xf>
    <xf numFmtId="0" fontId="43" fillId="11" borderId="21" xfId="0" applyFont="1" applyFill="1" applyBorder="1" applyAlignment="1">
      <alignment horizontal="center" vertical="center" wrapText="1" readingOrder="1"/>
    </xf>
    <xf numFmtId="0" fontId="43" fillId="11" borderId="22" xfId="0" applyFont="1" applyFill="1" applyBorder="1" applyAlignment="1">
      <alignment horizontal="center" vertical="center" wrapText="1" readingOrder="1"/>
    </xf>
    <xf numFmtId="0" fontId="43" fillId="11" borderId="23" xfId="0" applyFont="1" applyFill="1" applyBorder="1" applyAlignment="1">
      <alignment horizontal="center" vertical="center" wrapText="1" readingOrder="1"/>
    </xf>
    <xf numFmtId="0" fontId="43" fillId="11" borderId="0" xfId="0" applyFont="1" applyFill="1" applyAlignment="1">
      <alignment horizontal="center" vertical="center" wrapText="1" readingOrder="1"/>
    </xf>
    <xf numFmtId="0" fontId="43" fillId="11" borderId="24" xfId="0" applyFont="1" applyFill="1" applyBorder="1" applyAlignment="1">
      <alignment horizontal="center" vertical="center" wrapText="1" readingOrder="1"/>
    </xf>
    <xf numFmtId="0" fontId="43" fillId="11" borderId="25" xfId="0" applyFont="1" applyFill="1" applyBorder="1" applyAlignment="1">
      <alignment horizontal="center" vertical="center" wrapText="1" readingOrder="1"/>
    </xf>
    <xf numFmtId="0" fontId="43" fillId="11" borderId="26" xfId="0" applyFont="1" applyFill="1" applyBorder="1" applyAlignment="1">
      <alignment horizontal="center" vertical="center" wrapText="1" readingOrder="1"/>
    </xf>
    <xf numFmtId="0" fontId="43" fillId="11" borderId="27" xfId="0" applyFont="1" applyFill="1" applyBorder="1" applyAlignment="1">
      <alignment horizontal="center" vertical="center" wrapText="1" readingOrder="1"/>
    </xf>
    <xf numFmtId="0" fontId="44" fillId="0" borderId="14" xfId="0" applyFont="1" applyBorder="1" applyAlignment="1">
      <alignment horizontal="center" vertical="center" wrapText="1"/>
    </xf>
    <xf numFmtId="0" fontId="43" fillId="12" borderId="20" xfId="0" applyFont="1" applyFill="1" applyBorder="1" applyAlignment="1">
      <alignment horizontal="center" vertical="center" wrapText="1" readingOrder="1"/>
    </xf>
    <xf numFmtId="0" fontId="43" fillId="12" borderId="21" xfId="0" applyFont="1" applyFill="1" applyBorder="1" applyAlignment="1">
      <alignment horizontal="center" vertical="center" wrapText="1" readingOrder="1"/>
    </xf>
    <xf numFmtId="0" fontId="43" fillId="12" borderId="22" xfId="0" applyFont="1" applyFill="1" applyBorder="1" applyAlignment="1">
      <alignment horizontal="center" vertical="center" wrapText="1" readingOrder="1"/>
    </xf>
    <xf numFmtId="0" fontId="43" fillId="12" borderId="23" xfId="0" applyFont="1" applyFill="1" applyBorder="1" applyAlignment="1">
      <alignment horizontal="center" vertical="center" wrapText="1" readingOrder="1"/>
    </xf>
    <xf numFmtId="0" fontId="43" fillId="12" borderId="0" xfId="0" applyFont="1" applyFill="1" applyAlignment="1">
      <alignment horizontal="center" vertical="center" wrapText="1" readingOrder="1"/>
    </xf>
    <xf numFmtId="0" fontId="43" fillId="12" borderId="24" xfId="0" applyFont="1" applyFill="1" applyBorder="1" applyAlignment="1">
      <alignment horizontal="center" vertical="center" wrapText="1" readingOrder="1"/>
    </xf>
    <xf numFmtId="0" fontId="43" fillId="12" borderId="25" xfId="0" applyFont="1" applyFill="1" applyBorder="1" applyAlignment="1">
      <alignment horizontal="center" vertical="center" wrapText="1" readingOrder="1"/>
    </xf>
    <xf numFmtId="0" fontId="43" fillId="12" borderId="26" xfId="0" applyFont="1" applyFill="1" applyBorder="1" applyAlignment="1">
      <alignment horizontal="center" vertical="center" wrapText="1" readingOrder="1"/>
    </xf>
    <xf numFmtId="0" fontId="43" fillId="12" borderId="27" xfId="0" applyFont="1" applyFill="1" applyBorder="1" applyAlignment="1">
      <alignment horizontal="center" vertical="center" wrapText="1" readingOrder="1"/>
    </xf>
    <xf numFmtId="0" fontId="42" fillId="0" borderId="0" xfId="0" applyFont="1" applyAlignment="1">
      <alignment horizontal="center" vertical="center" wrapText="1"/>
    </xf>
    <xf numFmtId="0" fontId="23" fillId="0" borderId="0" xfId="0" applyFont="1" applyAlignment="1">
      <alignment horizontal="center" vertical="center" wrapText="1"/>
    </xf>
    <xf numFmtId="0" fontId="43" fillId="5" borderId="20" xfId="0" applyFont="1" applyFill="1" applyBorder="1" applyAlignment="1">
      <alignment horizontal="center" vertical="center" wrapText="1" readingOrder="1"/>
    </xf>
    <xf numFmtId="0" fontId="43" fillId="5" borderId="21" xfId="0" applyFont="1" applyFill="1" applyBorder="1" applyAlignment="1">
      <alignment horizontal="center" vertical="center" wrapText="1" readingOrder="1"/>
    </xf>
    <xf numFmtId="0" fontId="43" fillId="5" borderId="22" xfId="0" applyFont="1" applyFill="1" applyBorder="1" applyAlignment="1">
      <alignment horizontal="center" vertical="center" wrapText="1" readingOrder="1"/>
    </xf>
    <xf numFmtId="0" fontId="43" fillId="5" borderId="23" xfId="0" applyFont="1" applyFill="1" applyBorder="1" applyAlignment="1">
      <alignment horizontal="center" vertical="center" wrapText="1" readingOrder="1"/>
    </xf>
    <xf numFmtId="0" fontId="43" fillId="5" borderId="0" xfId="0" applyFont="1" applyFill="1" applyAlignment="1">
      <alignment horizontal="center" vertical="center" wrapText="1" readingOrder="1"/>
    </xf>
    <xf numFmtId="0" fontId="43" fillId="5" borderId="24" xfId="0" applyFont="1" applyFill="1" applyBorder="1" applyAlignment="1">
      <alignment horizontal="center" vertical="center" wrapText="1" readingOrder="1"/>
    </xf>
    <xf numFmtId="0" fontId="43" fillId="5" borderId="25" xfId="0" applyFont="1" applyFill="1" applyBorder="1" applyAlignment="1">
      <alignment horizontal="center" vertical="center" wrapText="1" readingOrder="1"/>
    </xf>
    <xf numFmtId="0" fontId="43" fillId="5" borderId="26" xfId="0" applyFont="1" applyFill="1" applyBorder="1" applyAlignment="1">
      <alignment horizontal="center" vertical="center" wrapText="1" readingOrder="1"/>
    </xf>
    <xf numFmtId="0" fontId="43" fillId="5" borderId="27" xfId="0" applyFont="1" applyFill="1" applyBorder="1" applyAlignment="1">
      <alignment horizontal="center" vertical="center" wrapText="1" readingOrder="1"/>
    </xf>
    <xf numFmtId="0" fontId="43" fillId="13" borderId="20" xfId="0" applyFont="1" applyFill="1" applyBorder="1" applyAlignment="1">
      <alignment horizontal="center" vertical="center" wrapText="1" readingOrder="1"/>
    </xf>
    <xf numFmtId="0" fontId="43" fillId="13" borderId="21" xfId="0" applyFont="1" applyFill="1" applyBorder="1" applyAlignment="1">
      <alignment horizontal="center" vertical="center" wrapText="1" readingOrder="1"/>
    </xf>
    <xf numFmtId="0" fontId="43" fillId="13" borderId="22" xfId="0" applyFont="1" applyFill="1" applyBorder="1" applyAlignment="1">
      <alignment horizontal="center" vertical="center" wrapText="1" readingOrder="1"/>
    </xf>
    <xf numFmtId="0" fontId="43" fillId="13" borderId="23" xfId="0" applyFont="1" applyFill="1" applyBorder="1" applyAlignment="1">
      <alignment horizontal="center" vertical="center" wrapText="1" readingOrder="1"/>
    </xf>
    <xf numFmtId="0" fontId="43" fillId="13" borderId="0" xfId="0" applyFont="1" applyFill="1" applyAlignment="1">
      <alignment horizontal="center" vertical="center" wrapText="1" readingOrder="1"/>
    </xf>
    <xf numFmtId="0" fontId="43" fillId="13" borderId="24" xfId="0" applyFont="1" applyFill="1" applyBorder="1" applyAlignment="1">
      <alignment horizontal="center" vertical="center" wrapText="1" readingOrder="1"/>
    </xf>
    <xf numFmtId="0" fontId="43" fillId="13" borderId="25" xfId="0" applyFont="1" applyFill="1" applyBorder="1" applyAlignment="1">
      <alignment horizontal="center" vertical="center" wrapText="1" readingOrder="1"/>
    </xf>
    <xf numFmtId="0" fontId="43" fillId="13" borderId="26" xfId="0" applyFont="1" applyFill="1" applyBorder="1" applyAlignment="1">
      <alignment horizontal="center" vertical="center" wrapText="1" readingOrder="1"/>
    </xf>
    <xf numFmtId="0" fontId="43" fillId="13" borderId="27" xfId="0" applyFont="1" applyFill="1" applyBorder="1" applyAlignment="1">
      <alignment horizontal="center" vertical="center" wrapText="1" readingOrder="1"/>
    </xf>
    <xf numFmtId="14" fontId="74" fillId="0" borderId="81" xfId="0" applyNumberFormat="1" applyFont="1" applyBorder="1" applyAlignment="1" applyProtection="1">
      <alignment horizontal="center" vertical="center" wrapText="1"/>
      <protection locked="0"/>
    </xf>
    <xf numFmtId="14" fontId="74" fillId="0" borderId="85" xfId="0" applyNumberFormat="1" applyFont="1" applyBorder="1" applyAlignment="1" applyProtection="1">
      <alignment horizontal="center" vertical="center" wrapText="1"/>
      <protection locked="0"/>
    </xf>
  </cellXfs>
  <cellStyles count="10">
    <cellStyle name="Normal" xfId="0" builtinId="0"/>
    <cellStyle name="Normal - Style1 2" xfId="2" xr:uid="{00000000-0005-0000-0000-000001000000}"/>
    <cellStyle name="Normal 2" xfId="4" xr:uid="{00000000-0005-0000-0000-000002000000}"/>
    <cellStyle name="Normal 2 2" xfId="3" xr:uid="{00000000-0005-0000-0000-000003000000}"/>
    <cellStyle name="Normal 2 2 2" xfId="9" xr:uid="{DBC6E30D-B827-49F8-9F67-F793FA05DB5C}"/>
    <cellStyle name="Normal 2 3" xfId="8" xr:uid="{07F75124-D312-437A-873A-8DCBB2E15F36}"/>
    <cellStyle name="Normal 3" xfId="5" xr:uid="{DFA18A79-254A-413C-8C4B-2715BD1AEEAC}"/>
    <cellStyle name="Normal 4" xfId="6" xr:uid="{0E8A7CE8-7BD7-441B-9630-F92C4A9151A4}"/>
    <cellStyle name="Porcentaje" xfId="1" builtinId="5"/>
    <cellStyle name="Porcentaje 2" xfId="7" xr:uid="{4A569535-748C-4C32-B34D-6D5EC54CC559}"/>
  </cellStyles>
  <dxfs count="263">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EA6216"/>
      <color rgb="FFFF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microsoft.com/office/2017/06/relationships/rdRichValueStructure" Target="richData/rdrichvaluestructur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atriz Calor Inherente'!A1"/><Relationship Id="rId13" Type="http://schemas.openxmlformats.org/officeDocument/2006/relationships/image" Target="../media/image2.emf"/><Relationship Id="rId3" Type="http://schemas.openxmlformats.org/officeDocument/2006/relationships/hyperlink" Target="#'Riesg de gesti&#243;n'!A1"/><Relationship Id="rId7" Type="http://schemas.openxmlformats.org/officeDocument/2006/relationships/hyperlink" Target="#'Datos del proceso'!A1"/><Relationship Id="rId12" Type="http://schemas.openxmlformats.org/officeDocument/2006/relationships/hyperlink" Target="#'Tabla Valoraci&#243;n controles'!A1"/><Relationship Id="rId2" Type="http://schemas.openxmlformats.org/officeDocument/2006/relationships/hyperlink" Target="#Intructivo!A1"/><Relationship Id="rId1" Type="http://schemas.openxmlformats.org/officeDocument/2006/relationships/image" Target="../media/image1.jpeg"/><Relationship Id="rId6" Type="http://schemas.openxmlformats.org/officeDocument/2006/relationships/hyperlink" Target="#SARLAF!A1"/><Relationship Id="rId11" Type="http://schemas.openxmlformats.org/officeDocument/2006/relationships/hyperlink" Target="#'Tabla Impacto'!A1"/><Relationship Id="rId5" Type="http://schemas.openxmlformats.org/officeDocument/2006/relationships/hyperlink" Target="#'Riesgos de segInf'!A1"/><Relationship Id="rId10" Type="http://schemas.openxmlformats.org/officeDocument/2006/relationships/hyperlink" Target="#'Tabla probabilidad'!A1"/><Relationship Id="rId4" Type="http://schemas.openxmlformats.org/officeDocument/2006/relationships/hyperlink" Target="#'R.corrupci&#243;n financiera'!A1"/><Relationship Id="rId9" Type="http://schemas.openxmlformats.org/officeDocument/2006/relationships/hyperlink" Target="#'Matriz Calor Residual'!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6"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2.emf"/><Relationship Id="rId5" Type="http://schemas.openxmlformats.org/officeDocument/2006/relationships/image" Target="../media/image12.jpeg"/><Relationship Id="rId4"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3.jpe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754065</xdr:colOff>
      <xdr:row>5</xdr:row>
      <xdr:rowOff>17196</xdr:rowOff>
    </xdr:from>
    <xdr:to>
      <xdr:col>4</xdr:col>
      <xdr:colOff>10582</xdr:colOff>
      <xdr:row>11</xdr:row>
      <xdr:rowOff>137150</xdr:rowOff>
    </xdr:to>
    <xdr:pic>
      <xdr:nvPicPr>
        <xdr:cNvPr id="15" name="Imagen 14">
          <a:extLst>
            <a:ext uri="{FF2B5EF4-FFF2-40B4-BE49-F238E27FC236}">
              <a16:creationId xmlns:a16="http://schemas.microsoft.com/office/drawing/2014/main" id="{24845F84-273E-4120-B21A-7D4FB1797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982" y="906196"/>
          <a:ext cx="1542517" cy="1262954"/>
        </a:xfrm>
        <a:prstGeom prst="rect">
          <a:avLst/>
        </a:prstGeom>
      </xdr:spPr>
    </xdr:pic>
    <xdr:clientData/>
  </xdr:twoCellAnchor>
  <xdr:twoCellAnchor>
    <xdr:from>
      <xdr:col>8</xdr:col>
      <xdr:colOff>78581</xdr:colOff>
      <xdr:row>5</xdr:row>
      <xdr:rowOff>0</xdr:rowOff>
    </xdr:from>
    <xdr:to>
      <xdr:col>10</xdr:col>
      <xdr:colOff>30956</xdr:colOff>
      <xdr:row>10</xdr:row>
      <xdr:rowOff>0</xdr:rowOff>
    </xdr:to>
    <xdr:sp macro="" textlink="">
      <xdr:nvSpPr>
        <xdr:cNvPr id="2" name="Diagrama de flujo: terminador 1">
          <a:hlinkClick xmlns:r="http://schemas.openxmlformats.org/officeDocument/2006/relationships" r:id="rId2"/>
          <a:extLst>
            <a:ext uri="{FF2B5EF4-FFF2-40B4-BE49-F238E27FC236}">
              <a16:creationId xmlns:a16="http://schemas.microsoft.com/office/drawing/2014/main" id="{7AF19AA6-CC59-49A9-9AB0-E18D80DBF7C5}"/>
            </a:ext>
          </a:extLst>
        </xdr:cNvPr>
        <xdr:cNvSpPr/>
      </xdr:nvSpPr>
      <xdr:spPr>
        <a:xfrm>
          <a:off x="6103144" y="1428750"/>
          <a:ext cx="1476375" cy="952500"/>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indent="0" algn="ctr"/>
          <a:r>
            <a:rPr lang="es-CO" sz="1100" b="1">
              <a:solidFill>
                <a:sysClr val="windowText" lastClr="000000"/>
              </a:solidFill>
              <a:latin typeface="+mn-lt"/>
              <a:ea typeface="+mn-ea"/>
              <a:cs typeface="+mn-cs"/>
            </a:rPr>
            <a:t>INSTRUCTIVO</a:t>
          </a:r>
        </a:p>
      </xdr:txBody>
    </xdr:sp>
    <xdr:clientData/>
  </xdr:twoCellAnchor>
  <xdr:twoCellAnchor>
    <xdr:from>
      <xdr:col>11</xdr:col>
      <xdr:colOff>16669</xdr:colOff>
      <xdr:row>5</xdr:row>
      <xdr:rowOff>11905</xdr:rowOff>
    </xdr:from>
    <xdr:to>
      <xdr:col>12</xdr:col>
      <xdr:colOff>731044</xdr:colOff>
      <xdr:row>9</xdr:row>
      <xdr:rowOff>166687</xdr:rowOff>
    </xdr:to>
    <xdr:sp macro="" textlink="">
      <xdr:nvSpPr>
        <xdr:cNvPr id="3" name="Diagrama de flujo: terminador 2">
          <a:hlinkClick xmlns:r="http://schemas.openxmlformats.org/officeDocument/2006/relationships" r:id="rId3"/>
          <a:extLst>
            <a:ext uri="{FF2B5EF4-FFF2-40B4-BE49-F238E27FC236}">
              <a16:creationId xmlns:a16="http://schemas.microsoft.com/office/drawing/2014/main" id="{922687E1-6B04-447F-891D-99E46F1A6DBB}"/>
            </a:ext>
          </a:extLst>
        </xdr:cNvPr>
        <xdr:cNvSpPr/>
      </xdr:nvSpPr>
      <xdr:spPr>
        <a:xfrm>
          <a:off x="8327232" y="1440655"/>
          <a:ext cx="1476375" cy="91678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GESTIÓN</a:t>
          </a:r>
        </a:p>
      </xdr:txBody>
    </xdr:sp>
    <xdr:clientData/>
  </xdr:twoCellAnchor>
  <xdr:twoCellAnchor>
    <xdr:from>
      <xdr:col>14</xdr:col>
      <xdr:colOff>40480</xdr:colOff>
      <xdr:row>5</xdr:row>
      <xdr:rowOff>59534</xdr:rowOff>
    </xdr:from>
    <xdr:to>
      <xdr:col>15</xdr:col>
      <xdr:colOff>754855</xdr:colOff>
      <xdr:row>10</xdr:row>
      <xdr:rowOff>35720</xdr:rowOff>
    </xdr:to>
    <xdr:sp macro="" textlink="">
      <xdr:nvSpPr>
        <xdr:cNvPr id="4" name="Diagrama de flujo: terminador 3">
          <a:hlinkClick xmlns:r="http://schemas.openxmlformats.org/officeDocument/2006/relationships" r:id="rId4"/>
          <a:extLst>
            <a:ext uri="{FF2B5EF4-FFF2-40B4-BE49-F238E27FC236}">
              <a16:creationId xmlns:a16="http://schemas.microsoft.com/office/drawing/2014/main" id="{24A28FC2-6306-488B-90BE-C4F6F070702B}"/>
            </a:ext>
          </a:extLst>
        </xdr:cNvPr>
        <xdr:cNvSpPr/>
      </xdr:nvSpPr>
      <xdr:spPr>
        <a:xfrm>
          <a:off x="10637043" y="916784"/>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a:t>
          </a:r>
        </a:p>
      </xdr:txBody>
    </xdr:sp>
    <xdr:clientData/>
  </xdr:twoCellAnchor>
  <xdr:twoCellAnchor>
    <xdr:from>
      <xdr:col>6</xdr:col>
      <xdr:colOff>664368</xdr:colOff>
      <xdr:row>11</xdr:row>
      <xdr:rowOff>35719</xdr:rowOff>
    </xdr:from>
    <xdr:to>
      <xdr:col>8</xdr:col>
      <xdr:colOff>616743</xdr:colOff>
      <xdr:row>16</xdr:row>
      <xdr:rowOff>11908</xdr:rowOff>
    </xdr:to>
    <xdr:sp macro="" textlink="">
      <xdr:nvSpPr>
        <xdr:cNvPr id="5" name="Diagrama de flujo: terminador 4">
          <a:hlinkClick xmlns:r="http://schemas.openxmlformats.org/officeDocument/2006/relationships" r:id="rId5"/>
          <a:extLst>
            <a:ext uri="{FF2B5EF4-FFF2-40B4-BE49-F238E27FC236}">
              <a16:creationId xmlns:a16="http://schemas.microsoft.com/office/drawing/2014/main" id="{AFD46DF4-307F-4AC7-BB5F-CF13038BDF4B}"/>
            </a:ext>
          </a:extLst>
        </xdr:cNvPr>
        <xdr:cNvSpPr/>
      </xdr:nvSpPr>
      <xdr:spPr>
        <a:xfrm>
          <a:off x="5164931" y="2035969"/>
          <a:ext cx="1476375" cy="928689"/>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SEGURIDAD</a:t>
          </a:r>
          <a:r>
            <a:rPr lang="es-CO" sz="1100" b="1" baseline="0">
              <a:solidFill>
                <a:sysClr val="windowText" lastClr="000000"/>
              </a:solidFill>
            </a:rPr>
            <a:t> DE LA INFORMACIÓN</a:t>
          </a:r>
          <a:endParaRPr lang="es-CO" sz="1100" b="1">
            <a:solidFill>
              <a:sysClr val="windowText" lastClr="000000"/>
            </a:solidFill>
          </a:endParaRPr>
        </a:p>
      </xdr:txBody>
    </xdr:sp>
    <xdr:clientData/>
  </xdr:twoCellAnchor>
  <xdr:twoCellAnchor>
    <xdr:from>
      <xdr:col>12</xdr:col>
      <xdr:colOff>64294</xdr:colOff>
      <xdr:row>11</xdr:row>
      <xdr:rowOff>47625</xdr:rowOff>
    </xdr:from>
    <xdr:to>
      <xdr:col>14</xdr:col>
      <xdr:colOff>16669</xdr:colOff>
      <xdr:row>16</xdr:row>
      <xdr:rowOff>7143</xdr:rowOff>
    </xdr:to>
    <xdr:sp macro="" textlink="">
      <xdr:nvSpPr>
        <xdr:cNvPr id="6" name="Diagrama de flujo: terminador 5">
          <a:hlinkClick xmlns:r="http://schemas.openxmlformats.org/officeDocument/2006/relationships" r:id="rId6"/>
          <a:extLst>
            <a:ext uri="{FF2B5EF4-FFF2-40B4-BE49-F238E27FC236}">
              <a16:creationId xmlns:a16="http://schemas.microsoft.com/office/drawing/2014/main" id="{904564B9-6F3A-471F-8929-68BC516CF4C8}"/>
            </a:ext>
          </a:extLst>
        </xdr:cNvPr>
        <xdr:cNvSpPr/>
      </xdr:nvSpPr>
      <xdr:spPr>
        <a:xfrm>
          <a:off x="9136857" y="2047875"/>
          <a:ext cx="1476375" cy="912018"/>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a:t>
          </a:r>
          <a:r>
            <a:rPr lang="es-CO" sz="1100" b="1" baseline="0">
              <a:solidFill>
                <a:sysClr val="windowText" lastClr="000000"/>
              </a:solidFill>
            </a:rPr>
            <a:t>  SARLAFT</a:t>
          </a:r>
          <a:endParaRPr lang="es-CO" sz="1100" b="1">
            <a:solidFill>
              <a:sysClr val="windowText" lastClr="000000"/>
            </a:solidFill>
          </a:endParaRPr>
        </a:p>
      </xdr:txBody>
    </xdr:sp>
    <xdr:clientData/>
  </xdr:twoCellAnchor>
  <xdr:twoCellAnchor>
    <xdr:from>
      <xdr:col>5</xdr:col>
      <xdr:colOff>19050</xdr:colOff>
      <xdr:row>5</xdr:row>
      <xdr:rowOff>23814</xdr:rowOff>
    </xdr:from>
    <xdr:to>
      <xdr:col>6</xdr:col>
      <xdr:colOff>733425</xdr:colOff>
      <xdr:row>10</xdr:row>
      <xdr:rowOff>11906</xdr:rowOff>
    </xdr:to>
    <xdr:sp macro="" textlink="">
      <xdr:nvSpPr>
        <xdr:cNvPr id="7" name="Diagrama de flujo: terminador 6">
          <a:hlinkClick xmlns:r="http://schemas.openxmlformats.org/officeDocument/2006/relationships" r:id="rId7"/>
          <a:extLst>
            <a:ext uri="{FF2B5EF4-FFF2-40B4-BE49-F238E27FC236}">
              <a16:creationId xmlns:a16="http://schemas.microsoft.com/office/drawing/2014/main" id="{8129F85B-81B3-461F-8E9B-3803EE4AE53D}"/>
            </a:ext>
          </a:extLst>
        </xdr:cNvPr>
        <xdr:cNvSpPr/>
      </xdr:nvSpPr>
      <xdr:spPr>
        <a:xfrm>
          <a:off x="3757613" y="1452564"/>
          <a:ext cx="1476375" cy="94059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DATOS</a:t>
          </a:r>
          <a:r>
            <a:rPr lang="es-CO" sz="1100" b="1" baseline="0">
              <a:solidFill>
                <a:sysClr val="windowText" lastClr="000000"/>
              </a:solidFill>
            </a:rPr>
            <a:t> DEL PROCESO</a:t>
          </a:r>
          <a:endParaRPr lang="es-CO" sz="1100" b="1">
            <a:solidFill>
              <a:sysClr val="windowText" lastClr="000000"/>
            </a:solidFill>
          </a:endParaRPr>
        </a:p>
      </xdr:txBody>
    </xdr:sp>
    <xdr:clientData/>
  </xdr:twoCellAnchor>
  <xdr:twoCellAnchor>
    <xdr:from>
      <xdr:col>5</xdr:col>
      <xdr:colOff>23813</xdr:colOff>
      <xdr:row>18</xdr:row>
      <xdr:rowOff>35719</xdr:rowOff>
    </xdr:from>
    <xdr:to>
      <xdr:col>6</xdr:col>
      <xdr:colOff>738188</xdr:colOff>
      <xdr:row>21</xdr:row>
      <xdr:rowOff>188119</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A9126D6A-9006-4470-9533-6596783648EA}"/>
            </a:ext>
          </a:extLst>
        </xdr:cNvPr>
        <xdr:cNvSpPr/>
      </xdr:nvSpPr>
      <xdr:spPr>
        <a:xfrm>
          <a:off x="3762376" y="3750469"/>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INHERENTE</a:t>
          </a:r>
          <a:endParaRPr lang="es-CO" sz="1100" b="1">
            <a:solidFill>
              <a:sysClr val="windowText" lastClr="000000"/>
            </a:solidFill>
          </a:endParaRPr>
        </a:p>
      </xdr:txBody>
    </xdr:sp>
    <xdr:clientData/>
  </xdr:twoCellAnchor>
  <xdr:twoCellAnchor>
    <xdr:from>
      <xdr:col>8</xdr:col>
      <xdr:colOff>21432</xdr:colOff>
      <xdr:row>18</xdr:row>
      <xdr:rowOff>21432</xdr:rowOff>
    </xdr:from>
    <xdr:to>
      <xdr:col>9</xdr:col>
      <xdr:colOff>735807</xdr:colOff>
      <xdr:row>21</xdr:row>
      <xdr:rowOff>173832</xdr:rowOff>
    </xdr:to>
    <xdr:sp macro="" textlink="">
      <xdr:nvSpPr>
        <xdr:cNvPr id="9" name="Rectángulo 8">
          <a:hlinkClick xmlns:r="http://schemas.openxmlformats.org/officeDocument/2006/relationships" r:id="rId9"/>
          <a:extLst>
            <a:ext uri="{FF2B5EF4-FFF2-40B4-BE49-F238E27FC236}">
              <a16:creationId xmlns:a16="http://schemas.microsoft.com/office/drawing/2014/main" id="{F6F2C46D-8824-4046-8E26-0865E93C1317}"/>
            </a:ext>
          </a:extLst>
        </xdr:cNvPr>
        <xdr:cNvSpPr/>
      </xdr:nvSpPr>
      <xdr:spPr>
        <a:xfrm>
          <a:off x="6045995" y="3736182"/>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RESIDUAL</a:t>
          </a:r>
          <a:endParaRPr lang="es-CO" sz="1100" b="1">
            <a:solidFill>
              <a:sysClr val="windowText" lastClr="000000"/>
            </a:solidFill>
          </a:endParaRPr>
        </a:p>
      </xdr:txBody>
    </xdr:sp>
    <xdr:clientData/>
  </xdr:twoCellAnchor>
  <xdr:twoCellAnchor>
    <xdr:from>
      <xdr:col>12</xdr:col>
      <xdr:colOff>19051</xdr:colOff>
      <xdr:row>18</xdr:row>
      <xdr:rowOff>7144</xdr:rowOff>
    </xdr:from>
    <xdr:to>
      <xdr:col>13</xdr:col>
      <xdr:colOff>733426</xdr:colOff>
      <xdr:row>21</xdr:row>
      <xdr:rowOff>159544</xdr:rowOff>
    </xdr:to>
    <xdr:sp macro="" textlink="">
      <xdr:nvSpPr>
        <xdr:cNvPr id="10" name="Rectángulo 9">
          <a:hlinkClick xmlns:r="http://schemas.openxmlformats.org/officeDocument/2006/relationships" r:id="rId10"/>
          <a:extLst>
            <a:ext uri="{FF2B5EF4-FFF2-40B4-BE49-F238E27FC236}">
              <a16:creationId xmlns:a16="http://schemas.microsoft.com/office/drawing/2014/main" id="{4A809EFB-8291-4297-BFBB-D672CF79D6BE}"/>
            </a:ext>
          </a:extLst>
        </xdr:cNvPr>
        <xdr:cNvSpPr/>
      </xdr:nvSpPr>
      <xdr:spPr>
        <a:xfrm>
          <a:off x="9091614" y="3721894"/>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a:t>
          </a:r>
          <a:r>
            <a:rPr lang="es-CO" sz="1100" b="1" baseline="0">
              <a:solidFill>
                <a:sysClr val="windowText" lastClr="000000"/>
              </a:solidFill>
            </a:rPr>
            <a:t> DE PROBABILIDAD</a:t>
          </a:r>
          <a:endParaRPr lang="es-CO" sz="1100" b="1">
            <a:solidFill>
              <a:sysClr val="windowText" lastClr="000000"/>
            </a:solidFill>
          </a:endParaRPr>
        </a:p>
      </xdr:txBody>
    </xdr:sp>
    <xdr:clientData/>
  </xdr:twoCellAnchor>
  <xdr:twoCellAnchor>
    <xdr:from>
      <xdr:col>15</xdr:col>
      <xdr:colOff>52389</xdr:colOff>
      <xdr:row>18</xdr:row>
      <xdr:rowOff>28576</xdr:rowOff>
    </xdr:from>
    <xdr:to>
      <xdr:col>17</xdr:col>
      <xdr:colOff>4764</xdr:colOff>
      <xdr:row>21</xdr:row>
      <xdr:rowOff>180976</xdr:rowOff>
    </xdr:to>
    <xdr:sp macro="" textlink="">
      <xdr:nvSpPr>
        <xdr:cNvPr id="11" name="Rectángulo 10">
          <a:hlinkClick xmlns:r="http://schemas.openxmlformats.org/officeDocument/2006/relationships" r:id="rId11"/>
          <a:extLst>
            <a:ext uri="{FF2B5EF4-FFF2-40B4-BE49-F238E27FC236}">
              <a16:creationId xmlns:a16="http://schemas.microsoft.com/office/drawing/2014/main" id="{206F0664-B8B9-4319-8E09-B8D98D512794}"/>
            </a:ext>
          </a:extLst>
        </xdr:cNvPr>
        <xdr:cNvSpPr/>
      </xdr:nvSpPr>
      <xdr:spPr>
        <a:xfrm>
          <a:off x="11410952" y="3743326"/>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 DE IMPACTO</a:t>
          </a:r>
        </a:p>
      </xdr:txBody>
    </xdr:sp>
    <xdr:clientData/>
  </xdr:twoCellAnchor>
  <xdr:twoCellAnchor>
    <xdr:from>
      <xdr:col>9</xdr:col>
      <xdr:colOff>11905</xdr:colOff>
      <xdr:row>24</xdr:row>
      <xdr:rowOff>9526</xdr:rowOff>
    </xdr:from>
    <xdr:to>
      <xdr:col>12</xdr:col>
      <xdr:colOff>750093</xdr:colOff>
      <xdr:row>27</xdr:row>
      <xdr:rowOff>161926</xdr:rowOff>
    </xdr:to>
    <xdr:sp macro="" textlink="">
      <xdr:nvSpPr>
        <xdr:cNvPr id="12" name="Rectángulo 11">
          <a:hlinkClick xmlns:r="http://schemas.openxmlformats.org/officeDocument/2006/relationships" r:id="rId12"/>
          <a:extLst>
            <a:ext uri="{FF2B5EF4-FFF2-40B4-BE49-F238E27FC236}">
              <a16:creationId xmlns:a16="http://schemas.microsoft.com/office/drawing/2014/main" id="{1C3F1FEC-03A3-4EB7-B680-3686E78AEC13}"/>
            </a:ext>
          </a:extLst>
        </xdr:cNvPr>
        <xdr:cNvSpPr/>
      </xdr:nvSpPr>
      <xdr:spPr>
        <a:xfrm>
          <a:off x="6798468" y="4867276"/>
          <a:ext cx="3024188" cy="723900"/>
        </a:xfrm>
        <a:prstGeom prst="rect">
          <a:avLst/>
        </a:prstGeom>
        <a:solidFill>
          <a:schemeClr val="accent6">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VALORACIÓN DE CONTROLES</a:t>
          </a:r>
          <a:endParaRPr lang="es-CO" sz="1100" b="1">
            <a:solidFill>
              <a:sysClr val="windowText" lastClr="000000"/>
            </a:solidFill>
          </a:endParaRPr>
        </a:p>
      </xdr:txBody>
    </xdr:sp>
    <xdr:clientData/>
  </xdr:twoCellAnchor>
  <xdr:oneCellAnchor>
    <xdr:from>
      <xdr:col>6</xdr:col>
      <xdr:colOff>522359</xdr:colOff>
      <xdr:row>1</xdr:row>
      <xdr:rowOff>0</xdr:rowOff>
    </xdr:from>
    <xdr:ext cx="5801396" cy="654844"/>
    <xdr:sp macro="" textlink="">
      <xdr:nvSpPr>
        <xdr:cNvPr id="13" name="Rectángulo 12">
          <a:extLst>
            <a:ext uri="{FF2B5EF4-FFF2-40B4-BE49-F238E27FC236}">
              <a16:creationId xmlns:a16="http://schemas.microsoft.com/office/drawing/2014/main" id="{539C57C0-6816-4606-8C10-D06B452D8A00}"/>
            </a:ext>
          </a:extLst>
        </xdr:cNvPr>
        <xdr:cNvSpPr/>
      </xdr:nvSpPr>
      <xdr:spPr>
        <a:xfrm>
          <a:off x="5022922" y="0"/>
          <a:ext cx="5801396" cy="654844"/>
        </a:xfrm>
        <a:prstGeom prst="rect">
          <a:avLst/>
        </a:prstGeom>
        <a:noFill/>
      </xdr:spPr>
      <xdr:txBody>
        <a:bodyPr wrap="none" lIns="91440" tIns="45720" rIns="91440" bIns="45720">
          <a:noAutofit/>
          <a:scene3d>
            <a:camera prst="orthographicFront"/>
            <a:lightRig rig="soft" dir="t">
              <a:rot lat="0" lon="0" rev="15600000"/>
            </a:lightRig>
          </a:scene3d>
          <a:sp3d extrusionH="57150" prstMaterial="softEdge">
            <a:bevelT w="25400" h="38100"/>
          </a:sp3d>
        </a:bodyPr>
        <a:lstStyle/>
        <a:p>
          <a:pPr algn="ctr"/>
          <a:r>
            <a:rPr lang="es-ES" sz="5400" b="1" cap="none" spc="0">
              <a:ln/>
              <a:solidFill>
                <a:schemeClr val="accent4"/>
              </a:solidFill>
              <a:effectLst/>
            </a:rPr>
            <a:t>FICHAS</a:t>
          </a:r>
          <a:r>
            <a:rPr lang="es-ES" sz="5400" b="1" cap="none" spc="0" baseline="0">
              <a:ln/>
              <a:solidFill>
                <a:schemeClr val="accent4"/>
              </a:solidFill>
              <a:effectLst/>
            </a:rPr>
            <a:t> DE RIESGOS</a:t>
          </a:r>
          <a:endParaRPr lang="es-ES" sz="5400" b="1" cap="none" spc="0">
            <a:ln/>
            <a:solidFill>
              <a:schemeClr val="accent4"/>
            </a:solidFill>
            <a:effectLst/>
          </a:endParaRPr>
        </a:p>
      </xdr:txBody>
    </xdr:sp>
    <xdr:clientData/>
  </xdr:oneCellAnchor>
  <xdr:twoCellAnchor editAs="oneCell">
    <xdr:from>
      <xdr:col>0</xdr:col>
      <xdr:colOff>687916</xdr:colOff>
      <xdr:row>0</xdr:row>
      <xdr:rowOff>0</xdr:rowOff>
    </xdr:from>
    <xdr:to>
      <xdr:col>20</xdr:col>
      <xdr:colOff>21166</xdr:colOff>
      <xdr:row>1</xdr:row>
      <xdr:rowOff>25184</xdr:rowOff>
    </xdr:to>
    <xdr:pic>
      <xdr:nvPicPr>
        <xdr:cNvPr id="16" name="Imagen 15">
          <a:extLst>
            <a:ext uri="{FF2B5EF4-FFF2-40B4-BE49-F238E27FC236}">
              <a16:creationId xmlns:a16="http://schemas.microsoft.com/office/drawing/2014/main" id="{B99C9BC5-2D0C-4DFE-8A32-019E54BBA07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87916" y="0"/>
          <a:ext cx="14499167" cy="1104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139700</xdr:colOff>
      <xdr:row>1</xdr:row>
      <xdr:rowOff>0</xdr:rowOff>
    </xdr:from>
    <xdr:to>
      <xdr:col>0</xdr:col>
      <xdr:colOff>1168400</xdr:colOff>
      <xdr:row>3</xdr:row>
      <xdr:rowOff>93333</xdr:rowOff>
    </xdr:to>
    <xdr:pic>
      <xdr:nvPicPr>
        <xdr:cNvPr id="5" name="Imagen 4"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0EE94AAE-E19A-4824-87BD-399E21DC5C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208643</xdr:colOff>
      <xdr:row>12</xdr:row>
      <xdr:rowOff>259703</xdr:rowOff>
    </xdr:from>
    <xdr:to>
      <xdr:col>2</xdr:col>
      <xdr:colOff>3159125</xdr:colOff>
      <xdr:row>27</xdr:row>
      <xdr:rowOff>262881</xdr:rowOff>
    </xdr:to>
    <xdr:pic>
      <xdr:nvPicPr>
        <xdr:cNvPr id="6" name="Imagen 5">
          <a:extLst>
            <a:ext uri="{FF2B5EF4-FFF2-40B4-BE49-F238E27FC236}">
              <a16:creationId xmlns:a16="http://schemas.microsoft.com/office/drawing/2014/main" id="{5B7F54C2-8041-4869-8BF8-E36C4D629299}"/>
            </a:ext>
          </a:extLst>
        </xdr:cNvPr>
        <xdr:cNvPicPr>
          <a:picLocks noChangeAspect="1"/>
        </xdr:cNvPicPr>
      </xdr:nvPicPr>
      <xdr:blipFill rotWithShape="1">
        <a:blip xmlns:r="http://schemas.openxmlformats.org/officeDocument/2006/relationships" r:embed="rId3"/>
        <a:srcRect l="16546" t="19697" r="62395" b="13168"/>
        <a:stretch/>
      </xdr:blipFill>
      <xdr:spPr>
        <a:xfrm>
          <a:off x="208643" y="6736703"/>
          <a:ext cx="6395357" cy="6227502"/>
        </a:xfrm>
        <a:prstGeom prst="rect">
          <a:avLst/>
        </a:prstGeom>
      </xdr:spPr>
    </xdr:pic>
    <xdr:clientData/>
  </xdr:twoCellAnchor>
  <xdr:twoCellAnchor editAs="oneCell">
    <xdr:from>
      <xdr:col>0</xdr:col>
      <xdr:colOff>225616</xdr:colOff>
      <xdr:row>39</xdr:row>
      <xdr:rowOff>121227</xdr:rowOff>
    </xdr:from>
    <xdr:to>
      <xdr:col>2</xdr:col>
      <xdr:colOff>3122083</xdr:colOff>
      <xdr:row>50</xdr:row>
      <xdr:rowOff>125349</xdr:rowOff>
    </xdr:to>
    <xdr:pic>
      <xdr:nvPicPr>
        <xdr:cNvPr id="7" name="Imagen 6">
          <a:extLst>
            <a:ext uri="{FF2B5EF4-FFF2-40B4-BE49-F238E27FC236}">
              <a16:creationId xmlns:a16="http://schemas.microsoft.com/office/drawing/2014/main" id="{AB3ACDD8-B663-417D-A8A4-3EF987EDA04A}"/>
            </a:ext>
          </a:extLst>
        </xdr:cNvPr>
        <xdr:cNvPicPr>
          <a:picLocks noChangeAspect="1"/>
        </xdr:cNvPicPr>
      </xdr:nvPicPr>
      <xdr:blipFill rotWithShape="1">
        <a:blip xmlns:r="http://schemas.openxmlformats.org/officeDocument/2006/relationships" r:embed="rId4"/>
        <a:srcRect l="16650" t="31043" r="62474" b="41429"/>
        <a:stretch/>
      </xdr:blipFill>
      <xdr:spPr>
        <a:xfrm>
          <a:off x="225616" y="13911310"/>
          <a:ext cx="6346634" cy="2552059"/>
        </a:xfrm>
        <a:prstGeom prst="rect">
          <a:avLst/>
        </a:prstGeom>
      </xdr:spPr>
    </xdr:pic>
    <xdr:clientData/>
  </xdr:twoCellAnchor>
  <xdr:twoCellAnchor editAs="oneCell">
    <xdr:from>
      <xdr:col>0</xdr:col>
      <xdr:colOff>170054</xdr:colOff>
      <xdr:row>52</xdr:row>
      <xdr:rowOff>125315</xdr:rowOff>
    </xdr:from>
    <xdr:to>
      <xdr:col>2</xdr:col>
      <xdr:colOff>3122082</xdr:colOff>
      <xdr:row>62</xdr:row>
      <xdr:rowOff>175401</xdr:rowOff>
    </xdr:to>
    <xdr:pic>
      <xdr:nvPicPr>
        <xdr:cNvPr id="8" name="Imagen 7">
          <a:extLst>
            <a:ext uri="{FF2B5EF4-FFF2-40B4-BE49-F238E27FC236}">
              <a16:creationId xmlns:a16="http://schemas.microsoft.com/office/drawing/2014/main" id="{55AC82C5-D58C-4E7E-AA54-842A97C01A5E}"/>
            </a:ext>
          </a:extLst>
        </xdr:cNvPr>
        <xdr:cNvPicPr>
          <a:picLocks noChangeAspect="1"/>
        </xdr:cNvPicPr>
      </xdr:nvPicPr>
      <xdr:blipFill rotWithShape="1">
        <a:blip xmlns:r="http://schemas.openxmlformats.org/officeDocument/2006/relationships" r:embed="rId5"/>
        <a:srcRect l="16522" t="28180" r="62487" b="50823"/>
        <a:stretch/>
      </xdr:blipFill>
      <xdr:spPr>
        <a:xfrm>
          <a:off x="170054" y="16391898"/>
          <a:ext cx="6402195" cy="1955086"/>
        </a:xfrm>
        <a:prstGeom prst="rect">
          <a:avLst/>
        </a:prstGeom>
      </xdr:spPr>
    </xdr:pic>
    <xdr:clientData/>
  </xdr:twoCellAnchor>
  <xdr:twoCellAnchor editAs="oneCell">
    <xdr:from>
      <xdr:col>1</xdr:col>
      <xdr:colOff>0</xdr:colOff>
      <xdr:row>0</xdr:row>
      <xdr:rowOff>0</xdr:rowOff>
    </xdr:from>
    <xdr:to>
      <xdr:col>8</xdr:col>
      <xdr:colOff>1663268</xdr:colOff>
      <xdr:row>0</xdr:row>
      <xdr:rowOff>1310679</xdr:rowOff>
    </xdr:to>
    <xdr:pic>
      <xdr:nvPicPr>
        <xdr:cNvPr id="9" name="Imagen 8">
          <a:extLst>
            <a:ext uri="{FF2B5EF4-FFF2-40B4-BE49-F238E27FC236}">
              <a16:creationId xmlns:a16="http://schemas.microsoft.com/office/drawing/2014/main" id="{5E5CF7FA-D7F7-4803-8287-5B7F39756D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95438"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43296</xdr:rowOff>
    </xdr:from>
    <xdr:to>
      <xdr:col>1</xdr:col>
      <xdr:colOff>952501</xdr:colOff>
      <xdr:row>1</xdr:row>
      <xdr:rowOff>827841</xdr:rowOff>
    </xdr:to>
    <xdr:pic>
      <xdr:nvPicPr>
        <xdr:cNvPr id="2" name="Imagen 1">
          <a:hlinkClick xmlns:r="http://schemas.openxmlformats.org/officeDocument/2006/relationships" r:id="rId1"/>
          <a:extLst>
            <a:ext uri="{FF2B5EF4-FFF2-40B4-BE49-F238E27FC236}">
              <a16:creationId xmlns:a16="http://schemas.microsoft.com/office/drawing/2014/main" id="{EF2A53E0-D6C2-4A2F-A8F0-A6970D68914E}"/>
            </a:ext>
          </a:extLst>
        </xdr:cNvPr>
        <xdr:cNvPicPr>
          <a:picLocks noChangeAspect="1"/>
        </xdr:cNvPicPr>
      </xdr:nvPicPr>
      <xdr:blipFill>
        <a:blip xmlns:r="http://schemas.openxmlformats.org/officeDocument/2006/relationships" r:embed="rId2"/>
        <a:stretch>
          <a:fillRect/>
        </a:stretch>
      </xdr:blipFill>
      <xdr:spPr>
        <a:xfrm>
          <a:off x="381001" y="43296"/>
          <a:ext cx="762000" cy="784545"/>
        </a:xfrm>
        <a:prstGeom prst="rect">
          <a:avLst/>
        </a:prstGeom>
      </xdr:spPr>
    </xdr:pic>
    <xdr:clientData/>
  </xdr:twoCellAnchor>
  <xdr:twoCellAnchor editAs="oneCell">
    <xdr:from>
      <xdr:col>0</xdr:col>
      <xdr:colOff>181841</xdr:colOff>
      <xdr:row>0</xdr:row>
      <xdr:rowOff>0</xdr:rowOff>
    </xdr:from>
    <xdr:to>
      <xdr:col>7</xdr:col>
      <xdr:colOff>1636569</xdr:colOff>
      <xdr:row>0</xdr:row>
      <xdr:rowOff>850278</xdr:rowOff>
    </xdr:to>
    <xdr:pic>
      <xdr:nvPicPr>
        <xdr:cNvPr id="3" name="Imagen 2">
          <a:extLst>
            <a:ext uri="{FF2B5EF4-FFF2-40B4-BE49-F238E27FC236}">
              <a16:creationId xmlns:a16="http://schemas.microsoft.com/office/drawing/2014/main" id="{E3F993EB-04A6-469E-9078-E4C247BEBA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841" y="0"/>
          <a:ext cx="11135592" cy="850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0</xdr:rowOff>
    </xdr:from>
    <xdr:to>
      <xdr:col>0</xdr:col>
      <xdr:colOff>1055915</xdr:colOff>
      <xdr:row>0</xdr:row>
      <xdr:rowOff>1053091</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247F9505-8519-4F63-8B85-AA7EF0AE0D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2" y="0"/>
          <a:ext cx="1015093" cy="105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1015093</xdr:colOff>
      <xdr:row>3</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B2F2E834-430D-413A-B64E-9A09CDB33C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15</xdr:col>
      <xdr:colOff>2306205</xdr:colOff>
      <xdr:row>1</xdr:row>
      <xdr:rowOff>991</xdr:rowOff>
    </xdr:to>
    <xdr:pic>
      <xdr:nvPicPr>
        <xdr:cNvPr id="3" name="Imagen 2">
          <a:extLst>
            <a:ext uri="{FF2B5EF4-FFF2-40B4-BE49-F238E27FC236}">
              <a16:creationId xmlns:a16="http://schemas.microsoft.com/office/drawing/2014/main" id="{1AD8A13B-3792-4935-AA20-E7796C8295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112</xdr:col>
      <xdr:colOff>0</xdr:colOff>
      <xdr:row>15</xdr:row>
      <xdr:rowOff>0</xdr:rowOff>
    </xdr:from>
    <xdr:to>
      <xdr:col>124</xdr:col>
      <xdr:colOff>47625</xdr:colOff>
      <xdr:row>23</xdr:row>
      <xdr:rowOff>416472</xdr:rowOff>
    </xdr:to>
    <xdr:pic>
      <xdr:nvPicPr>
        <xdr:cNvPr id="2" name="Imagen 1">
          <a:extLst>
            <a:ext uri="{FF2B5EF4-FFF2-40B4-BE49-F238E27FC236}">
              <a16:creationId xmlns:a16="http://schemas.microsoft.com/office/drawing/2014/main" id="{206C38FB-F8EB-4A52-AF71-930FB1561FD2}"/>
            </a:ext>
          </a:extLst>
        </xdr:cNvPr>
        <xdr:cNvPicPr>
          <a:picLocks noChangeAspect="1"/>
        </xdr:cNvPicPr>
      </xdr:nvPicPr>
      <xdr:blipFill rotWithShape="1">
        <a:blip xmlns:r="http://schemas.openxmlformats.org/officeDocument/2006/relationships" r:embed="rId1"/>
        <a:srcRect l="59879" t="18193" r="9919" b="40731"/>
        <a:stretch/>
      </xdr:blipFill>
      <xdr:spPr>
        <a:xfrm>
          <a:off x="108156375" y="6410325"/>
          <a:ext cx="10106025" cy="7010494"/>
        </a:xfrm>
        <a:prstGeom prst="rect">
          <a:avLst/>
        </a:prstGeom>
      </xdr:spPr>
    </xdr:pic>
    <xdr:clientData/>
  </xdr:twoCellAnchor>
  <xdr:twoCellAnchor editAs="oneCell">
    <xdr:from>
      <xdr:col>112</xdr:col>
      <xdr:colOff>432954</xdr:colOff>
      <xdr:row>47</xdr:row>
      <xdr:rowOff>0</xdr:rowOff>
    </xdr:from>
    <xdr:to>
      <xdr:col>123</xdr:col>
      <xdr:colOff>504392</xdr:colOff>
      <xdr:row>73</xdr:row>
      <xdr:rowOff>56767</xdr:rowOff>
    </xdr:to>
    <xdr:pic>
      <xdr:nvPicPr>
        <xdr:cNvPr id="3" name="Imagen 2">
          <a:extLst>
            <a:ext uri="{FF2B5EF4-FFF2-40B4-BE49-F238E27FC236}">
              <a16:creationId xmlns:a16="http://schemas.microsoft.com/office/drawing/2014/main" id="{0C729C24-2C16-46A8-9662-F09ED3E2FA73}"/>
            </a:ext>
          </a:extLst>
        </xdr:cNvPr>
        <xdr:cNvPicPr>
          <a:picLocks noChangeAspect="1"/>
        </xdr:cNvPicPr>
      </xdr:nvPicPr>
      <xdr:blipFill rotWithShape="1">
        <a:blip xmlns:r="http://schemas.openxmlformats.org/officeDocument/2006/relationships" r:embed="rId2"/>
        <a:srcRect l="27822" t="9471" r="29313" b="6238"/>
        <a:stretch/>
      </xdr:blipFill>
      <xdr:spPr>
        <a:xfrm>
          <a:off x="108589329" y="22259925"/>
          <a:ext cx="9291638" cy="9353167"/>
        </a:xfrm>
        <a:prstGeom prst="rect">
          <a:avLst/>
        </a:prstGeom>
      </xdr:spPr>
    </xdr:pic>
    <xdr:clientData/>
  </xdr:twoCellAnchor>
  <xdr:twoCellAnchor editAs="oneCell">
    <xdr:from>
      <xdr:col>5</xdr:col>
      <xdr:colOff>56591</xdr:colOff>
      <xdr:row>3</xdr:row>
      <xdr:rowOff>0</xdr:rowOff>
    </xdr:from>
    <xdr:to>
      <xdr:col>5</xdr:col>
      <xdr:colOff>2491220</xdr:colOff>
      <xdr:row>8</xdr:row>
      <xdr:rowOff>63087</xdr:rowOff>
    </xdr:to>
    <xdr:pic>
      <xdr:nvPicPr>
        <xdr:cNvPr id="4" name="1 Imagen" descr="Logo FUGA ALCALDIA-02.png">
          <a:extLst>
            <a:ext uri="{FF2B5EF4-FFF2-40B4-BE49-F238E27FC236}">
              <a16:creationId xmlns:a16="http://schemas.microsoft.com/office/drawing/2014/main" id="{C909B06F-B114-48D4-A8C2-04044E50D3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6741" y="1648692"/>
          <a:ext cx="2434629" cy="932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1</xdr:row>
      <xdr:rowOff>0</xdr:rowOff>
    </xdr:from>
    <xdr:to>
      <xdr:col>3</xdr:col>
      <xdr:colOff>1219200</xdr:colOff>
      <xdr:row>2</xdr:row>
      <xdr:rowOff>360034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4"/>
          <a:extLst>
            <a:ext uri="{FF2B5EF4-FFF2-40B4-BE49-F238E27FC236}">
              <a16:creationId xmlns:a16="http://schemas.microsoft.com/office/drawing/2014/main" id="{A3002FD8-6D70-4861-910A-574E2D55591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11</xdr:col>
      <xdr:colOff>2183741</xdr:colOff>
      <xdr:row>0</xdr:row>
      <xdr:rowOff>1310679</xdr:rowOff>
    </xdr:to>
    <xdr:pic>
      <xdr:nvPicPr>
        <xdr:cNvPr id="6" name="Imagen 5">
          <a:extLst>
            <a:ext uri="{FF2B5EF4-FFF2-40B4-BE49-F238E27FC236}">
              <a16:creationId xmlns:a16="http://schemas.microsoft.com/office/drawing/2014/main" id="{1D8F16EC-BE00-4F89-A18B-480B74E45C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90107"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576E7537-060E-4C45-B1B4-F160972B2F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19175"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15</xdr:col>
      <xdr:colOff>1054348</xdr:colOff>
      <xdr:row>0</xdr:row>
      <xdr:rowOff>1310679</xdr:rowOff>
    </xdr:to>
    <xdr:pic>
      <xdr:nvPicPr>
        <xdr:cNvPr id="3" name="Imagen 2">
          <a:extLst>
            <a:ext uri="{FF2B5EF4-FFF2-40B4-BE49-F238E27FC236}">
              <a16:creationId xmlns:a16="http://schemas.microsoft.com/office/drawing/2014/main" id="{0D7AEE46-8E66-416B-B17D-8981F6C71E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3"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86</xdr:col>
      <xdr:colOff>2232314</xdr:colOff>
      <xdr:row>10</xdr:row>
      <xdr:rowOff>98961</xdr:rowOff>
    </xdr:from>
    <xdr:to>
      <xdr:col>93</xdr:col>
      <xdr:colOff>63212</xdr:colOff>
      <xdr:row>25</xdr:row>
      <xdr:rowOff>316241</xdr:rowOff>
    </xdr:to>
    <xdr:pic>
      <xdr:nvPicPr>
        <xdr:cNvPr id="2" name="Imagen 1">
          <a:extLst>
            <a:ext uri="{FF2B5EF4-FFF2-40B4-BE49-F238E27FC236}">
              <a16:creationId xmlns:a16="http://schemas.microsoft.com/office/drawing/2014/main" id="{11CDA49C-D4E3-4903-9121-85F31C5F0947}"/>
            </a:ext>
          </a:extLst>
        </xdr:cNvPr>
        <xdr:cNvPicPr>
          <a:picLocks noChangeAspect="1"/>
        </xdr:cNvPicPr>
      </xdr:nvPicPr>
      <xdr:blipFill rotWithShape="1">
        <a:blip xmlns:r="http://schemas.openxmlformats.org/officeDocument/2006/relationships" r:embed="rId1"/>
        <a:srcRect l="59879" t="18193" r="9919" b="40731"/>
        <a:stretch/>
      </xdr:blipFill>
      <xdr:spPr>
        <a:xfrm>
          <a:off x="63592364" y="2165886"/>
          <a:ext cx="9203748" cy="7005431"/>
        </a:xfrm>
        <a:prstGeom prst="rect">
          <a:avLst/>
        </a:prstGeom>
      </xdr:spPr>
    </xdr:pic>
    <xdr:clientData/>
  </xdr:twoCellAnchor>
  <xdr:twoCellAnchor editAs="oneCell">
    <xdr:from>
      <xdr:col>100</xdr:col>
      <xdr:colOff>419100</xdr:colOff>
      <xdr:row>41</xdr:row>
      <xdr:rowOff>76200</xdr:rowOff>
    </xdr:from>
    <xdr:to>
      <xdr:col>111</xdr:col>
      <xdr:colOff>519546</xdr:colOff>
      <xdr:row>67</xdr:row>
      <xdr:rowOff>180592</xdr:rowOff>
    </xdr:to>
    <xdr:pic>
      <xdr:nvPicPr>
        <xdr:cNvPr id="3" name="Imagen 2">
          <a:extLst>
            <a:ext uri="{FF2B5EF4-FFF2-40B4-BE49-F238E27FC236}">
              <a16:creationId xmlns:a16="http://schemas.microsoft.com/office/drawing/2014/main" id="{46443EA3-0E3C-42AB-9B70-831A1A597F5E}"/>
            </a:ext>
          </a:extLst>
        </xdr:cNvPr>
        <xdr:cNvPicPr>
          <a:picLocks noChangeAspect="1"/>
        </xdr:cNvPicPr>
      </xdr:nvPicPr>
      <xdr:blipFill rotWithShape="1">
        <a:blip xmlns:r="http://schemas.openxmlformats.org/officeDocument/2006/relationships" r:embed="rId2"/>
        <a:srcRect l="27822" t="9471" r="29313" b="6238"/>
        <a:stretch/>
      </xdr:blipFill>
      <xdr:spPr>
        <a:xfrm>
          <a:off x="80552925" y="17202150"/>
          <a:ext cx="8482446" cy="9343642"/>
        </a:xfrm>
        <a:prstGeom prst="rect">
          <a:avLst/>
        </a:prstGeom>
      </xdr:spPr>
    </xdr:pic>
    <xdr:clientData/>
  </xdr:twoCellAnchor>
  <xdr:twoCellAnchor editAs="oneCell">
    <xdr:from>
      <xdr:col>3</xdr:col>
      <xdr:colOff>1182157</xdr:colOff>
      <xdr:row>2</xdr:row>
      <xdr:rowOff>52917</xdr:rowOff>
    </xdr:from>
    <xdr:to>
      <xdr:col>4</xdr:col>
      <xdr:colOff>1465298</xdr:colOff>
      <xdr:row>3</xdr:row>
      <xdr:rowOff>371473</xdr:rowOff>
    </xdr:to>
    <xdr:pic>
      <xdr:nvPicPr>
        <xdr:cNvPr id="4" name="1 Imagen" descr="Logo FUGA ALCALDIA-02.png">
          <a:extLst>
            <a:ext uri="{FF2B5EF4-FFF2-40B4-BE49-F238E27FC236}">
              <a16:creationId xmlns:a16="http://schemas.microsoft.com/office/drawing/2014/main" id="{A508D7EE-93A9-4D22-A6DC-0C7B98465D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157" y="224367"/>
          <a:ext cx="1988116" cy="737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392908</xdr:colOff>
      <xdr:row>0</xdr:row>
      <xdr:rowOff>0</xdr:rowOff>
    </xdr:from>
    <xdr:to>
      <xdr:col>3</xdr:col>
      <xdr:colOff>1238252</xdr:colOff>
      <xdr:row>0</xdr:row>
      <xdr:rowOff>870354</xdr:rowOff>
    </xdr:to>
    <xdr:pic>
      <xdr:nvPicPr>
        <xdr:cNvPr id="5" name="Imagen 4">
          <a:hlinkClick xmlns:r="http://schemas.openxmlformats.org/officeDocument/2006/relationships" r:id="rId4"/>
          <a:extLst>
            <a:ext uri="{FF2B5EF4-FFF2-40B4-BE49-F238E27FC236}">
              <a16:creationId xmlns:a16="http://schemas.microsoft.com/office/drawing/2014/main" id="{1C4D0694-F124-49C3-AD03-CFAF2B8DCD52}"/>
            </a:ext>
          </a:extLst>
        </xdr:cNvPr>
        <xdr:cNvPicPr>
          <a:picLocks noChangeAspect="1"/>
        </xdr:cNvPicPr>
      </xdr:nvPicPr>
      <xdr:blipFill>
        <a:blip xmlns:r="http://schemas.openxmlformats.org/officeDocument/2006/relationships" r:embed="rId5"/>
        <a:stretch>
          <a:fillRect/>
        </a:stretch>
      </xdr:blipFill>
      <xdr:spPr>
        <a:xfrm>
          <a:off x="773908" y="0"/>
          <a:ext cx="845344" cy="8703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0</xdr:col>
      <xdr:colOff>904875</xdr:colOff>
      <xdr:row>3</xdr:row>
      <xdr:rowOff>184577</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DF7CBDD2-DDB3-4E32-B8BA-611FBDA0A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0"/>
          <a:ext cx="781050" cy="80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14</xdr:col>
      <xdr:colOff>579799</xdr:colOff>
      <xdr:row>1</xdr:row>
      <xdr:rowOff>991</xdr:rowOff>
    </xdr:to>
    <xdr:pic>
      <xdr:nvPicPr>
        <xdr:cNvPr id="3" name="Imagen 2">
          <a:extLst>
            <a:ext uri="{FF2B5EF4-FFF2-40B4-BE49-F238E27FC236}">
              <a16:creationId xmlns:a16="http://schemas.microsoft.com/office/drawing/2014/main" id="{C1DAE50A-9836-4791-BE96-2FA4CB1948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469"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Documentos\Users\destupinan\Downloads\Formato%20No%2014%20Matriz%20de%20Riesgos%20y%20Controles%20G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Documentos\Users\destupinan\Desktop\FUGA\2021\Agosto%202021\Riesgos\carpeta%20riesgos\1.%20Matriz_mapa_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Documentos\Users\destupinan\Desktop\FUGA\2022\Febrero%202022\Evidencia%202\1.%20Matriz_mapa_riesgos%20transformaci&#243;n%20cultural%20260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34\Documentos\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LISTA"/>
      <sheetName val="RIESGOS"/>
      <sheetName val="CONTROL"/>
    </sheetNames>
    <sheetDataSet>
      <sheetData sheetId="0"/>
      <sheetData sheetId="1"/>
      <sheetData sheetId="2">
        <row r="5">
          <cell r="C5">
            <v>3</v>
          </cell>
        </row>
        <row r="6">
          <cell r="C6">
            <v>2</v>
          </cell>
        </row>
        <row r="7">
          <cell r="C7">
            <v>1</v>
          </cell>
        </row>
      </sheetData>
      <sheetData sheetId="3">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NO HALLAZGOS</v>
          </cell>
          <cell r="X20" t="str">
            <v>SI</v>
          </cell>
        </row>
        <row r="21">
          <cell r="T21" t="str">
            <v>HALLAZGOS NO MATERIALES</v>
          </cell>
        </row>
        <row r="22">
          <cell r="T22" t="str">
            <v>HALLAZGOS  MATERIALES</v>
          </cell>
        </row>
        <row r="23">
          <cell r="N23" t="str">
            <v>AUTOMATICO</v>
          </cell>
        </row>
        <row r="24">
          <cell r="N24" t="str">
            <v>MANUAL</v>
          </cell>
        </row>
        <row r="28">
          <cell r="K28" t="str">
            <v>SI</v>
          </cell>
        </row>
        <row r="29">
          <cell r="K29"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row r="9">
          <cell r="A9" t="str">
            <v>PROCESO</v>
          </cell>
          <cell r="I9" t="str">
            <v>Objetivo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DEISY JOHANA ESTUPINAN MELO" id="{AA5FC015-7C97-447D-96E6-05A106D4AE4E}" userId="DEISY JOHANA ESTUPINAN ME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262" dataDxfId="261">
  <autoFilter ref="B209:C219" xr:uid="{00000000-0009-0000-0100-000001000000}"/>
  <tableColumns count="2">
    <tableColumn id="1" xr3:uid="{00000000-0010-0000-0000-000001000000}" name="Criterios" dataDxfId="260"/>
    <tableColumn id="2" xr3:uid="{00000000-0010-0000-0000-000002000000}" name="Subcriterios" dataDxfId="25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8" dT="2021-04-27T21:14:01.50" personId="{AA5FC015-7C97-447D-96E6-05A106D4AE4E}" id="{B1C731C1-77D1-4866-AACF-6CA64E614985}">
    <text>Ajuste y lista desplegable. Ver la aprobación en politica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BB45-A6A5-4E5B-A7E2-12F6E3B74AB1}">
  <dimension ref="B1:T64"/>
  <sheetViews>
    <sheetView topLeftCell="A7" zoomScale="90" zoomScaleNormal="90" workbookViewId="0">
      <selection activeCell="U1" sqref="U1"/>
    </sheetView>
  </sheetViews>
  <sheetFormatPr baseColWidth="10" defaultRowHeight="15" x14ac:dyDescent="0.25"/>
  <cols>
    <col min="1" max="1" width="10.28515625" customWidth="1"/>
  </cols>
  <sheetData>
    <row r="1" spans="2:20" ht="84.75" customHeight="1" thickBot="1" x14ac:dyDescent="0.3"/>
    <row r="2" spans="2:20" ht="17.25" customHeight="1" x14ac:dyDescent="0.25">
      <c r="B2" s="437"/>
      <c r="C2" s="438"/>
      <c r="D2" s="438"/>
      <c r="E2" s="438"/>
      <c r="F2" s="438"/>
      <c r="G2" s="438"/>
      <c r="H2" s="438"/>
      <c r="I2" s="438"/>
      <c r="J2" s="438"/>
      <c r="K2" s="438"/>
      <c r="L2" s="438"/>
      <c r="M2" s="438"/>
      <c r="N2" s="438"/>
      <c r="O2" s="438"/>
      <c r="P2" s="438"/>
      <c r="Q2" s="438"/>
      <c r="R2" s="438"/>
      <c r="S2" s="438"/>
      <c r="T2" s="439"/>
    </row>
    <row r="3" spans="2:20" ht="17.25" customHeight="1" x14ac:dyDescent="0.25">
      <c r="B3" s="440"/>
      <c r="C3" s="441"/>
      <c r="D3" s="441"/>
      <c r="E3" s="441"/>
      <c r="F3" s="441"/>
      <c r="G3" s="441"/>
      <c r="H3" s="441"/>
      <c r="I3" s="441"/>
      <c r="J3" s="441"/>
      <c r="K3" s="441"/>
      <c r="L3" s="441"/>
      <c r="M3" s="441"/>
      <c r="N3" s="441"/>
      <c r="O3" s="441"/>
      <c r="P3" s="441"/>
      <c r="Q3" s="441"/>
      <c r="R3" s="441"/>
      <c r="S3" s="441"/>
      <c r="T3" s="442"/>
    </row>
    <row r="4" spans="2:20" ht="17.25" customHeight="1" x14ac:dyDescent="0.25">
      <c r="B4" s="440"/>
      <c r="C4" s="441"/>
      <c r="D4" s="441"/>
      <c r="E4" s="441"/>
      <c r="F4" s="441"/>
      <c r="G4" s="441"/>
      <c r="H4" s="441"/>
      <c r="I4" s="441"/>
      <c r="J4" s="441"/>
      <c r="K4" s="441"/>
      <c r="L4" s="441"/>
      <c r="M4" s="441"/>
      <c r="N4" s="441"/>
      <c r="O4" s="441"/>
      <c r="P4" s="441"/>
      <c r="Q4" s="441"/>
      <c r="R4" s="441"/>
      <c r="S4" s="441"/>
      <c r="T4" s="442"/>
    </row>
    <row r="5" spans="2:20" ht="17.25" customHeight="1" thickBot="1" x14ac:dyDescent="0.3">
      <c r="B5" s="443"/>
      <c r="C5" s="444"/>
      <c r="D5" s="444"/>
      <c r="E5" s="444"/>
      <c r="F5" s="444"/>
      <c r="G5" s="444"/>
      <c r="H5" s="444"/>
      <c r="I5" s="444"/>
      <c r="J5" s="444"/>
      <c r="K5" s="444"/>
      <c r="L5" s="444"/>
      <c r="M5" s="444"/>
      <c r="N5" s="444"/>
      <c r="O5" s="444"/>
      <c r="P5" s="444"/>
      <c r="Q5" s="444"/>
      <c r="R5" s="444"/>
      <c r="S5" s="444"/>
      <c r="T5" s="445"/>
    </row>
    <row r="6" spans="2:20" x14ac:dyDescent="0.25">
      <c r="B6" s="296"/>
      <c r="T6" s="297"/>
    </row>
    <row r="7" spans="2:20" x14ac:dyDescent="0.25">
      <c r="B7" s="296"/>
      <c r="T7" s="297"/>
    </row>
    <row r="8" spans="2:20" x14ac:dyDescent="0.25">
      <c r="B8" s="296"/>
      <c r="T8" s="297"/>
    </row>
    <row r="9" spans="2:20" x14ac:dyDescent="0.25">
      <c r="B9" s="296"/>
      <c r="T9" s="297"/>
    </row>
    <row r="10" spans="2:20" x14ac:dyDescent="0.25">
      <c r="B10" s="296"/>
      <c r="T10" s="297"/>
    </row>
    <row r="11" spans="2:20" x14ac:dyDescent="0.25">
      <c r="B11" s="296"/>
      <c r="T11" s="297"/>
    </row>
    <row r="12" spans="2:20" x14ac:dyDescent="0.25">
      <c r="B12" s="296"/>
      <c r="T12" s="297"/>
    </row>
    <row r="13" spans="2:20" x14ac:dyDescent="0.25">
      <c r="B13" s="296"/>
      <c r="T13" s="297"/>
    </row>
    <row r="14" spans="2:20" x14ac:dyDescent="0.25">
      <c r="B14" s="296"/>
      <c r="T14" s="297"/>
    </row>
    <row r="15" spans="2:20" x14ac:dyDescent="0.25">
      <c r="B15" s="296"/>
      <c r="T15" s="297"/>
    </row>
    <row r="16" spans="2:20" x14ac:dyDescent="0.25">
      <c r="B16" s="296"/>
      <c r="T16" s="297"/>
    </row>
    <row r="17" spans="2:20" x14ac:dyDescent="0.25">
      <c r="B17" s="296"/>
      <c r="T17" s="297"/>
    </row>
    <row r="18" spans="2:20" x14ac:dyDescent="0.25">
      <c r="B18" s="296"/>
      <c r="T18" s="297"/>
    </row>
    <row r="19" spans="2:20" x14ac:dyDescent="0.25">
      <c r="B19" s="296"/>
      <c r="T19" s="297"/>
    </row>
    <row r="20" spans="2:20" x14ac:dyDescent="0.25">
      <c r="B20" s="296"/>
      <c r="T20" s="297"/>
    </row>
    <row r="21" spans="2:20" x14ac:dyDescent="0.25">
      <c r="B21" s="296"/>
      <c r="T21" s="297"/>
    </row>
    <row r="22" spans="2:20" x14ac:dyDescent="0.25">
      <c r="B22" s="296"/>
      <c r="T22" s="297"/>
    </row>
    <row r="23" spans="2:20" x14ac:dyDescent="0.25">
      <c r="B23" s="296"/>
      <c r="T23" s="297"/>
    </row>
    <row r="24" spans="2:20" x14ac:dyDescent="0.25">
      <c r="B24" s="296"/>
      <c r="T24" s="297"/>
    </row>
    <row r="25" spans="2:20" x14ac:dyDescent="0.25">
      <c r="B25" s="296"/>
      <c r="T25" s="297"/>
    </row>
    <row r="26" spans="2:20" x14ac:dyDescent="0.25">
      <c r="B26" s="296"/>
      <c r="T26" s="297"/>
    </row>
    <row r="27" spans="2:20" x14ac:dyDescent="0.25">
      <c r="B27" s="296"/>
      <c r="T27" s="297"/>
    </row>
    <row r="28" spans="2:20" x14ac:dyDescent="0.25">
      <c r="B28" s="296"/>
      <c r="T28" s="297"/>
    </row>
    <row r="29" spans="2:20" x14ac:dyDescent="0.25">
      <c r="B29" s="296"/>
      <c r="T29" s="297"/>
    </row>
    <row r="30" spans="2:20" x14ac:dyDescent="0.25">
      <c r="B30" s="296"/>
      <c r="T30" s="297"/>
    </row>
    <row r="31" spans="2:20" ht="15.75" thickBot="1" x14ac:dyDescent="0.3">
      <c r="B31" s="298"/>
      <c r="C31" s="299"/>
      <c r="D31" s="299"/>
      <c r="E31" s="299"/>
      <c r="F31" s="299"/>
      <c r="G31" s="299"/>
      <c r="H31" s="299"/>
      <c r="I31" s="299"/>
      <c r="J31" s="299"/>
      <c r="K31" s="299"/>
      <c r="L31" s="299"/>
      <c r="M31" s="299"/>
      <c r="N31" s="299"/>
      <c r="O31" s="299"/>
      <c r="P31" s="299"/>
      <c r="Q31" s="299"/>
      <c r="R31" s="299"/>
      <c r="S31" s="299"/>
      <c r="T31" s="300"/>
    </row>
    <row r="64" spans="6:6" x14ac:dyDescent="0.25">
      <c r="F64" s="220"/>
    </row>
  </sheetData>
  <mergeCells count="1">
    <mergeCell ref="B2:T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7B02-FC57-4AD1-B62A-FF32887981A5}">
  <dimension ref="B1:CJ72"/>
  <sheetViews>
    <sheetView topLeftCell="A58" zoomScale="60" zoomScaleNormal="60" workbookViewId="0">
      <selection activeCell="E86" sqref="E86:E91"/>
    </sheetView>
  </sheetViews>
  <sheetFormatPr baseColWidth="10" defaultColWidth="11.42578125" defaultRowHeight="15" x14ac:dyDescent="0.25"/>
  <cols>
    <col min="1" max="2" width="1.5703125" style="140" customWidth="1"/>
    <col min="3" max="3" width="2.5703125" style="140" customWidth="1"/>
    <col min="4" max="4" width="25.5703125" style="140" customWidth="1"/>
    <col min="5" max="5" width="35.5703125" style="140" customWidth="1"/>
    <col min="6" max="6" width="32.28515625" style="140" customWidth="1"/>
    <col min="7" max="7" width="20" style="140" customWidth="1"/>
    <col min="8" max="8" width="43.42578125" style="140" customWidth="1"/>
    <col min="9" max="9" width="16.140625" style="140" customWidth="1"/>
    <col min="10" max="10" width="19.85546875" style="140" customWidth="1"/>
    <col min="11" max="11" width="19.7109375" style="140" customWidth="1"/>
    <col min="12" max="12" width="2.42578125" style="140" customWidth="1"/>
    <col min="13" max="13" width="17.28515625" style="140" customWidth="1"/>
    <col min="14" max="14" width="21.42578125" style="140" customWidth="1"/>
    <col min="15" max="15" width="20.5703125" style="140" customWidth="1"/>
    <col min="16" max="16" width="16.140625" style="140" customWidth="1"/>
    <col min="17" max="17" width="20.85546875" style="140" customWidth="1"/>
    <col min="18" max="18" width="21.140625" style="140" customWidth="1"/>
    <col min="19" max="19" width="18.7109375" style="140" customWidth="1"/>
    <col min="20" max="20" width="15.28515625" style="140" customWidth="1"/>
    <col min="21" max="21" width="14.28515625" style="140" customWidth="1"/>
    <col min="22" max="22" width="20.140625" style="140" customWidth="1"/>
    <col min="23" max="23" width="11.5703125" style="140" customWidth="1"/>
    <col min="24" max="25" width="6.42578125" style="140" customWidth="1"/>
    <col min="26" max="26" width="5.5703125" style="140" customWidth="1"/>
    <col min="27" max="28" width="9.85546875" style="140" customWidth="1"/>
    <col min="29" max="30" width="9.42578125" style="140" customWidth="1"/>
    <col min="31" max="31" width="5.5703125" style="140" customWidth="1"/>
    <col min="32" max="32" width="20.42578125" style="140" customWidth="1"/>
    <col min="33" max="33" width="7.85546875" style="140" customWidth="1"/>
    <col min="34" max="34" width="6.5703125" style="140" customWidth="1"/>
    <col min="35" max="35" width="13.42578125" style="140" customWidth="1"/>
    <col min="36" max="37" width="7.140625" style="140" customWidth="1"/>
    <col min="38" max="40" width="16.85546875" style="140" customWidth="1"/>
    <col min="41" max="41" width="5.5703125" style="140" customWidth="1"/>
    <col min="42" max="42" width="17.140625" style="140" customWidth="1"/>
    <col min="43" max="43" width="15.28515625" style="140" customWidth="1"/>
    <col min="44" max="44" width="16.28515625" style="140" customWidth="1"/>
    <col min="45" max="45" width="14.5703125" style="140" customWidth="1"/>
    <col min="46" max="46" width="16" style="140" customWidth="1"/>
    <col min="47" max="47" width="15" style="140" customWidth="1"/>
    <col min="48" max="82" width="5.5703125" style="140" customWidth="1"/>
    <col min="83" max="83" width="11.5703125" style="140" customWidth="1"/>
    <col min="84" max="84" width="8.42578125" style="140" customWidth="1"/>
    <col min="85" max="85" width="8.7109375" style="140" customWidth="1"/>
    <col min="86" max="86" width="11.42578125" style="140"/>
    <col min="87" max="87" width="43.7109375" style="140" customWidth="1"/>
    <col min="88" max="88" width="67.85546875" style="140" customWidth="1"/>
    <col min="89" max="89" width="13.28515625" style="140" customWidth="1"/>
    <col min="90" max="95" width="11.42578125" style="140"/>
    <col min="96" max="96" width="12.85546875" style="140" customWidth="1"/>
    <col min="97" max="97" width="16.85546875" style="140" customWidth="1"/>
    <col min="98" max="98" width="19.28515625" style="140" customWidth="1"/>
    <col min="99" max="99" width="21.140625" style="140" customWidth="1"/>
    <col min="100" max="100" width="18" style="140" customWidth="1"/>
    <col min="101" max="16384" width="11.42578125" style="140"/>
  </cols>
  <sheetData>
    <row r="1" spans="2:86" ht="74.25" customHeight="1" x14ac:dyDescent="0.25"/>
    <row r="2" spans="2:86" ht="33.75" customHeight="1" thickBot="1" x14ac:dyDescent="0.3">
      <c r="B2" s="141"/>
      <c r="C2" s="142"/>
      <c r="D2" s="142"/>
      <c r="E2" s="142"/>
      <c r="F2" s="142"/>
      <c r="G2" s="142"/>
      <c r="H2" s="142"/>
      <c r="I2" s="142"/>
      <c r="J2" s="142"/>
      <c r="K2" s="142"/>
      <c r="L2" s="142"/>
      <c r="M2" s="142"/>
      <c r="N2" s="142"/>
      <c r="O2" s="142"/>
      <c r="P2" s="142"/>
      <c r="Q2" s="142"/>
      <c r="R2" s="142"/>
      <c r="S2" s="142"/>
      <c r="T2" s="142"/>
      <c r="U2" s="142"/>
      <c r="V2" s="142"/>
      <c r="W2" s="142"/>
      <c r="X2" s="142"/>
      <c r="Y2" s="142"/>
    </row>
    <row r="3" spans="2:86" ht="33" customHeight="1" thickBot="1" x14ac:dyDescent="0.3">
      <c r="B3" s="143"/>
      <c r="C3" s="144"/>
      <c r="D3" s="880"/>
      <c r="E3" s="881"/>
      <c r="F3" s="881"/>
      <c r="G3" s="162" t="s">
        <v>43</v>
      </c>
      <c r="H3" s="884" t="s">
        <v>205</v>
      </c>
      <c r="I3" s="885"/>
      <c r="J3" s="885"/>
      <c r="K3" s="885"/>
      <c r="L3" s="885"/>
      <c r="M3" s="885"/>
      <c r="N3" s="885"/>
      <c r="O3" s="885"/>
      <c r="P3" s="885"/>
      <c r="Q3" s="885"/>
      <c r="R3" s="885"/>
      <c r="S3" s="885"/>
      <c r="T3" s="885"/>
      <c r="U3" s="885"/>
      <c r="V3" s="885"/>
      <c r="W3" s="885"/>
      <c r="X3" s="885"/>
      <c r="Y3" s="886"/>
      <c r="Z3" s="163"/>
      <c r="AA3" s="163"/>
      <c r="AB3" s="163"/>
      <c r="AC3" s="163"/>
      <c r="AD3" s="163"/>
      <c r="AE3" s="163"/>
      <c r="AF3" s="163"/>
      <c r="AG3" s="163"/>
      <c r="AH3" s="163"/>
      <c r="CE3" s="146"/>
      <c r="CF3" s="146"/>
      <c r="CG3" s="146"/>
      <c r="CH3" s="146"/>
    </row>
    <row r="4" spans="2:86" ht="33" customHeight="1" thickBot="1" x14ac:dyDescent="0.3">
      <c r="B4" s="143"/>
      <c r="C4" s="144"/>
      <c r="D4" s="882"/>
      <c r="E4" s="883"/>
      <c r="F4" s="883"/>
      <c r="G4" s="145" t="s">
        <v>206</v>
      </c>
      <c r="H4" s="887" t="s">
        <v>207</v>
      </c>
      <c r="I4" s="888"/>
      <c r="J4" s="889"/>
      <c r="K4" s="890" t="s">
        <v>208</v>
      </c>
      <c r="L4" s="891"/>
      <c r="M4" s="891"/>
      <c r="N4" s="891"/>
      <c r="O4" s="891"/>
      <c r="P4" s="892" t="s">
        <v>209</v>
      </c>
      <c r="Q4" s="892"/>
      <c r="R4" s="892"/>
      <c r="S4" s="893"/>
      <c r="T4" s="890" t="s">
        <v>210</v>
      </c>
      <c r="U4" s="894"/>
      <c r="V4" s="895">
        <v>1</v>
      </c>
      <c r="W4" s="896"/>
      <c r="X4" s="896"/>
      <c r="Y4" s="897"/>
      <c r="Z4" s="164"/>
      <c r="AA4" s="164"/>
      <c r="AB4" s="164"/>
      <c r="AC4" s="165"/>
      <c r="AD4" s="165"/>
      <c r="AE4" s="165"/>
      <c r="AF4" s="165"/>
      <c r="AG4" s="165"/>
      <c r="AH4" s="165"/>
      <c r="CE4" s="146"/>
      <c r="CF4" s="146"/>
      <c r="CG4" s="146"/>
      <c r="CH4" s="146"/>
    </row>
    <row r="5" spans="2:86" x14ac:dyDescent="0.25">
      <c r="B5" s="143"/>
      <c r="C5" s="144"/>
      <c r="D5" s="147"/>
      <c r="E5" s="147"/>
      <c r="F5" s="148"/>
      <c r="G5" s="829"/>
      <c r="H5" s="829"/>
      <c r="I5" s="829"/>
      <c r="J5" s="829"/>
      <c r="K5" s="801"/>
      <c r="L5" s="801"/>
      <c r="M5" s="801"/>
      <c r="N5" s="801"/>
      <c r="O5" s="801"/>
      <c r="P5" s="801"/>
      <c r="Q5" s="801"/>
      <c r="R5" s="801"/>
      <c r="S5" s="801"/>
      <c r="T5" s="829"/>
      <c r="U5" s="829"/>
      <c r="V5" s="829"/>
      <c r="W5" s="829"/>
      <c r="X5" s="829"/>
      <c r="Y5" s="829"/>
      <c r="CE5" s="146"/>
      <c r="CF5" s="146"/>
      <c r="CG5" s="146"/>
      <c r="CH5" s="146"/>
    </row>
    <row r="6" spans="2:86" ht="6.75" customHeight="1" thickBot="1" x14ac:dyDescent="0.3">
      <c r="B6" s="143"/>
      <c r="D6" s="149"/>
      <c r="E6" s="149"/>
      <c r="F6" s="149"/>
      <c r="G6" s="149"/>
      <c r="H6" s="149"/>
      <c r="I6" s="149"/>
      <c r="J6" s="149"/>
      <c r="K6" s="149"/>
      <c r="L6" s="149"/>
      <c r="M6" s="149"/>
      <c r="N6" s="150"/>
      <c r="O6" s="150"/>
      <c r="P6" s="150"/>
      <c r="Q6" s="150"/>
      <c r="R6" s="149"/>
      <c r="S6" s="146"/>
      <c r="T6" s="146"/>
      <c r="U6" s="146"/>
      <c r="V6" s="146"/>
      <c r="W6" s="146"/>
      <c r="X6" s="146"/>
      <c r="Y6" s="146"/>
      <c r="CE6" s="146"/>
      <c r="CF6" s="146"/>
      <c r="CG6" s="146"/>
      <c r="CH6" s="146"/>
    </row>
    <row r="7" spans="2:86" ht="15" customHeight="1" x14ac:dyDescent="0.25">
      <c r="B7" s="143"/>
      <c r="C7" s="144"/>
      <c r="D7" s="898" t="s">
        <v>460</v>
      </c>
      <c r="E7" s="899"/>
      <c r="F7" s="899"/>
      <c r="G7" s="899"/>
      <c r="H7" s="899"/>
      <c r="I7" s="899"/>
      <c r="J7" s="899"/>
      <c r="K7" s="899"/>
      <c r="L7" s="899"/>
      <c r="M7" s="899"/>
      <c r="N7" s="899"/>
      <c r="O7" s="899"/>
      <c r="P7" s="899"/>
      <c r="Q7" s="899"/>
      <c r="R7" s="899"/>
      <c r="S7" s="899"/>
      <c r="T7" s="899"/>
      <c r="U7" s="899"/>
      <c r="V7" s="899"/>
      <c r="W7" s="899"/>
      <c r="X7" s="899"/>
      <c r="Y7" s="900"/>
      <c r="Z7" s="268"/>
      <c r="AA7" s="268"/>
      <c r="AB7" s="268"/>
      <c r="AC7" s="268"/>
      <c r="AD7" s="268"/>
      <c r="AE7" s="268"/>
      <c r="AF7" s="268"/>
      <c r="AG7" s="268"/>
      <c r="AH7" s="268"/>
      <c r="AI7" s="268"/>
      <c r="AJ7" s="268"/>
      <c r="AK7" s="268"/>
      <c r="AL7" s="268"/>
      <c r="AM7" s="268"/>
      <c r="AN7" s="268"/>
      <c r="AO7" s="268"/>
      <c r="CE7" s="146"/>
      <c r="CF7" s="146"/>
      <c r="CG7" s="146"/>
      <c r="CH7" s="146"/>
    </row>
    <row r="8" spans="2:86" ht="7.5" customHeight="1" thickBot="1" x14ac:dyDescent="0.3">
      <c r="B8" s="143"/>
      <c r="D8" s="901"/>
      <c r="E8" s="902"/>
      <c r="F8" s="902"/>
      <c r="G8" s="902"/>
      <c r="H8" s="902"/>
      <c r="I8" s="902"/>
      <c r="J8" s="902"/>
      <c r="K8" s="902"/>
      <c r="L8" s="902"/>
      <c r="M8" s="902"/>
      <c r="N8" s="902"/>
      <c r="O8" s="902"/>
      <c r="P8" s="902"/>
      <c r="Q8" s="902"/>
      <c r="R8" s="902"/>
      <c r="S8" s="902"/>
      <c r="T8" s="902"/>
      <c r="U8" s="902"/>
      <c r="V8" s="902"/>
      <c r="W8" s="902"/>
      <c r="X8" s="902"/>
      <c r="Y8" s="903"/>
      <c r="Z8" s="268"/>
      <c r="AA8" s="268"/>
      <c r="AB8" s="268"/>
      <c r="AC8" s="268"/>
      <c r="AD8" s="268"/>
      <c r="AE8" s="268"/>
      <c r="AF8" s="268"/>
      <c r="AG8" s="268"/>
      <c r="AH8" s="268"/>
      <c r="AI8" s="268"/>
      <c r="AJ8" s="268"/>
      <c r="AK8" s="268"/>
      <c r="AL8" s="268"/>
      <c r="AM8" s="268"/>
      <c r="AN8" s="268"/>
      <c r="AO8" s="268"/>
      <c r="CE8" s="146"/>
      <c r="CF8" s="146"/>
      <c r="CG8" s="146"/>
      <c r="CH8" s="146"/>
    </row>
    <row r="9" spans="2:86" ht="20.25" customHeight="1" thickBot="1" x14ac:dyDescent="0.3">
      <c r="B9" s="143"/>
      <c r="D9" s="878" t="s">
        <v>43</v>
      </c>
      <c r="E9" s="879"/>
      <c r="F9" s="904" t="str">
        <f>'Datos del proceso'!A10</f>
        <v>GESTIÓN FINANCIERAS</v>
      </c>
      <c r="G9" s="905"/>
      <c r="H9" s="905"/>
      <c r="I9" s="905"/>
      <c r="J9" s="905"/>
      <c r="K9" s="905"/>
      <c r="L9" s="905"/>
      <c r="M9" s="905"/>
      <c r="N9" s="905"/>
      <c r="O9" s="905"/>
      <c r="P9" s="905"/>
      <c r="Q9" s="905"/>
      <c r="R9" s="905"/>
      <c r="S9" s="905"/>
      <c r="T9" s="905"/>
      <c r="U9" s="905"/>
      <c r="V9" s="905"/>
      <c r="W9" s="905"/>
      <c r="X9" s="905"/>
      <c r="Y9" s="906"/>
      <c r="CE9" s="146"/>
      <c r="CF9" s="146"/>
      <c r="CG9" s="146"/>
      <c r="CH9" s="146"/>
    </row>
    <row r="10" spans="2:86" ht="24.75" customHeight="1" thickBot="1" x14ac:dyDescent="0.3">
      <c r="B10" s="143"/>
      <c r="D10" s="878" t="s">
        <v>130</v>
      </c>
      <c r="E10" s="879"/>
      <c r="F10" s="907" t="str">
        <f>'Datos del proceso'!I10</f>
        <v>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v>
      </c>
      <c r="G10" s="908"/>
      <c r="H10" s="908"/>
      <c r="I10" s="908"/>
      <c r="J10" s="908"/>
      <c r="K10" s="908"/>
      <c r="L10" s="908"/>
      <c r="M10" s="908"/>
      <c r="N10" s="908"/>
      <c r="O10" s="908"/>
      <c r="P10" s="908"/>
      <c r="Q10" s="908"/>
      <c r="R10" s="908"/>
      <c r="S10" s="908"/>
      <c r="T10" s="908"/>
      <c r="U10" s="908"/>
      <c r="V10" s="908"/>
      <c r="W10" s="908"/>
      <c r="X10" s="908"/>
      <c r="Y10" s="909"/>
      <c r="CE10" s="146"/>
      <c r="CF10" s="146"/>
      <c r="CG10" s="146"/>
      <c r="CH10" s="146"/>
    </row>
    <row r="11" spans="2:86" ht="1.5" customHeight="1" x14ac:dyDescent="0.25">
      <c r="B11" s="143"/>
      <c r="C11" s="144"/>
      <c r="D11" s="874"/>
      <c r="E11" s="874"/>
      <c r="G11" s="801"/>
      <c r="H11" s="801"/>
      <c r="I11" s="801"/>
      <c r="J11" s="801"/>
      <c r="K11" s="801"/>
      <c r="L11" s="801"/>
      <c r="M11" s="801"/>
      <c r="N11" s="801"/>
      <c r="O11" s="801"/>
      <c r="P11" s="801"/>
      <c r="Q11" s="801"/>
      <c r="R11" s="801"/>
      <c r="S11" s="801"/>
      <c r="T11" s="801"/>
      <c r="U11" s="801"/>
      <c r="V11" s="801"/>
      <c r="W11" s="801"/>
      <c r="X11" s="801"/>
      <c r="Y11" s="801"/>
      <c r="CE11" s="146"/>
      <c r="CF11" s="146"/>
      <c r="CG11" s="146"/>
      <c r="CH11" s="146"/>
    </row>
    <row r="12" spans="2:86" ht="7.5" customHeight="1" x14ac:dyDescent="0.25">
      <c r="B12" s="143"/>
      <c r="S12" s="146"/>
      <c r="T12" s="146"/>
      <c r="U12" s="146"/>
      <c r="V12" s="146"/>
      <c r="W12" s="146"/>
      <c r="X12" s="146"/>
      <c r="Y12" s="146"/>
      <c r="CE12" s="146"/>
      <c r="CF12" s="146"/>
      <c r="CG12" s="146"/>
      <c r="CH12" s="146"/>
    </row>
    <row r="13" spans="2:86" ht="30" customHeight="1" x14ac:dyDescent="0.25">
      <c r="B13" s="143"/>
      <c r="D13" s="875" t="s">
        <v>211</v>
      </c>
      <c r="E13" s="875"/>
      <c r="F13" s="875"/>
      <c r="G13" s="875"/>
      <c r="H13" s="875"/>
      <c r="I13" s="875"/>
      <c r="J13" s="875"/>
      <c r="K13" s="875"/>
      <c r="L13" s="875"/>
      <c r="M13" s="875"/>
      <c r="N13" s="875"/>
      <c r="O13" s="875"/>
      <c r="P13" s="875"/>
      <c r="Q13" s="875"/>
      <c r="R13" s="875"/>
      <c r="S13" s="875"/>
      <c r="T13" s="875"/>
      <c r="U13" s="875"/>
      <c r="V13" s="875"/>
      <c r="W13" s="875"/>
      <c r="X13" s="875"/>
      <c r="Y13" s="875"/>
      <c r="CE13" s="146"/>
      <c r="CF13" s="146"/>
      <c r="CG13" s="146"/>
      <c r="CH13" s="146"/>
    </row>
    <row r="14" spans="2:86" x14ac:dyDescent="0.25">
      <c r="B14" s="143"/>
      <c r="C14" s="144"/>
      <c r="D14" s="876" t="s">
        <v>212</v>
      </c>
      <c r="E14" s="876"/>
      <c r="F14" s="876"/>
      <c r="G14" s="876"/>
      <c r="H14" s="876"/>
      <c r="I14" s="876"/>
      <c r="J14" s="876"/>
      <c r="K14" s="876"/>
      <c r="L14" s="876"/>
      <c r="M14" s="876"/>
      <c r="N14" s="876"/>
      <c r="O14" s="876"/>
      <c r="Q14" s="877" t="s">
        <v>213</v>
      </c>
      <c r="R14" s="877"/>
      <c r="S14" s="877"/>
      <c r="T14" s="877"/>
      <c r="U14" s="877"/>
      <c r="V14" s="877"/>
      <c r="W14" s="877"/>
      <c r="X14" s="877"/>
      <c r="Y14" s="877"/>
      <c r="CE14" s="146"/>
      <c r="CF14" s="146"/>
      <c r="CG14" s="146"/>
      <c r="CH14" s="146"/>
    </row>
    <row r="15" spans="2:86" ht="54.75" customHeight="1" x14ac:dyDescent="0.25">
      <c r="B15" s="143"/>
      <c r="C15" s="144"/>
      <c r="D15" s="151" t="s">
        <v>214</v>
      </c>
      <c r="E15" s="871" t="s">
        <v>215</v>
      </c>
      <c r="F15" s="871"/>
      <c r="G15" s="871"/>
      <c r="H15" s="871"/>
      <c r="I15" s="534" t="s">
        <v>216</v>
      </c>
      <c r="J15" s="534"/>
      <c r="K15" s="871" t="s">
        <v>215</v>
      </c>
      <c r="L15" s="871"/>
      <c r="M15" s="871"/>
      <c r="N15" s="152" t="s">
        <v>217</v>
      </c>
      <c r="O15" s="153" t="s">
        <v>215</v>
      </c>
      <c r="Q15" s="153" t="s">
        <v>218</v>
      </c>
      <c r="R15" s="293" t="s">
        <v>529</v>
      </c>
      <c r="S15" s="166" t="s">
        <v>219</v>
      </c>
      <c r="T15" s="153" t="s">
        <v>13</v>
      </c>
      <c r="U15" s="153" t="s">
        <v>317</v>
      </c>
      <c r="V15" s="167" t="s">
        <v>318</v>
      </c>
      <c r="W15" s="534" t="s">
        <v>220</v>
      </c>
      <c r="X15" s="534"/>
      <c r="Y15" s="534"/>
      <c r="CE15" s="146"/>
      <c r="CF15" s="146"/>
      <c r="CG15" s="146"/>
      <c r="CH15" s="146"/>
    </row>
    <row r="16" spans="2:86" ht="88.5" customHeight="1" x14ac:dyDescent="0.25">
      <c r="B16" s="143"/>
      <c r="D16" s="147"/>
      <c r="E16" s="872"/>
      <c r="F16" s="872"/>
      <c r="G16" s="872"/>
      <c r="H16" s="872"/>
      <c r="I16" s="829"/>
      <c r="J16" s="829"/>
      <c r="K16" s="863"/>
      <c r="L16" s="863"/>
      <c r="M16" s="863"/>
      <c r="N16" s="168"/>
      <c r="O16" s="169"/>
      <c r="Q16" s="790" t="s">
        <v>319</v>
      </c>
      <c r="R16" s="790"/>
      <c r="S16" s="812" t="s">
        <v>320</v>
      </c>
      <c r="T16" s="790" t="s">
        <v>321</v>
      </c>
      <c r="U16" s="168" t="s">
        <v>322</v>
      </c>
      <c r="V16" s="168" t="s">
        <v>323</v>
      </c>
      <c r="W16" s="816" t="s">
        <v>324</v>
      </c>
      <c r="X16" s="864"/>
      <c r="Y16" s="831"/>
      <c r="CE16" s="146"/>
      <c r="CF16" s="146"/>
      <c r="CG16" s="146"/>
      <c r="CH16" s="146"/>
    </row>
    <row r="17" spans="2:86" ht="89.25" customHeight="1" x14ac:dyDescent="0.25">
      <c r="B17" s="143"/>
      <c r="D17" s="147"/>
      <c r="E17" s="867"/>
      <c r="F17" s="868"/>
      <c r="G17" s="868"/>
      <c r="H17" s="869"/>
      <c r="I17" s="829"/>
      <c r="J17" s="829"/>
      <c r="K17" s="863"/>
      <c r="L17" s="863"/>
      <c r="M17" s="863"/>
      <c r="N17" s="168"/>
      <c r="O17" s="169"/>
      <c r="Q17" s="791"/>
      <c r="R17" s="791"/>
      <c r="S17" s="873"/>
      <c r="T17" s="791"/>
      <c r="U17" s="168" t="s">
        <v>325</v>
      </c>
      <c r="V17" s="168" t="s">
        <v>326</v>
      </c>
      <c r="W17" s="832"/>
      <c r="X17" s="865"/>
      <c r="Y17" s="833"/>
      <c r="Z17" s="146"/>
      <c r="AA17" s="146"/>
      <c r="AB17" s="146"/>
      <c r="AC17" s="146"/>
      <c r="AD17" s="146"/>
      <c r="AE17" s="146"/>
      <c r="AF17" s="146"/>
      <c r="AG17" s="146"/>
      <c r="AH17" s="146"/>
      <c r="AI17" s="146"/>
      <c r="AJ17" s="146"/>
      <c r="AK17" s="146"/>
      <c r="AL17" s="146"/>
      <c r="AM17" s="146"/>
      <c r="AN17" s="146"/>
      <c r="AO17" s="146"/>
      <c r="CE17" s="146"/>
      <c r="CF17" s="146"/>
      <c r="CG17" s="146"/>
      <c r="CH17" s="146"/>
    </row>
    <row r="18" spans="2:86" ht="104.25" customHeight="1" x14ac:dyDescent="0.25">
      <c r="B18" s="143"/>
      <c r="D18" s="147"/>
      <c r="E18" s="870"/>
      <c r="F18" s="870"/>
      <c r="G18" s="870"/>
      <c r="H18" s="870"/>
      <c r="I18" s="829"/>
      <c r="J18" s="829"/>
      <c r="K18" s="863"/>
      <c r="L18" s="863"/>
      <c r="M18" s="863"/>
      <c r="N18" s="168"/>
      <c r="O18" s="169"/>
      <c r="Q18" s="792"/>
      <c r="R18" s="792"/>
      <c r="S18" s="813"/>
      <c r="T18" s="792"/>
      <c r="U18" s="168"/>
      <c r="V18" s="168"/>
      <c r="W18" s="834"/>
      <c r="X18" s="866"/>
      <c r="Y18" s="835"/>
      <c r="Z18" s="146"/>
      <c r="AA18" s="146"/>
      <c r="AB18" s="146"/>
      <c r="AC18" s="146"/>
      <c r="AD18" s="146"/>
      <c r="AE18" s="146"/>
      <c r="AF18" s="146"/>
      <c r="AG18" s="146"/>
      <c r="AH18" s="146"/>
      <c r="AI18" s="146"/>
      <c r="AJ18" s="146"/>
      <c r="AK18" s="146"/>
      <c r="AL18" s="146"/>
      <c r="AM18" s="146"/>
      <c r="AN18" s="146"/>
      <c r="AO18" s="146"/>
      <c r="CE18" s="146"/>
      <c r="CF18" s="146"/>
      <c r="CG18" s="146"/>
      <c r="CH18" s="146"/>
    </row>
    <row r="19" spans="2:86" ht="15" customHeight="1" x14ac:dyDescent="0.25">
      <c r="B19" s="14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row>
    <row r="20" spans="2:86" x14ac:dyDescent="0.25">
      <c r="B20" s="143"/>
      <c r="C20" s="844" t="s">
        <v>221</v>
      </c>
      <c r="D20" s="845"/>
      <c r="E20" s="845"/>
      <c r="F20" s="845"/>
      <c r="G20" s="845"/>
      <c r="H20" s="845"/>
      <c r="I20" s="845"/>
      <c r="J20" s="845"/>
      <c r="K20" s="845"/>
      <c r="L20" s="845"/>
      <c r="M20" s="845"/>
      <c r="N20" s="845"/>
      <c r="O20" s="845"/>
      <c r="P20" s="845"/>
      <c r="Q20" s="845"/>
      <c r="R20" s="845"/>
      <c r="S20" s="845"/>
      <c r="T20" s="845"/>
      <c r="U20" s="845"/>
      <c r="V20" s="845"/>
      <c r="W20" s="845"/>
      <c r="X20" s="845"/>
      <c r="Y20" s="845"/>
      <c r="Z20" s="146"/>
      <c r="AA20" s="856" t="s">
        <v>224</v>
      </c>
      <c r="AB20" s="856"/>
      <c r="AC20" s="856"/>
      <c r="AD20" s="856"/>
      <c r="AE20" s="856"/>
      <c r="AF20" s="856"/>
      <c r="AG20" s="856"/>
      <c r="AH20" s="856"/>
      <c r="AI20" s="856"/>
      <c r="AJ20" s="856"/>
      <c r="AK20" s="856"/>
      <c r="AL20" s="856"/>
      <c r="AM20" s="856"/>
      <c r="AN20" s="856"/>
      <c r="AO20" s="146"/>
      <c r="AP20" s="154"/>
      <c r="AQ20" s="154"/>
      <c r="AR20" s="154"/>
      <c r="AS20" s="154"/>
      <c r="AT20" s="154"/>
      <c r="AU20" s="154"/>
      <c r="AV20" s="146"/>
      <c r="AW20" s="154"/>
      <c r="AX20" s="154"/>
      <c r="AY20" s="154"/>
      <c r="AZ20" s="154"/>
      <c r="BA20" s="154"/>
      <c r="BB20" s="154"/>
      <c r="BC20" s="154"/>
      <c r="BD20" s="154"/>
      <c r="BE20" s="154"/>
      <c r="BF20" s="154"/>
      <c r="BG20" s="154"/>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row>
    <row r="21" spans="2:86" ht="6" customHeight="1" x14ac:dyDescent="0.25">
      <c r="B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54"/>
      <c r="AO21" s="154"/>
      <c r="AV21" s="146"/>
      <c r="AW21" s="156"/>
      <c r="AX21" s="156"/>
      <c r="AY21" s="156"/>
      <c r="AZ21" s="156"/>
      <c r="BA21" s="156"/>
      <c r="BB21" s="156"/>
      <c r="BC21" s="156"/>
      <c r="BD21" s="156"/>
      <c r="BE21" s="156"/>
      <c r="BF21" s="156"/>
      <c r="BG21" s="15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2:86" ht="24.75" customHeight="1" x14ac:dyDescent="0.25">
      <c r="B22" s="143"/>
      <c r="D22" s="846" t="s">
        <v>327</v>
      </c>
      <c r="E22" s="846"/>
      <c r="F22" s="846"/>
      <c r="G22" s="846"/>
      <c r="H22" s="847" t="s">
        <v>328</v>
      </c>
      <c r="I22" s="848"/>
      <c r="J22" s="848"/>
      <c r="K22" s="848"/>
      <c r="L22" s="848"/>
      <c r="M22" s="848"/>
      <c r="N22" s="848"/>
      <c r="O22" s="848"/>
      <c r="P22" s="848"/>
      <c r="Q22" s="849"/>
      <c r="R22" s="850" t="s">
        <v>223</v>
      </c>
      <c r="S22" s="851"/>
      <c r="T22" s="851"/>
      <c r="U22" s="851"/>
      <c r="V22" s="851"/>
      <c r="W22" s="851"/>
      <c r="X22" s="851"/>
      <c r="Y22" s="852"/>
      <c r="Z22" s="154"/>
      <c r="AA22" s="861" t="s">
        <v>230</v>
      </c>
      <c r="AB22" s="861"/>
      <c r="AC22" s="861" t="s">
        <v>231</v>
      </c>
      <c r="AD22" s="861"/>
      <c r="AE22" s="861"/>
      <c r="AF22" s="159" t="s">
        <v>232</v>
      </c>
      <c r="AG22" s="861" t="s">
        <v>233</v>
      </c>
      <c r="AH22" s="861"/>
      <c r="AI22" s="159" t="s">
        <v>234</v>
      </c>
      <c r="AJ22" s="861" t="s">
        <v>24</v>
      </c>
      <c r="AK22" s="861"/>
      <c r="AL22" s="159" t="s">
        <v>235</v>
      </c>
      <c r="AM22" s="159" t="s">
        <v>236</v>
      </c>
      <c r="AN22" s="159" t="s">
        <v>237</v>
      </c>
      <c r="AO22" s="154"/>
      <c r="AP22" s="155"/>
      <c r="AQ22" s="155"/>
      <c r="AR22" s="155"/>
      <c r="AS22" s="155"/>
      <c r="AT22" s="155"/>
      <c r="AU22" s="155"/>
      <c r="AV22" s="146"/>
      <c r="AW22" s="156"/>
      <c r="AX22" s="156"/>
      <c r="AY22" s="156"/>
      <c r="AZ22" s="156"/>
      <c r="BA22" s="156"/>
      <c r="BB22" s="156"/>
      <c r="BC22" s="156"/>
      <c r="BD22" s="156"/>
      <c r="BE22" s="156"/>
      <c r="BF22" s="156"/>
      <c r="BG22" s="15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row>
    <row r="23" spans="2:86" ht="15" customHeight="1" x14ac:dyDescent="0.25">
      <c r="B23" s="143"/>
      <c r="D23" s="846"/>
      <c r="E23" s="846"/>
      <c r="F23" s="846"/>
      <c r="G23" s="846"/>
      <c r="H23" s="857" t="s">
        <v>225</v>
      </c>
      <c r="I23" s="858" t="s">
        <v>226</v>
      </c>
      <c r="J23" s="858"/>
      <c r="K23" s="842" t="s">
        <v>227</v>
      </c>
      <c r="L23" s="859"/>
      <c r="M23" s="843"/>
      <c r="N23" s="860" t="s">
        <v>228</v>
      </c>
      <c r="O23" s="860" t="s">
        <v>229</v>
      </c>
      <c r="P23" s="836" t="s">
        <v>329</v>
      </c>
      <c r="Q23" s="837"/>
      <c r="R23" s="853"/>
      <c r="S23" s="854"/>
      <c r="T23" s="854"/>
      <c r="U23" s="854"/>
      <c r="V23" s="854"/>
      <c r="W23" s="854"/>
      <c r="X23" s="854"/>
      <c r="Y23" s="855"/>
      <c r="Z23" s="154"/>
      <c r="AA23" s="830" t="s">
        <v>332</v>
      </c>
      <c r="AB23" s="831"/>
      <c r="AC23" s="829" t="str">
        <f>IF(AA23="Aceptar el riesgo","No aplica","SI")</f>
        <v>No aplica</v>
      </c>
      <c r="AD23" s="829"/>
      <c r="AE23" s="829"/>
      <c r="AF23" s="863"/>
      <c r="AG23" s="863"/>
      <c r="AH23" s="863"/>
      <c r="AI23" s="544"/>
      <c r="AJ23" s="544"/>
      <c r="AK23" s="544"/>
      <c r="AL23" s="544"/>
      <c r="AM23" s="544"/>
      <c r="AN23" s="544"/>
      <c r="AO23" s="154"/>
      <c r="AP23" s="155"/>
      <c r="AQ23" s="155"/>
      <c r="AR23" s="155"/>
      <c r="AS23" s="155"/>
      <c r="AT23" s="155"/>
      <c r="AU23" s="155"/>
      <c r="AV23" s="154"/>
      <c r="AW23" s="156"/>
      <c r="AX23" s="156"/>
      <c r="AY23" s="156"/>
      <c r="AZ23" s="156"/>
      <c r="BA23" s="156"/>
      <c r="BB23" s="156"/>
      <c r="BC23" s="156"/>
      <c r="BD23" s="156"/>
      <c r="BE23" s="156"/>
      <c r="BF23" s="156"/>
      <c r="BG23" s="156"/>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row>
    <row r="24" spans="2:86" ht="46.5" customHeight="1" x14ac:dyDescent="0.25">
      <c r="B24" s="143"/>
      <c r="D24" s="157" t="s">
        <v>4</v>
      </c>
      <c r="E24" s="157" t="s">
        <v>242</v>
      </c>
      <c r="F24" s="840" t="s">
        <v>239</v>
      </c>
      <c r="G24" s="841"/>
      <c r="H24" s="846"/>
      <c r="I24" s="858"/>
      <c r="J24" s="858"/>
      <c r="K24" s="842" t="s">
        <v>240</v>
      </c>
      <c r="L24" s="843"/>
      <c r="M24" s="158" t="s">
        <v>241</v>
      </c>
      <c r="N24" s="860"/>
      <c r="O24" s="860"/>
      <c r="P24" s="838"/>
      <c r="Q24" s="839"/>
      <c r="R24" s="862" t="s">
        <v>4</v>
      </c>
      <c r="S24" s="862"/>
      <c r="T24" s="862" t="s">
        <v>2</v>
      </c>
      <c r="U24" s="862"/>
      <c r="V24" s="862" t="s">
        <v>239</v>
      </c>
      <c r="W24" s="862"/>
      <c r="X24" s="862"/>
      <c r="Y24" s="862"/>
      <c r="Z24" s="154"/>
      <c r="AA24" s="832"/>
      <c r="AB24" s="833"/>
      <c r="AC24" s="829"/>
      <c r="AD24" s="829"/>
      <c r="AE24" s="829"/>
      <c r="AF24" s="863"/>
      <c r="AG24" s="863"/>
      <c r="AH24" s="863"/>
      <c r="AI24" s="544"/>
      <c r="AJ24" s="544"/>
      <c r="AK24" s="544"/>
      <c r="AL24" s="544"/>
      <c r="AM24" s="544"/>
      <c r="AN24" s="544"/>
      <c r="AO24" s="154"/>
      <c r="AP24" s="170"/>
      <c r="AQ24" s="170"/>
      <c r="AR24" s="170"/>
      <c r="AS24" s="170"/>
      <c r="AT24" s="170"/>
      <c r="AU24" s="170"/>
      <c r="AV24" s="154"/>
      <c r="AW24" s="156"/>
      <c r="AX24" s="156"/>
      <c r="AY24" s="156"/>
      <c r="AZ24" s="156"/>
      <c r="BA24" s="156"/>
      <c r="BB24" s="156"/>
      <c r="BC24" s="156"/>
      <c r="BD24" s="156"/>
      <c r="BE24" s="156"/>
      <c r="BF24" s="156"/>
      <c r="BG24" s="156"/>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row>
    <row r="25" spans="2:86" ht="15" customHeight="1" x14ac:dyDescent="0.25">
      <c r="B25" s="143"/>
      <c r="D25" s="829" t="s">
        <v>243</v>
      </c>
      <c r="E25" s="829" t="s">
        <v>245</v>
      </c>
      <c r="F25" s="829"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829"/>
      <c r="H25" s="804" t="s">
        <v>330</v>
      </c>
      <c r="I25" s="815" t="str">
        <f>G62</f>
        <v>Fuerte</v>
      </c>
      <c r="J25" s="815"/>
      <c r="K25" s="816" t="s">
        <v>244</v>
      </c>
      <c r="L25" s="796"/>
      <c r="M25" s="793" t="str">
        <f>IF(K25="El control se ejecuta de manera consistente por parte del responsable","Fuerte",IF(K25="El control se ejecuta algunas veces por parte del responsable.","Moderado","Débil"))</f>
        <v>Fuerte</v>
      </c>
      <c r="N25" s="815"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815" t="str">
        <f>IF(N25="Fuerte","NO","SI")</f>
        <v>NO</v>
      </c>
      <c r="P25" s="829" t="str">
        <f>G65</f>
        <v>Fuerte</v>
      </c>
      <c r="Q25" s="829"/>
      <c r="R25" s="829" t="s">
        <v>243</v>
      </c>
      <c r="S25" s="829"/>
      <c r="T25" s="829" t="s">
        <v>331</v>
      </c>
      <c r="U25" s="829"/>
      <c r="V25" s="829"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829"/>
      <c r="X25" s="829"/>
      <c r="Y25" s="829"/>
      <c r="Z25" s="154"/>
      <c r="AA25" s="832"/>
      <c r="AB25" s="833"/>
      <c r="AC25" s="829"/>
      <c r="AD25" s="829"/>
      <c r="AE25" s="829"/>
      <c r="AF25" s="863"/>
      <c r="AG25" s="863"/>
      <c r="AH25" s="863"/>
      <c r="AI25" s="544"/>
      <c r="AJ25" s="544"/>
      <c r="AK25" s="544"/>
      <c r="AL25" s="544"/>
      <c r="AM25" s="544"/>
      <c r="AN25" s="544"/>
      <c r="AO25" s="154"/>
      <c r="AP25" s="154"/>
      <c r="AQ25" s="154"/>
      <c r="AR25" s="154"/>
      <c r="AS25" s="154"/>
      <c r="AT25" s="154"/>
      <c r="AU25" s="154"/>
      <c r="AV25" s="154"/>
      <c r="AW25" s="156"/>
      <c r="AX25" s="156"/>
      <c r="AY25" s="156"/>
      <c r="AZ25" s="156"/>
      <c r="BA25" s="156"/>
      <c r="BB25" s="156"/>
      <c r="BC25" s="156"/>
      <c r="BD25" s="156"/>
      <c r="BE25" s="156"/>
      <c r="BF25" s="156"/>
      <c r="BG25" s="156"/>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row>
    <row r="26" spans="2:86" ht="75" customHeight="1" x14ac:dyDescent="0.25">
      <c r="B26" s="143"/>
      <c r="D26" s="829"/>
      <c r="E26" s="829"/>
      <c r="F26" s="829"/>
      <c r="G26" s="829"/>
      <c r="H26" s="805"/>
      <c r="I26" s="815"/>
      <c r="J26" s="815"/>
      <c r="K26" s="817"/>
      <c r="L26" s="797"/>
      <c r="M26" s="794"/>
      <c r="N26" s="815"/>
      <c r="O26" s="815"/>
      <c r="P26" s="829"/>
      <c r="Q26" s="829"/>
      <c r="R26" s="829"/>
      <c r="S26" s="829"/>
      <c r="T26" s="829"/>
      <c r="U26" s="829"/>
      <c r="V26" s="829"/>
      <c r="W26" s="829"/>
      <c r="X26" s="829"/>
      <c r="Y26" s="829"/>
      <c r="Z26" s="154"/>
      <c r="AA26" s="834"/>
      <c r="AB26" s="835"/>
      <c r="AC26" s="829"/>
      <c r="AD26" s="829"/>
      <c r="AE26" s="829"/>
      <c r="AF26" s="863"/>
      <c r="AG26" s="863"/>
      <c r="AH26" s="863"/>
      <c r="AI26" s="544"/>
      <c r="AJ26" s="544"/>
      <c r="AK26" s="544"/>
      <c r="AL26" s="544"/>
      <c r="AM26" s="544"/>
      <c r="AN26" s="544"/>
      <c r="AO26" s="154"/>
      <c r="AP26" s="154"/>
      <c r="AQ26" s="154"/>
      <c r="AR26" s="154"/>
      <c r="AS26" s="154"/>
      <c r="AT26" s="154"/>
      <c r="AU26" s="154"/>
      <c r="AV26" s="154"/>
      <c r="AW26" s="156"/>
      <c r="AX26" s="156"/>
      <c r="AY26" s="156"/>
      <c r="AZ26" s="156"/>
      <c r="BA26" s="156"/>
      <c r="BB26" s="156"/>
      <c r="BC26" s="156"/>
      <c r="BD26" s="156"/>
      <c r="BE26" s="156"/>
      <c r="BF26" s="156"/>
      <c r="BG26" s="156"/>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row>
    <row r="27" spans="2:86" ht="33.75" customHeight="1" x14ac:dyDescent="0.25">
      <c r="B27" s="143"/>
      <c r="D27" s="829"/>
      <c r="E27" s="829"/>
      <c r="F27" s="829"/>
      <c r="G27" s="829"/>
      <c r="H27" s="805"/>
      <c r="I27" s="815"/>
      <c r="J27" s="815"/>
      <c r="K27" s="817"/>
      <c r="L27" s="797"/>
      <c r="M27" s="794"/>
      <c r="N27" s="815"/>
      <c r="O27" s="815"/>
      <c r="P27" s="829"/>
      <c r="Q27" s="829"/>
      <c r="R27" s="829"/>
      <c r="S27" s="829"/>
      <c r="T27" s="829"/>
      <c r="U27" s="829"/>
      <c r="V27" s="829"/>
      <c r="W27" s="829"/>
      <c r="X27" s="829"/>
      <c r="Y27" s="829"/>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row>
    <row r="28" spans="2:86" ht="133.5" customHeight="1" x14ac:dyDescent="0.25">
      <c r="B28" s="143"/>
      <c r="D28" s="829"/>
      <c r="E28" s="829"/>
      <c r="F28" s="829"/>
      <c r="G28" s="829"/>
      <c r="H28" s="806"/>
      <c r="I28" s="815"/>
      <c r="J28" s="815"/>
      <c r="K28" s="818"/>
      <c r="L28" s="819"/>
      <c r="M28" s="795"/>
      <c r="N28" s="815"/>
      <c r="O28" s="815"/>
      <c r="P28" s="829"/>
      <c r="Q28" s="829"/>
      <c r="R28" s="829"/>
      <c r="S28" s="829"/>
      <c r="T28" s="829"/>
      <c r="U28" s="829"/>
      <c r="V28" s="829"/>
      <c r="W28" s="829"/>
      <c r="X28" s="829"/>
      <c r="Y28" s="829"/>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row>
    <row r="29" spans="2:86" ht="48" customHeight="1" x14ac:dyDescent="0.25">
      <c r="B29" s="143"/>
      <c r="H29" s="804" t="s">
        <v>333</v>
      </c>
      <c r="I29" s="815" t="str">
        <f>I62</f>
        <v>Moderado</v>
      </c>
      <c r="J29" s="815"/>
      <c r="K29" s="816" t="s">
        <v>244</v>
      </c>
      <c r="L29" s="796"/>
      <c r="M29" s="793" t="str">
        <f>IF(K29="El control se ejecuta de manera consistente por parte del responsable","Fuerte",IF(K29="El control se ejecuta algunas veces por parte del responsable.","Moderado","Débil"))</f>
        <v>Fuerte</v>
      </c>
      <c r="N29" s="815"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815" t="str">
        <f>IF(N29="Fuerte","NO","SI")</f>
        <v>SI</v>
      </c>
      <c r="P29" s="829"/>
      <c r="Q29" s="829"/>
      <c r="R29" s="146"/>
      <c r="S29" s="146"/>
      <c r="T29" s="146"/>
      <c r="U29" s="146"/>
      <c r="V29" s="146"/>
      <c r="W29" s="146"/>
      <c r="X29" s="146"/>
      <c r="Y29" s="146"/>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row>
    <row r="30" spans="2:86" ht="48" customHeight="1" x14ac:dyDescent="0.25">
      <c r="B30" s="143"/>
      <c r="H30" s="805"/>
      <c r="I30" s="815"/>
      <c r="J30" s="815"/>
      <c r="K30" s="817"/>
      <c r="L30" s="797"/>
      <c r="M30" s="794"/>
      <c r="N30" s="815"/>
      <c r="O30" s="815"/>
      <c r="P30" s="829"/>
      <c r="Q30" s="829"/>
      <c r="R30" s="146"/>
      <c r="S30" s="146"/>
      <c r="T30" s="146"/>
      <c r="U30" s="146"/>
      <c r="V30" s="146"/>
      <c r="W30" s="146"/>
      <c r="X30" s="146"/>
      <c r="Y30" s="146"/>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row>
    <row r="31" spans="2:86" ht="48" customHeight="1" x14ac:dyDescent="0.25">
      <c r="B31" s="143"/>
      <c r="H31" s="805"/>
      <c r="I31" s="815"/>
      <c r="J31" s="815"/>
      <c r="K31" s="817"/>
      <c r="L31" s="797"/>
      <c r="M31" s="794"/>
      <c r="N31" s="815"/>
      <c r="O31" s="815"/>
      <c r="P31" s="829"/>
      <c r="Q31" s="829"/>
      <c r="R31" s="146"/>
      <c r="S31" s="146"/>
      <c r="T31" s="146"/>
      <c r="U31" s="146"/>
      <c r="V31" s="146"/>
      <c r="W31" s="146"/>
      <c r="X31" s="146"/>
      <c r="Y31" s="146"/>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row>
    <row r="32" spans="2:86" ht="75" customHeight="1" x14ac:dyDescent="0.25">
      <c r="B32" s="143"/>
      <c r="H32" s="806"/>
      <c r="I32" s="815"/>
      <c r="J32" s="815"/>
      <c r="K32" s="818"/>
      <c r="L32" s="819"/>
      <c r="M32" s="795"/>
      <c r="N32" s="815"/>
      <c r="O32" s="815"/>
      <c r="P32" s="829"/>
      <c r="Q32" s="829"/>
    </row>
    <row r="33" spans="2:88" ht="37.5" customHeight="1" x14ac:dyDescent="0.25">
      <c r="B33" s="143"/>
      <c r="H33" s="820"/>
      <c r="I33" s="815">
        <f>K62</f>
        <v>0</v>
      </c>
      <c r="J33" s="815"/>
      <c r="K33" s="816"/>
      <c r="L33" s="796"/>
      <c r="M33" s="793" t="str">
        <f>IF(K33="El control se ejecuta de manera consistente por parte del responsable","Fuerte",IF(K33="El control se ejecuta algunas veces por parte del responsable.","Moderado","Débil"))</f>
        <v>Débil</v>
      </c>
      <c r="N33" s="815"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815" t="str">
        <f>IF(N33="Fuerte","NO","SI")</f>
        <v>SI</v>
      </c>
      <c r="P33" s="829"/>
      <c r="Q33" s="829"/>
    </row>
    <row r="34" spans="2:88" ht="37.5" customHeight="1" x14ac:dyDescent="0.25">
      <c r="B34" s="143"/>
      <c r="H34" s="820"/>
      <c r="I34" s="815"/>
      <c r="J34" s="815"/>
      <c r="K34" s="817"/>
      <c r="L34" s="797"/>
      <c r="M34" s="794"/>
      <c r="N34" s="815"/>
      <c r="O34" s="815"/>
      <c r="P34" s="829"/>
      <c r="Q34" s="829"/>
    </row>
    <row r="35" spans="2:88" ht="37.5" customHeight="1" x14ac:dyDescent="0.25">
      <c r="B35" s="143"/>
      <c r="H35" s="820"/>
      <c r="I35" s="815"/>
      <c r="J35" s="815"/>
      <c r="K35" s="817"/>
      <c r="L35" s="797"/>
      <c r="M35" s="794"/>
      <c r="N35" s="815"/>
      <c r="O35" s="815"/>
      <c r="P35" s="829"/>
      <c r="Q35" s="829"/>
    </row>
    <row r="36" spans="2:88" ht="37.5" customHeight="1" x14ac:dyDescent="0.25">
      <c r="B36" s="143"/>
      <c r="H36" s="820"/>
      <c r="I36" s="815"/>
      <c r="J36" s="815"/>
      <c r="K36" s="818"/>
      <c r="L36" s="819"/>
      <c r="M36" s="795"/>
      <c r="N36" s="815"/>
      <c r="O36" s="815"/>
      <c r="P36" s="829"/>
      <c r="Q36" s="829"/>
    </row>
    <row r="37" spans="2:88" ht="15" customHeight="1" x14ac:dyDescent="0.25">
      <c r="B37" s="143"/>
    </row>
    <row r="38" spans="2:88" ht="15" customHeight="1" x14ac:dyDescent="0.25">
      <c r="B38" s="143"/>
    </row>
    <row r="39" spans="2:88" x14ac:dyDescent="0.25">
      <c r="B39" s="143"/>
    </row>
    <row r="40" spans="2:88" ht="15" customHeight="1" x14ac:dyDescent="0.25">
      <c r="B40" s="143"/>
      <c r="M40" s="821" t="s">
        <v>246</v>
      </c>
      <c r="N40" s="821"/>
      <c r="O40" s="821"/>
      <c r="P40" s="821"/>
      <c r="Q40" s="821"/>
    </row>
    <row r="41" spans="2:88" ht="15" customHeight="1" x14ac:dyDescent="0.25">
      <c r="B41" s="143"/>
      <c r="D41" s="823" t="s">
        <v>334</v>
      </c>
      <c r="E41" s="824"/>
      <c r="F41" s="824"/>
      <c r="G41" s="824"/>
      <c r="H41" s="824"/>
      <c r="I41" s="824"/>
      <c r="J41" s="824"/>
      <c r="K41" s="825"/>
      <c r="M41" s="822"/>
      <c r="N41" s="822"/>
      <c r="O41" s="822"/>
      <c r="P41" s="822"/>
      <c r="Q41" s="822"/>
    </row>
    <row r="42" spans="2:88" ht="15" customHeight="1" x14ac:dyDescent="0.25">
      <c r="B42" s="143"/>
    </row>
    <row r="43" spans="2:88" ht="15" customHeight="1" x14ac:dyDescent="0.25">
      <c r="B43" s="143"/>
      <c r="F43" s="540" t="s">
        <v>250</v>
      </c>
      <c r="G43" s="541"/>
      <c r="H43" s="540" t="s">
        <v>251</v>
      </c>
      <c r="I43" s="541"/>
      <c r="J43" s="540" t="s">
        <v>252</v>
      </c>
      <c r="K43" s="541"/>
      <c r="M43" s="826" t="s">
        <v>253</v>
      </c>
      <c r="N43" s="826" t="s">
        <v>335</v>
      </c>
      <c r="O43" s="826" t="s">
        <v>254</v>
      </c>
      <c r="P43" s="826" t="s">
        <v>255</v>
      </c>
      <c r="Q43" s="826" t="s">
        <v>256</v>
      </c>
    </row>
    <row r="44" spans="2:88" x14ac:dyDescent="0.25">
      <c r="B44" s="143"/>
      <c r="D44" s="153" t="s">
        <v>258</v>
      </c>
      <c r="E44" s="153" t="s">
        <v>259</v>
      </c>
      <c r="F44" s="153" t="s">
        <v>260</v>
      </c>
      <c r="G44" s="153" t="s">
        <v>261</v>
      </c>
      <c r="H44" s="153" t="s">
        <v>260</v>
      </c>
      <c r="I44" s="153" t="s">
        <v>261</v>
      </c>
      <c r="J44" s="153" t="s">
        <v>260</v>
      </c>
      <c r="K44" s="153" t="s">
        <v>261</v>
      </c>
      <c r="M44" s="827"/>
      <c r="N44" s="827"/>
      <c r="O44" s="827"/>
      <c r="P44" s="827"/>
      <c r="Q44" s="827"/>
    </row>
    <row r="45" spans="2:88" x14ac:dyDescent="0.25">
      <c r="B45" s="143"/>
      <c r="D45" s="800" t="s">
        <v>263</v>
      </c>
      <c r="E45" s="812" t="s">
        <v>264</v>
      </c>
      <c r="F45" s="790" t="s">
        <v>265</v>
      </c>
      <c r="G45" s="793">
        <f>IF(F45=[4]Listas!$S$2,15,IF(F45=[4]Listas!$S$3,0,""))</f>
        <v>15</v>
      </c>
      <c r="H45" s="790" t="s">
        <v>265</v>
      </c>
      <c r="I45" s="793">
        <f>IF(H45=[4]Listas!$S$2,15,IF(H45=[4]Listas!$S$3,0,""))</f>
        <v>15</v>
      </c>
      <c r="J45" s="790"/>
      <c r="K45" s="793" t="str">
        <f>IF(J45=[4]Listas!$S$2,15,IF(J45=[4]Listas!$S$3,0,""))</f>
        <v/>
      </c>
      <c r="M45" s="828"/>
      <c r="N45" s="828"/>
      <c r="O45" s="828"/>
      <c r="P45" s="828"/>
      <c r="Q45" s="828"/>
    </row>
    <row r="46" spans="2:88" ht="37.5" customHeight="1" x14ac:dyDescent="0.25">
      <c r="B46" s="143"/>
      <c r="D46" s="808"/>
      <c r="E46" s="813"/>
      <c r="F46" s="792"/>
      <c r="G46" s="795"/>
      <c r="H46" s="792"/>
      <c r="I46" s="795"/>
      <c r="J46" s="792"/>
      <c r="K46" s="795"/>
      <c r="M46" s="160" t="s">
        <v>267</v>
      </c>
      <c r="N46" s="160" t="s">
        <v>268</v>
      </c>
      <c r="O46" s="160" t="s">
        <v>268</v>
      </c>
      <c r="P46" s="160">
        <v>2</v>
      </c>
      <c r="Q46" s="160">
        <v>2</v>
      </c>
      <c r="CJ46" s="156"/>
    </row>
    <row r="47" spans="2:88" ht="37.5" customHeight="1" x14ac:dyDescent="0.25">
      <c r="B47" s="143"/>
      <c r="D47" s="808"/>
      <c r="E47" s="814" t="s">
        <v>270</v>
      </c>
      <c r="F47" s="790" t="s">
        <v>271</v>
      </c>
      <c r="G47" s="793">
        <f>IF(F47=[4]Listas!$S$4,15,IF(F47=[4]Listas!$S$5,0,""))</f>
        <v>15</v>
      </c>
      <c r="H47" s="790" t="s">
        <v>271</v>
      </c>
      <c r="I47" s="793">
        <f>IF(H47=[4]Listas!$S$4,15,IF(H47=[4]Listas!$S$5,0,""))</f>
        <v>15</v>
      </c>
      <c r="J47" s="790"/>
      <c r="K47" s="793" t="str">
        <f>IF(J47=[4]Listas!$S$4,15,IF(J47=[4]Listas!$S$5,0,""))</f>
        <v/>
      </c>
      <c r="M47" s="171" t="s">
        <v>267</v>
      </c>
      <c r="N47" s="171" t="s">
        <v>268</v>
      </c>
      <c r="O47" s="171" t="s">
        <v>272</v>
      </c>
      <c r="P47" s="171">
        <v>2</v>
      </c>
      <c r="Q47" s="171">
        <v>1</v>
      </c>
    </row>
    <row r="48" spans="2:88" ht="37.5" customHeight="1" x14ac:dyDescent="0.25">
      <c r="B48" s="143"/>
      <c r="D48" s="801"/>
      <c r="E48" s="799"/>
      <c r="F48" s="792"/>
      <c r="G48" s="795"/>
      <c r="H48" s="792"/>
      <c r="I48" s="795"/>
      <c r="J48" s="792"/>
      <c r="K48" s="795"/>
      <c r="M48" s="171" t="s">
        <v>267</v>
      </c>
      <c r="N48" s="171" t="s">
        <v>268</v>
      </c>
      <c r="O48" s="171" t="s">
        <v>277</v>
      </c>
      <c r="P48" s="171">
        <v>2</v>
      </c>
      <c r="Q48" s="171">
        <v>0</v>
      </c>
    </row>
    <row r="49" spans="2:23" ht="37.5" customHeight="1" x14ac:dyDescent="0.25">
      <c r="B49" s="143"/>
      <c r="D49" s="809" t="s">
        <v>274</v>
      </c>
      <c r="E49" s="798" t="s">
        <v>275</v>
      </c>
      <c r="F49" s="800" t="s">
        <v>276</v>
      </c>
      <c r="G49" s="793">
        <f>IF(F49=[4]Listas!$S$6,15,IF(F49=[4]Listas!$S$7,0,""))</f>
        <v>15</v>
      </c>
      <c r="H49" s="790" t="s">
        <v>276</v>
      </c>
      <c r="I49" s="793">
        <f>IF(H49=[4]Listas!$S$6,15,IF(H49=[4]Listas!$S$7,0,""))</f>
        <v>15</v>
      </c>
      <c r="J49" s="790"/>
      <c r="K49" s="793" t="str">
        <f>IF(J49=[4]Listas!$S$6,15,IF(J49=[4]Listas!$S$7,0,""))</f>
        <v/>
      </c>
      <c r="M49" s="171" t="s">
        <v>267</v>
      </c>
      <c r="N49" s="171" t="s">
        <v>277</v>
      </c>
      <c r="O49" s="171" t="s">
        <v>268</v>
      </c>
      <c r="P49" s="171">
        <v>0</v>
      </c>
      <c r="Q49" s="171">
        <v>2</v>
      </c>
    </row>
    <row r="50" spans="2:23" ht="37.5" customHeight="1" x14ac:dyDescent="0.25">
      <c r="B50" s="143"/>
      <c r="D50" s="810"/>
      <c r="E50" s="799"/>
      <c r="F50" s="801"/>
      <c r="G50" s="795"/>
      <c r="H50" s="792"/>
      <c r="I50" s="795"/>
      <c r="J50" s="792"/>
      <c r="K50" s="795"/>
      <c r="M50" s="171" t="s">
        <v>283</v>
      </c>
      <c r="N50" s="171" t="s">
        <v>268</v>
      </c>
      <c r="O50" s="171" t="s">
        <v>268</v>
      </c>
      <c r="P50" s="171">
        <v>1</v>
      </c>
      <c r="Q50" s="171">
        <v>1</v>
      </c>
    </row>
    <row r="51" spans="2:23" ht="37.5" customHeight="1" x14ac:dyDescent="0.25">
      <c r="B51" s="143"/>
      <c r="D51" s="809" t="s">
        <v>280</v>
      </c>
      <c r="E51" s="798" t="s">
        <v>281</v>
      </c>
      <c r="F51" s="790" t="s">
        <v>282</v>
      </c>
      <c r="G51" s="793">
        <f>IF(F51=[4]Listas!$S$8,15,IF('[4]Riesgos de gestión'!F51=[4]Listas!$S$9,10,IF('[4]Riesgos de gestión'!F51=[4]Listas!$S$10,0,"")))</f>
        <v>15</v>
      </c>
      <c r="H51" s="790" t="s">
        <v>336</v>
      </c>
      <c r="I51" s="793">
        <f>IF(H51=[4]Listas!$S$8,15,IF(H51=[4]Listas!$S$9,10,IF(H51=[4]Listas!$S$10,0,"")))</f>
        <v>10</v>
      </c>
      <c r="J51" s="790"/>
      <c r="K51" s="793" t="str">
        <f>IF(J51=[4]Listas!$S$8,15,IF(J51=[4]Listas!$S$9,10,IF(J51=[4]Listas!$S$10,0,"")))</f>
        <v/>
      </c>
      <c r="M51" s="171" t="s">
        <v>283</v>
      </c>
      <c r="N51" s="171" t="s">
        <v>268</v>
      </c>
      <c r="O51" s="171" t="s">
        <v>272</v>
      </c>
      <c r="P51" s="171">
        <v>1</v>
      </c>
      <c r="Q51" s="171">
        <v>0</v>
      </c>
    </row>
    <row r="52" spans="2:23" ht="37.5" customHeight="1" x14ac:dyDescent="0.25">
      <c r="B52" s="143"/>
      <c r="D52" s="811"/>
      <c r="E52" s="807"/>
      <c r="F52" s="791"/>
      <c r="G52" s="794"/>
      <c r="H52" s="791"/>
      <c r="I52" s="794"/>
      <c r="J52" s="791"/>
      <c r="K52" s="794"/>
      <c r="M52" s="171" t="s">
        <v>283</v>
      </c>
      <c r="N52" s="171" t="s">
        <v>268</v>
      </c>
      <c r="O52" s="171" t="s">
        <v>277</v>
      </c>
      <c r="P52" s="171">
        <v>1</v>
      </c>
      <c r="Q52" s="171">
        <v>0</v>
      </c>
    </row>
    <row r="53" spans="2:23" ht="37.5" customHeight="1" x14ac:dyDescent="0.25">
      <c r="B53" s="143"/>
      <c r="D53" s="810"/>
      <c r="E53" s="799"/>
      <c r="F53" s="792"/>
      <c r="G53" s="795"/>
      <c r="H53" s="792"/>
      <c r="I53" s="795"/>
      <c r="J53" s="792"/>
      <c r="K53" s="795"/>
      <c r="M53" s="171" t="s">
        <v>283</v>
      </c>
      <c r="N53" s="171" t="s">
        <v>277</v>
      </c>
      <c r="O53" s="171" t="s">
        <v>268</v>
      </c>
      <c r="P53" s="171">
        <v>0</v>
      </c>
      <c r="Q53" s="171">
        <v>1</v>
      </c>
    </row>
    <row r="54" spans="2:23" ht="37.5" customHeight="1" x14ac:dyDescent="0.25">
      <c r="B54" s="143"/>
      <c r="D54" s="809" t="s">
        <v>286</v>
      </c>
      <c r="E54" s="798" t="s">
        <v>287</v>
      </c>
      <c r="F54" s="790" t="s">
        <v>288</v>
      </c>
      <c r="G54" s="793">
        <f>IF(F54=[4]Listas!$S$11,15,IF(F54=[4]Listas!$S$12,0,""))</f>
        <v>15</v>
      </c>
      <c r="H54" s="790" t="s">
        <v>288</v>
      </c>
      <c r="I54" s="793">
        <f>IF(H54=[4]Listas!$S$11,15,IF(H54=[4]Listas!$S$12,0,""))</f>
        <v>15</v>
      </c>
      <c r="J54" s="790"/>
      <c r="K54" s="793" t="str">
        <f>IF(J54=[4]Listas!$S$11,15,IF(J54=[4]Listas!$S$12,0,""))</f>
        <v/>
      </c>
    </row>
    <row r="55" spans="2:23" ht="37.5" customHeight="1" x14ac:dyDescent="0.25">
      <c r="B55" s="143"/>
      <c r="D55" s="810"/>
      <c r="E55" s="799"/>
      <c r="F55" s="792"/>
      <c r="G55" s="795"/>
      <c r="H55" s="792"/>
      <c r="I55" s="795"/>
      <c r="J55" s="792"/>
      <c r="K55" s="795"/>
      <c r="M55" s="802" t="s">
        <v>294</v>
      </c>
      <c r="N55" s="802"/>
      <c r="O55" s="802"/>
      <c r="P55" s="803" t="s">
        <v>295</v>
      </c>
      <c r="Q55" s="803"/>
      <c r="R55" s="803"/>
    </row>
    <row r="56" spans="2:23" ht="37.5" customHeight="1" x14ac:dyDescent="0.25">
      <c r="B56" s="143"/>
      <c r="D56" s="804" t="s">
        <v>291</v>
      </c>
      <c r="E56" s="798" t="s">
        <v>292</v>
      </c>
      <c r="F56" s="790" t="s">
        <v>293</v>
      </c>
      <c r="G56" s="793">
        <f>IF(F56=[4]Listas!$S$13,15,IF(F56=[4]Listas!$S$14,0,""))</f>
        <v>15</v>
      </c>
      <c r="H56" s="800" t="s">
        <v>293</v>
      </c>
      <c r="I56" s="793">
        <f>IF(H56=[4]Listas!$S$13,15,IF(H56=[4]Listas!$S$14,0,""))</f>
        <v>15</v>
      </c>
      <c r="J56" s="790"/>
      <c r="K56" s="793" t="str">
        <f>IF(J56=[4]Listas!$S$13,15,IF(J56=[4]Listas!$S$14,0,""))</f>
        <v/>
      </c>
      <c r="M56" s="802"/>
      <c r="N56" s="802"/>
      <c r="O56" s="802"/>
      <c r="P56" s="803"/>
      <c r="Q56" s="803"/>
      <c r="R56" s="803"/>
      <c r="S56" s="161"/>
      <c r="T56" s="161"/>
      <c r="U56" s="161"/>
      <c r="V56" s="161"/>
      <c r="W56" s="161"/>
    </row>
    <row r="57" spans="2:23" ht="37.5" customHeight="1" x14ac:dyDescent="0.25">
      <c r="B57" s="143"/>
      <c r="D57" s="805"/>
      <c r="E57" s="807"/>
      <c r="F57" s="791"/>
      <c r="G57" s="794"/>
      <c r="H57" s="808"/>
      <c r="I57" s="794"/>
      <c r="J57" s="791"/>
      <c r="K57" s="794"/>
      <c r="M57" s="802"/>
      <c r="N57" s="802"/>
      <c r="O57" s="802"/>
      <c r="P57" s="803"/>
      <c r="Q57" s="803"/>
      <c r="R57" s="803"/>
      <c r="S57" s="161"/>
      <c r="T57" s="161"/>
      <c r="U57" s="161"/>
      <c r="V57" s="161"/>
      <c r="W57" s="161"/>
    </row>
    <row r="58" spans="2:23" ht="37.5" customHeight="1" x14ac:dyDescent="0.25">
      <c r="B58" s="143"/>
      <c r="D58" s="806"/>
      <c r="E58" s="799"/>
      <c r="F58" s="792"/>
      <c r="G58" s="795"/>
      <c r="H58" s="801"/>
      <c r="I58" s="795"/>
      <c r="J58" s="792"/>
      <c r="K58" s="795"/>
      <c r="S58" s="161"/>
      <c r="T58" s="161"/>
      <c r="U58" s="161"/>
      <c r="V58" s="161"/>
      <c r="W58" s="161"/>
    </row>
    <row r="59" spans="2:23" ht="37.5" customHeight="1" x14ac:dyDescent="0.25">
      <c r="B59" s="143"/>
      <c r="D59" s="796" t="s">
        <v>299</v>
      </c>
      <c r="E59" s="798" t="s">
        <v>300</v>
      </c>
      <c r="F59" s="800" t="s">
        <v>301</v>
      </c>
      <c r="G59" s="793">
        <f>IF(F59=[4]Listas!$S$15,10,IF('[4]Riesgos de gestión'!F59=[4]Listas!$S$16,5,IF('[4]Riesgos de gestión'!F59=[4]Listas!$S$17,0,"")))</f>
        <v>10</v>
      </c>
      <c r="H59" s="800" t="s">
        <v>301</v>
      </c>
      <c r="I59" s="793">
        <f>IF(H59=[4]Listas!$S$15,10,IF('[4]Riesgos de gestión'!H59=[4]Listas!$S$16,5,IF('[4]Riesgos de gestión'!H59=[4]Listas!$S$17,0,"")))</f>
        <v>10</v>
      </c>
      <c r="J59" s="790"/>
      <c r="K59" s="793" t="str">
        <f>IF(J59=[4]Listas!$S$15,10,IF('[4]Riesgos de gestión'!J59=[4]Listas!$S$16,5,IF('[4]Riesgos de gestión'!J59=[4]Listas!$S$17,0,"")))</f>
        <v/>
      </c>
      <c r="S59" s="161"/>
      <c r="T59" s="161"/>
      <c r="U59" s="161"/>
      <c r="V59" s="161"/>
      <c r="W59" s="161"/>
    </row>
    <row r="60" spans="2:23" ht="37.5" customHeight="1" x14ac:dyDescent="0.25">
      <c r="D60" s="797"/>
      <c r="E60" s="799"/>
      <c r="F60" s="801"/>
      <c r="G60" s="795"/>
      <c r="H60" s="801"/>
      <c r="I60" s="795"/>
      <c r="J60" s="792"/>
      <c r="K60" s="795"/>
      <c r="S60" s="161"/>
      <c r="T60" s="161"/>
      <c r="U60" s="161"/>
      <c r="V60" s="161"/>
      <c r="W60" s="161"/>
    </row>
    <row r="61" spans="2:23" x14ac:dyDescent="0.25">
      <c r="F61" s="172" t="s">
        <v>304</v>
      </c>
      <c r="G61" s="173">
        <f>SUM(G45:G60)</f>
        <v>100</v>
      </c>
      <c r="H61" s="172" t="s">
        <v>305</v>
      </c>
      <c r="I61" s="173">
        <f>SUM(I45:I60)</f>
        <v>95</v>
      </c>
      <c r="J61" s="172" t="s">
        <v>305</v>
      </c>
      <c r="K61" s="173"/>
      <c r="S61" s="161"/>
      <c r="T61" s="161"/>
      <c r="U61" s="161"/>
      <c r="V61" s="161"/>
      <c r="W61" s="161"/>
    </row>
    <row r="62" spans="2:23" ht="15" customHeight="1" x14ac:dyDescent="0.25">
      <c r="D62" s="785" t="s">
        <v>337</v>
      </c>
      <c r="F62" s="172" t="s">
        <v>307</v>
      </c>
      <c r="G62" s="174" t="str">
        <f>IF(G61&lt;=85,"Débil",IF(G61&lt;=95,"Moderado","Fuerte"))</f>
        <v>Fuerte</v>
      </c>
      <c r="H62" s="172" t="s">
        <v>308</v>
      </c>
      <c r="I62" s="174" t="str">
        <f>IF(I61&lt;=85,"Débil",IF(I61&lt;=95,"Moderado","Fuerte"))</f>
        <v>Moderado</v>
      </c>
      <c r="J62" s="172" t="s">
        <v>308</v>
      </c>
      <c r="K62" s="174"/>
      <c r="S62" s="161"/>
      <c r="T62" s="161"/>
      <c r="U62" s="161"/>
      <c r="V62" s="161"/>
      <c r="W62" s="161"/>
    </row>
    <row r="63" spans="2:23" x14ac:dyDescent="0.25">
      <c r="D63" s="786"/>
      <c r="S63" s="161"/>
      <c r="T63" s="161"/>
      <c r="U63" s="161"/>
      <c r="V63" s="161"/>
      <c r="W63" s="161"/>
    </row>
    <row r="64" spans="2:23" x14ac:dyDescent="0.25">
      <c r="D64" s="786"/>
      <c r="F64" s="154" t="s">
        <v>313</v>
      </c>
      <c r="G64" s="787">
        <f>AVERAGE(G61,I61)</f>
        <v>97.5</v>
      </c>
      <c r="H64" s="788"/>
      <c r="I64" s="788"/>
      <c r="J64" s="788"/>
      <c r="K64" s="789"/>
      <c r="S64" s="161"/>
      <c r="T64" s="161"/>
      <c r="U64" s="161"/>
      <c r="V64" s="161"/>
      <c r="W64" s="161"/>
    </row>
    <row r="65" spans="4:23" x14ac:dyDescent="0.25">
      <c r="D65" s="786"/>
      <c r="F65" s="154" t="s">
        <v>316</v>
      </c>
      <c r="G65" s="787" t="str">
        <f>IF(G64&lt;=85,"Débil",IF(G64&lt;=95,"Moderado","Fuerte"))</f>
        <v>Fuerte</v>
      </c>
      <c r="H65" s="788"/>
      <c r="I65" s="788"/>
      <c r="J65" s="788"/>
      <c r="K65" s="789"/>
      <c r="S65" s="161"/>
      <c r="T65" s="161"/>
      <c r="U65" s="161"/>
      <c r="V65" s="161"/>
      <c r="W65" s="161"/>
    </row>
    <row r="66" spans="4:23" x14ac:dyDescent="0.25">
      <c r="D66" s="786"/>
      <c r="S66" s="161"/>
      <c r="T66" s="161"/>
      <c r="U66" s="161"/>
      <c r="V66" s="161"/>
      <c r="W66" s="161"/>
    </row>
    <row r="67" spans="4:23" x14ac:dyDescent="0.25">
      <c r="D67" s="786"/>
      <c r="R67" s="161"/>
      <c r="S67" s="161"/>
      <c r="T67" s="161"/>
      <c r="U67" s="161"/>
      <c r="V67" s="161"/>
      <c r="W67" s="161"/>
    </row>
    <row r="68" spans="4:23" x14ac:dyDescent="0.25">
      <c r="D68" s="786"/>
      <c r="E68" s="140" t="s">
        <v>310</v>
      </c>
      <c r="R68" s="161"/>
      <c r="S68" s="161"/>
      <c r="T68" s="161"/>
      <c r="U68" s="161"/>
      <c r="V68" s="161"/>
      <c r="W68" s="161"/>
    </row>
    <row r="69" spans="4:23" x14ac:dyDescent="0.25">
      <c r="D69" s="786"/>
      <c r="E69" s="140" t="s">
        <v>312</v>
      </c>
      <c r="R69" s="161"/>
      <c r="S69" s="161"/>
      <c r="T69" s="161"/>
      <c r="U69" s="161"/>
      <c r="V69" s="161"/>
      <c r="W69" s="161"/>
    </row>
    <row r="70" spans="4:23" x14ac:dyDescent="0.25">
      <c r="D70" s="786"/>
      <c r="E70" s="140" t="s">
        <v>315</v>
      </c>
      <c r="R70" s="161"/>
      <c r="S70" s="161"/>
      <c r="T70" s="161"/>
      <c r="U70" s="161"/>
      <c r="V70" s="161"/>
      <c r="W70" s="161"/>
    </row>
    <row r="71" spans="4:23" x14ac:dyDescent="0.25">
      <c r="R71" s="161"/>
      <c r="S71" s="161"/>
      <c r="T71" s="161"/>
      <c r="U71" s="161"/>
      <c r="V71" s="161"/>
      <c r="W71" s="161"/>
    </row>
    <row r="72" spans="4:23" x14ac:dyDescent="0.25">
      <c r="R72" s="161"/>
      <c r="S72" s="161"/>
      <c r="T72" s="161"/>
      <c r="U72" s="161"/>
      <c r="V72" s="161"/>
      <c r="W72" s="161"/>
    </row>
  </sheetData>
  <mergeCells count="163">
    <mergeCell ref="D3:F4"/>
    <mergeCell ref="H3:Y3"/>
    <mergeCell ref="H4:J4"/>
    <mergeCell ref="K4:O4"/>
    <mergeCell ref="P4:S4"/>
    <mergeCell ref="T4:U4"/>
    <mergeCell ref="V4:Y4"/>
    <mergeCell ref="D10:E10"/>
    <mergeCell ref="D7:Y8"/>
    <mergeCell ref="F9:Y9"/>
    <mergeCell ref="F10:Y10"/>
    <mergeCell ref="D11:E11"/>
    <mergeCell ref="G11:Y11"/>
    <mergeCell ref="D13:Y13"/>
    <mergeCell ref="D14:O14"/>
    <mergeCell ref="Q14:Y14"/>
    <mergeCell ref="G5:M5"/>
    <mergeCell ref="N5:Q5"/>
    <mergeCell ref="R5:U5"/>
    <mergeCell ref="V5:Y5"/>
    <mergeCell ref="D9:E9"/>
    <mergeCell ref="T16:T18"/>
    <mergeCell ref="W16:Y18"/>
    <mergeCell ref="E17:H17"/>
    <mergeCell ref="I17:J17"/>
    <mergeCell ref="K17:M17"/>
    <mergeCell ref="E18:H18"/>
    <mergeCell ref="I18:J18"/>
    <mergeCell ref="K18:M18"/>
    <mergeCell ref="E15:H15"/>
    <mergeCell ref="I15:J15"/>
    <mergeCell ref="K15:M15"/>
    <mergeCell ref="W15:Y15"/>
    <mergeCell ref="E16:H16"/>
    <mergeCell ref="I16:J16"/>
    <mergeCell ref="K16:M16"/>
    <mergeCell ref="Q16:Q18"/>
    <mergeCell ref="R16:R18"/>
    <mergeCell ref="S16:S18"/>
    <mergeCell ref="C20:Y20"/>
    <mergeCell ref="D22:G23"/>
    <mergeCell ref="H22:Q22"/>
    <mergeCell ref="R22:Y23"/>
    <mergeCell ref="AA20:AN20"/>
    <mergeCell ref="H23:H24"/>
    <mergeCell ref="I23:J24"/>
    <mergeCell ref="K23:M23"/>
    <mergeCell ref="N23:N24"/>
    <mergeCell ref="O23:O24"/>
    <mergeCell ref="AA22:AB22"/>
    <mergeCell ref="AC22:AE22"/>
    <mergeCell ref="AG22:AH22"/>
    <mergeCell ref="AJ22:AK22"/>
    <mergeCell ref="R24:S24"/>
    <mergeCell ref="T24:U24"/>
    <mergeCell ref="V24:Y24"/>
    <mergeCell ref="AN23:AN26"/>
    <mergeCell ref="AF23:AF26"/>
    <mergeCell ref="AG23:AH26"/>
    <mergeCell ref="AI23:AI26"/>
    <mergeCell ref="AJ23:AK26"/>
    <mergeCell ref="AL23:AL26"/>
    <mergeCell ref="AM23:AM26"/>
    <mergeCell ref="D25:D28"/>
    <mergeCell ref="E25:E28"/>
    <mergeCell ref="F25:G28"/>
    <mergeCell ref="H25:H28"/>
    <mergeCell ref="I25:J28"/>
    <mergeCell ref="K25:L28"/>
    <mergeCell ref="P23:Q24"/>
    <mergeCell ref="F24:G24"/>
    <mergeCell ref="K24:L24"/>
    <mergeCell ref="N29:N32"/>
    <mergeCell ref="O29:O32"/>
    <mergeCell ref="V25:Y28"/>
    <mergeCell ref="AA23:AB26"/>
    <mergeCell ref="AC23:AE26"/>
    <mergeCell ref="M25:M28"/>
    <mergeCell ref="N25:N28"/>
    <mergeCell ref="O25:O28"/>
    <mergeCell ref="P25:Q36"/>
    <mergeCell ref="R25:S28"/>
    <mergeCell ref="T25:U28"/>
    <mergeCell ref="M33:M36"/>
    <mergeCell ref="N33:N36"/>
    <mergeCell ref="O33:O36"/>
    <mergeCell ref="F47:F48"/>
    <mergeCell ref="G47:G48"/>
    <mergeCell ref="H47:H48"/>
    <mergeCell ref="I47:I48"/>
    <mergeCell ref="J47:J48"/>
    <mergeCell ref="H29:H32"/>
    <mergeCell ref="I29:J32"/>
    <mergeCell ref="K29:L32"/>
    <mergeCell ref="M29:M32"/>
    <mergeCell ref="H33:H36"/>
    <mergeCell ref="I33:J36"/>
    <mergeCell ref="K33:L36"/>
    <mergeCell ref="M40:Q41"/>
    <mergeCell ref="D41:K41"/>
    <mergeCell ref="F43:G43"/>
    <mergeCell ref="H43:I43"/>
    <mergeCell ref="J43:K43"/>
    <mergeCell ref="M43:M45"/>
    <mergeCell ref="N43:N45"/>
    <mergeCell ref="O43:O45"/>
    <mergeCell ref="P43:P45"/>
    <mergeCell ref="Q43:Q45"/>
    <mergeCell ref="J45:J46"/>
    <mergeCell ref="K45:K46"/>
    <mergeCell ref="K47:K48"/>
    <mergeCell ref="J49:J50"/>
    <mergeCell ref="K49:K50"/>
    <mergeCell ref="D51:D53"/>
    <mergeCell ref="E51:E53"/>
    <mergeCell ref="F51:F53"/>
    <mergeCell ref="G51:G53"/>
    <mergeCell ref="H51:H53"/>
    <mergeCell ref="I51:I53"/>
    <mergeCell ref="J51:J53"/>
    <mergeCell ref="K51:K53"/>
    <mergeCell ref="D49:D50"/>
    <mergeCell ref="E49:E50"/>
    <mergeCell ref="F49:F50"/>
    <mergeCell ref="G49:G50"/>
    <mergeCell ref="H49:H50"/>
    <mergeCell ref="I49:I50"/>
    <mergeCell ref="D45:D48"/>
    <mergeCell ref="E45:E46"/>
    <mergeCell ref="F45:F46"/>
    <mergeCell ref="G45:G46"/>
    <mergeCell ref="H45:H46"/>
    <mergeCell ref="I45:I46"/>
    <mergeCell ref="E47:E48"/>
    <mergeCell ref="J54:J55"/>
    <mergeCell ref="K54:K55"/>
    <mergeCell ref="M55:O57"/>
    <mergeCell ref="P55:R57"/>
    <mergeCell ref="D56:D58"/>
    <mergeCell ref="E56:E58"/>
    <mergeCell ref="F56:F58"/>
    <mergeCell ref="G56:G58"/>
    <mergeCell ref="H56:H58"/>
    <mergeCell ref="I56:I58"/>
    <mergeCell ref="D54:D55"/>
    <mergeCell ref="E54:E55"/>
    <mergeCell ref="F54:F55"/>
    <mergeCell ref="G54:G55"/>
    <mergeCell ref="H54:H55"/>
    <mergeCell ref="I54:I55"/>
    <mergeCell ref="D62:D70"/>
    <mergeCell ref="G64:K64"/>
    <mergeCell ref="G65:K65"/>
    <mergeCell ref="J56:J58"/>
    <mergeCell ref="K56:K58"/>
    <mergeCell ref="D59:D60"/>
    <mergeCell ref="E59:E60"/>
    <mergeCell ref="F59:F60"/>
    <mergeCell ref="G59:G60"/>
    <mergeCell ref="H59:H60"/>
    <mergeCell ref="I59:I60"/>
    <mergeCell ref="J59:J60"/>
    <mergeCell ref="K59:K60"/>
  </mergeCells>
  <conditionalFormatting sqref="F25">
    <cfRule type="containsText" dxfId="20" priority="8" operator="containsText" text="Extremo">
      <formula>NOT(ISERROR(SEARCH("Extremo",F25)))</formula>
    </cfRule>
    <cfRule type="containsText" dxfId="19" priority="9" operator="containsText" text="Alto">
      <formula>NOT(ISERROR(SEARCH("Alto",F25)))</formula>
    </cfRule>
    <cfRule type="containsText" dxfId="18" priority="10" operator="containsText" text="Moderado">
      <formula>NOT(ISERROR(SEARCH("Moderado",F25)))</formula>
    </cfRule>
    <cfRule type="containsText" dxfId="17" priority="11" operator="containsText" text="Bajo">
      <formula>NOT(ISERROR(SEARCH("Bajo",F25)))</formula>
    </cfRule>
  </conditionalFormatting>
  <conditionalFormatting sqref="P25:Q36">
    <cfRule type="containsText" dxfId="16" priority="1" operator="containsText" text="Fuerte">
      <formula>NOT(ISERROR(SEARCH("Fuerte",P25)))</formula>
    </cfRule>
    <cfRule type="containsText" dxfId="15" priority="2" operator="containsText" text="Moderado">
      <formula>NOT(ISERROR(SEARCH("Moderado",P25)))</formula>
    </cfRule>
    <cfRule type="containsText" dxfId="14" priority="3" operator="containsText" text="Débil">
      <formula>NOT(ISERROR(SEARCH("Débil",P25)))</formula>
    </cfRule>
  </conditionalFormatting>
  <conditionalFormatting sqref="V25">
    <cfRule type="containsText" dxfId="13" priority="4" operator="containsText" text="Extremo">
      <formula>NOT(ISERROR(SEARCH("Extremo",V25)))</formula>
    </cfRule>
    <cfRule type="containsText" dxfId="12" priority="5" operator="containsText" text="Alto">
      <formula>NOT(ISERROR(SEARCH("Alto",V25)))</formula>
    </cfRule>
    <cfRule type="containsText" dxfId="11" priority="6" operator="containsText" text="Moderado">
      <formula>NOT(ISERROR(SEARCH("Moderado",V25)))</formula>
    </cfRule>
    <cfRule type="containsText" dxfId="10" priority="7" operator="containsText" text="Bajo">
      <formula>NOT(ISERROR(SEARCH("Bajo",V25)))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EF624D-2BEF-4AAF-95D0-30235392BA5F}">
          <x14:formula1>
            <xm:f>'Riesgos de segInf'!$G$114:$G$116</xm:f>
          </x14:formula1>
          <xm:sqref>R16:R18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8C48-8FC7-41AE-AE9D-FC6C5E39FF83}">
  <dimension ref="A1:AL154"/>
  <sheetViews>
    <sheetView zoomScale="80" zoomScaleNormal="80" workbookViewId="0">
      <selection activeCell="B1" sqref="B1"/>
    </sheetView>
  </sheetViews>
  <sheetFormatPr baseColWidth="10" defaultRowHeight="15"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s>
  <sheetData>
    <row r="1" spans="1:38" ht="102.75" customHeight="1" x14ac:dyDescent="0.25"/>
    <row r="2" spans="1:38" ht="33.75" customHeight="1" x14ac:dyDescent="0.25"/>
    <row r="4" spans="1:38" ht="15.75" thickBot="1" x14ac:dyDescent="0.3"/>
    <row r="5" spans="1:38" ht="15" customHeight="1" x14ac:dyDescent="0.25">
      <c r="A5" s="898" t="s">
        <v>512</v>
      </c>
      <c r="B5" s="899"/>
      <c r="C5" s="899"/>
      <c r="D5" s="899"/>
      <c r="E5" s="899"/>
      <c r="F5" s="899"/>
      <c r="G5" s="899"/>
      <c r="H5" s="899"/>
      <c r="I5" s="899"/>
      <c r="J5" s="899"/>
      <c r="K5" s="899"/>
      <c r="L5" s="910"/>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row>
    <row r="6" spans="1:38" ht="15.75" customHeight="1" thickBot="1" x14ac:dyDescent="0.3">
      <c r="A6" s="901"/>
      <c r="B6" s="902"/>
      <c r="C6" s="902"/>
      <c r="D6" s="902"/>
      <c r="E6" s="902"/>
      <c r="F6" s="902"/>
      <c r="G6" s="902"/>
      <c r="H6" s="902"/>
      <c r="I6" s="902"/>
      <c r="J6" s="902"/>
      <c r="K6" s="902"/>
      <c r="L6" s="911"/>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row>
    <row r="7" spans="1:38" ht="28.5" thickBot="1" x14ac:dyDescent="0.3">
      <c r="A7" s="294"/>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row>
    <row r="8" spans="1:38" ht="27" customHeight="1" thickBot="1" x14ac:dyDescent="0.3">
      <c r="D8" s="919" t="s">
        <v>456</v>
      </c>
      <c r="E8" s="920"/>
      <c r="F8" s="920"/>
      <c r="G8" s="921"/>
      <c r="H8" s="140"/>
      <c r="I8" s="140"/>
      <c r="J8" s="140"/>
    </row>
    <row r="9" spans="1:38" ht="28.5" customHeight="1" thickBot="1" x14ac:dyDescent="0.3">
      <c r="D9" s="925" t="s">
        <v>398</v>
      </c>
      <c r="E9" s="926"/>
      <c r="F9" s="926"/>
      <c r="G9" s="927"/>
    </row>
    <row r="10" spans="1:38" x14ac:dyDescent="0.25">
      <c r="D10" s="230" t="s">
        <v>394</v>
      </c>
      <c r="E10" s="231" t="s">
        <v>392</v>
      </c>
      <c r="F10" s="231" t="s">
        <v>378</v>
      </c>
      <c r="G10" s="232" t="s">
        <v>393</v>
      </c>
    </row>
    <row r="11" spans="1:38" s="220" customFormat="1" ht="18.75" customHeight="1" x14ac:dyDescent="0.35">
      <c r="D11" s="226" t="s">
        <v>390</v>
      </c>
      <c r="E11" s="258"/>
      <c r="F11" s="258"/>
      <c r="G11" s="259"/>
    </row>
    <row r="12" spans="1:38" s="220" customFormat="1" ht="18" customHeight="1" x14ac:dyDescent="0.35">
      <c r="D12" s="226" t="s">
        <v>391</v>
      </c>
      <c r="E12" s="258"/>
      <c r="F12" s="258"/>
      <c r="G12" s="259"/>
    </row>
    <row r="13" spans="1:38" s="220" customFormat="1" ht="31.5" customHeight="1" x14ac:dyDescent="0.35">
      <c r="D13" s="226" t="s">
        <v>382</v>
      </c>
      <c r="E13" s="258"/>
      <c r="F13" s="258"/>
      <c r="G13" s="259"/>
    </row>
    <row r="14" spans="1:38" s="220" customFormat="1" ht="17.25" customHeight="1" x14ac:dyDescent="0.35">
      <c r="D14" s="226" t="s">
        <v>383</v>
      </c>
      <c r="E14" s="258"/>
      <c r="F14" s="258"/>
      <c r="G14" s="259"/>
    </row>
    <row r="15" spans="1:38" s="220" customFormat="1" ht="31.5" customHeight="1" x14ac:dyDescent="0.35">
      <c r="D15" s="226" t="s">
        <v>384</v>
      </c>
      <c r="E15" s="258"/>
      <c r="F15" s="258"/>
      <c r="G15" s="259"/>
    </row>
    <row r="16" spans="1:38" s="220" customFormat="1" ht="16.5" customHeight="1" x14ac:dyDescent="0.35">
      <c r="D16" s="226" t="s">
        <v>385</v>
      </c>
      <c r="E16" s="258"/>
      <c r="F16" s="258"/>
      <c r="G16" s="259"/>
    </row>
    <row r="17" spans="4:7" s="220" customFormat="1" ht="16.5" customHeight="1" x14ac:dyDescent="0.35">
      <c r="D17" s="226" t="s">
        <v>397</v>
      </c>
      <c r="E17" s="258"/>
      <c r="F17" s="258"/>
      <c r="G17" s="259"/>
    </row>
    <row r="18" spans="4:7" s="220" customFormat="1" ht="31.5" customHeight="1" x14ac:dyDescent="0.35">
      <c r="D18" s="226" t="s">
        <v>386</v>
      </c>
      <c r="E18" s="258"/>
      <c r="F18" s="258"/>
      <c r="G18" s="259"/>
    </row>
    <row r="19" spans="4:7" s="220" customFormat="1" ht="31.5" customHeight="1" x14ac:dyDescent="0.35">
      <c r="D19" s="226" t="s">
        <v>387</v>
      </c>
      <c r="E19" s="258"/>
      <c r="F19" s="258"/>
      <c r="G19" s="259"/>
    </row>
    <row r="20" spans="4:7" s="220" customFormat="1" ht="31.5" customHeight="1" x14ac:dyDescent="0.35">
      <c r="D20" s="226" t="s">
        <v>388</v>
      </c>
      <c r="E20" s="258"/>
      <c r="F20" s="258"/>
      <c r="G20" s="259"/>
    </row>
    <row r="21" spans="4:7" s="220" customFormat="1" ht="31.5" customHeight="1" thickBot="1" x14ac:dyDescent="0.4">
      <c r="D21" s="233" t="s">
        <v>389</v>
      </c>
      <c r="E21" s="260"/>
      <c r="F21" s="260"/>
      <c r="G21" s="261"/>
    </row>
    <row r="22" spans="4:7" ht="15.75" thickBot="1" x14ac:dyDescent="0.3">
      <c r="D22" s="234" t="s">
        <v>396</v>
      </c>
      <c r="E22" s="235">
        <f>COUNTIF(E11:E21,"X")</f>
        <v>0</v>
      </c>
      <c r="F22" s="235">
        <f t="shared" ref="F22:G22" si="0">COUNTIF(F11:F21,"X")</f>
        <v>0</v>
      </c>
      <c r="G22" s="235">
        <f t="shared" si="0"/>
        <v>0</v>
      </c>
    </row>
    <row r="23" spans="4:7" ht="27" thickBot="1" x14ac:dyDescent="0.45">
      <c r="D23" s="255" t="s">
        <v>399</v>
      </c>
      <c r="E23" s="922" t="str">
        <f>IF(E22&lt;=3,"Bajo",IF(E22&lt;=5,"Moderado",IF(E22&lt;=7,"Medio",IF(E22&lt;=9,"Alto","Critico"))))</f>
        <v>Bajo</v>
      </c>
      <c r="F23" s="923"/>
      <c r="G23" s="924"/>
    </row>
    <row r="24" spans="4:7" ht="27" thickBot="1" x14ac:dyDescent="0.45">
      <c r="D24" s="256"/>
      <c r="E24" s="257"/>
      <c r="F24" s="257"/>
      <c r="G24" s="257"/>
    </row>
    <row r="25" spans="4:7" ht="25.5" customHeight="1" thickBot="1" x14ac:dyDescent="0.3">
      <c r="D25" s="919" t="s">
        <v>455</v>
      </c>
      <c r="E25" s="920"/>
      <c r="F25" s="920"/>
      <c r="G25" s="921"/>
    </row>
    <row r="26" spans="4:7" ht="15.75" thickBot="1" x14ac:dyDescent="0.3">
      <c r="D26" s="925" t="s">
        <v>398</v>
      </c>
      <c r="E26" s="926"/>
      <c r="F26" s="926"/>
      <c r="G26" s="927"/>
    </row>
    <row r="27" spans="4:7" ht="15.75" thickBot="1" x14ac:dyDescent="0.3">
      <c r="D27" s="236" t="s">
        <v>394</v>
      </c>
      <c r="E27" s="237" t="s">
        <v>392</v>
      </c>
      <c r="F27" s="237" t="s">
        <v>378</v>
      </c>
      <c r="G27" s="238" t="s">
        <v>393</v>
      </c>
    </row>
    <row r="28" spans="4:7" x14ac:dyDescent="0.25">
      <c r="D28" s="223" t="s">
        <v>400</v>
      </c>
      <c r="E28" s="224"/>
      <c r="F28" s="224"/>
      <c r="G28" s="225"/>
    </row>
    <row r="29" spans="4:7" ht="30" x14ac:dyDescent="0.25">
      <c r="D29" s="226" t="s">
        <v>401</v>
      </c>
      <c r="E29" s="242"/>
      <c r="F29" s="242"/>
      <c r="G29" s="243"/>
    </row>
    <row r="30" spans="4:7" x14ac:dyDescent="0.25">
      <c r="D30" s="239" t="s">
        <v>402</v>
      </c>
      <c r="E30" s="242"/>
      <c r="F30" s="242"/>
      <c r="G30" s="243"/>
    </row>
    <row r="31" spans="4:7" x14ac:dyDescent="0.25">
      <c r="D31" s="226" t="s">
        <v>403</v>
      </c>
      <c r="E31" s="242"/>
      <c r="F31" s="242"/>
      <c r="G31" s="243"/>
    </row>
    <row r="32" spans="4:7" x14ac:dyDescent="0.25">
      <c r="D32" s="226" t="s">
        <v>404</v>
      </c>
      <c r="E32" s="242"/>
      <c r="F32" s="242"/>
      <c r="G32" s="243"/>
    </row>
    <row r="33" spans="4:7" ht="30" x14ac:dyDescent="0.25">
      <c r="D33" s="226" t="s">
        <v>405</v>
      </c>
      <c r="E33" s="242"/>
      <c r="F33" s="242"/>
      <c r="G33" s="243"/>
    </row>
    <row r="34" spans="4:7" ht="30" x14ac:dyDescent="0.25">
      <c r="D34" s="226" t="s">
        <v>406</v>
      </c>
      <c r="E34" s="242"/>
      <c r="F34" s="242"/>
      <c r="G34" s="243"/>
    </row>
    <row r="35" spans="4:7" ht="30" x14ac:dyDescent="0.25">
      <c r="D35" s="226" t="s">
        <v>407</v>
      </c>
      <c r="E35" s="242"/>
      <c r="F35" s="242"/>
      <c r="G35" s="243"/>
    </row>
    <row r="36" spans="4:7" ht="30" x14ac:dyDescent="0.25">
      <c r="D36" s="226" t="s">
        <v>408</v>
      </c>
      <c r="E36" s="242"/>
      <c r="F36" s="242"/>
      <c r="G36" s="243"/>
    </row>
    <row r="37" spans="4:7" ht="30" x14ac:dyDescent="0.25">
      <c r="D37" s="226" t="s">
        <v>416</v>
      </c>
      <c r="E37" s="242"/>
      <c r="F37" s="242"/>
      <c r="G37" s="243"/>
    </row>
    <row r="38" spans="4:7" ht="30" x14ac:dyDescent="0.25">
      <c r="D38" s="226" t="s">
        <v>417</v>
      </c>
      <c r="E38" s="242"/>
      <c r="F38" s="242"/>
      <c r="G38" s="243"/>
    </row>
    <row r="39" spans="4:7" ht="30" x14ac:dyDescent="0.25">
      <c r="D39" s="226" t="s">
        <v>418</v>
      </c>
      <c r="E39" s="242"/>
      <c r="F39" s="242"/>
      <c r="G39" s="243"/>
    </row>
    <row r="40" spans="4:7" ht="30" x14ac:dyDescent="0.25">
      <c r="D40" s="226" t="s">
        <v>409</v>
      </c>
      <c r="E40" s="242"/>
      <c r="F40" s="242"/>
      <c r="G40" s="243"/>
    </row>
    <row r="41" spans="4:7" ht="30" x14ac:dyDescent="0.25">
      <c r="D41" s="226" t="s">
        <v>410</v>
      </c>
      <c r="E41" s="242"/>
      <c r="F41" s="242"/>
      <c r="G41" s="243"/>
    </row>
    <row r="42" spans="4:7" ht="30" x14ac:dyDescent="0.25">
      <c r="D42" s="226" t="s">
        <v>411</v>
      </c>
      <c r="E42" s="242"/>
      <c r="F42" s="242"/>
      <c r="G42" s="243"/>
    </row>
    <row r="43" spans="4:7" ht="30" x14ac:dyDescent="0.25">
      <c r="D43" s="226" t="s">
        <v>412</v>
      </c>
      <c r="E43" s="242"/>
      <c r="F43" s="242"/>
      <c r="G43" s="243"/>
    </row>
    <row r="44" spans="4:7" ht="30" x14ac:dyDescent="0.25">
      <c r="D44" s="226" t="s">
        <v>413</v>
      </c>
      <c r="E44" s="242"/>
      <c r="F44" s="242"/>
      <c r="G44" s="243"/>
    </row>
    <row r="45" spans="4:7" x14ac:dyDescent="0.25">
      <c r="D45" s="239" t="s">
        <v>414</v>
      </c>
      <c r="E45" s="242"/>
      <c r="F45" s="242"/>
      <c r="G45" s="243"/>
    </row>
    <row r="46" spans="4:7" ht="45" x14ac:dyDescent="0.25">
      <c r="D46" s="226" t="s">
        <v>415</v>
      </c>
      <c r="E46" s="242"/>
      <c r="F46" s="242"/>
      <c r="G46" s="243"/>
    </row>
    <row r="47" spans="4:7" ht="45" x14ac:dyDescent="0.25">
      <c r="D47" s="226" t="s">
        <v>419</v>
      </c>
      <c r="E47" s="242"/>
      <c r="F47" s="242"/>
      <c r="G47" s="243"/>
    </row>
    <row r="48" spans="4:7" ht="45" x14ac:dyDescent="0.25">
      <c r="D48" s="226" t="s">
        <v>420</v>
      </c>
      <c r="E48" s="242"/>
      <c r="F48" s="242"/>
      <c r="G48" s="243"/>
    </row>
    <row r="49" spans="1:7" ht="75" x14ac:dyDescent="0.25">
      <c r="D49" s="226" t="s">
        <v>421</v>
      </c>
      <c r="E49" s="242"/>
      <c r="F49" s="242"/>
      <c r="G49" s="243"/>
    </row>
    <row r="50" spans="1:7" ht="30" x14ac:dyDescent="0.25">
      <c r="D50" s="226" t="s">
        <v>422</v>
      </c>
      <c r="E50" s="242"/>
      <c r="F50" s="242"/>
      <c r="G50" s="243"/>
    </row>
    <row r="51" spans="1:7" ht="45" x14ac:dyDescent="0.25">
      <c r="A51" t="s">
        <v>395</v>
      </c>
      <c r="D51" s="226" t="s">
        <v>423</v>
      </c>
      <c r="E51" s="242"/>
      <c r="F51" s="242"/>
      <c r="G51" s="243"/>
    </row>
    <row r="52" spans="1:7" ht="30" x14ac:dyDescent="0.25">
      <c r="A52" t="s">
        <v>377</v>
      </c>
      <c r="D52" s="226" t="s">
        <v>424</v>
      </c>
      <c r="E52" s="242"/>
      <c r="F52" s="242"/>
      <c r="G52" s="243"/>
    </row>
    <row r="53" spans="1:7" ht="45" x14ac:dyDescent="0.25">
      <c r="A53" t="s">
        <v>378</v>
      </c>
      <c r="D53" s="226" t="s">
        <v>425</v>
      </c>
      <c r="E53" s="242"/>
      <c r="F53" s="242"/>
      <c r="G53" s="243"/>
    </row>
    <row r="54" spans="1:7" ht="45" x14ac:dyDescent="0.25">
      <c r="A54" t="s">
        <v>393</v>
      </c>
      <c r="D54" s="226" t="s">
        <v>426</v>
      </c>
      <c r="E54" s="242"/>
      <c r="F54" s="242"/>
      <c r="G54" s="243"/>
    </row>
    <row r="55" spans="1:7" ht="60" x14ac:dyDescent="0.25">
      <c r="D55" s="226" t="s">
        <v>427</v>
      </c>
      <c r="E55" s="242"/>
      <c r="F55" s="242"/>
      <c r="G55" s="243"/>
    </row>
    <row r="56" spans="1:7" ht="30" x14ac:dyDescent="0.25">
      <c r="D56" s="226" t="s">
        <v>428</v>
      </c>
      <c r="E56" s="242"/>
      <c r="F56" s="242"/>
      <c r="G56" s="243"/>
    </row>
    <row r="57" spans="1:7" ht="30" x14ac:dyDescent="0.25">
      <c r="D57" s="226" t="s">
        <v>429</v>
      </c>
      <c r="E57" s="242"/>
      <c r="F57" s="242"/>
      <c r="G57" s="243"/>
    </row>
    <row r="58" spans="1:7" ht="30" x14ac:dyDescent="0.25">
      <c r="D58" s="226" t="s">
        <v>430</v>
      </c>
      <c r="E58" s="242"/>
      <c r="F58" s="242"/>
      <c r="G58" s="243"/>
    </row>
    <row r="59" spans="1:7" ht="30" x14ac:dyDescent="0.25">
      <c r="D59" s="226" t="s">
        <v>431</v>
      </c>
      <c r="E59" s="242"/>
      <c r="F59" s="242"/>
      <c r="G59" s="243"/>
    </row>
    <row r="60" spans="1:7" ht="21.75" customHeight="1" x14ac:dyDescent="0.25">
      <c r="D60" s="239" t="s">
        <v>432</v>
      </c>
      <c r="E60" s="242"/>
      <c r="F60" s="242"/>
      <c r="G60" s="243"/>
    </row>
    <row r="61" spans="1:7" ht="32.25" customHeight="1" x14ac:dyDescent="0.25">
      <c r="D61" s="226" t="s">
        <v>433</v>
      </c>
      <c r="E61" s="242"/>
      <c r="F61" s="242"/>
      <c r="G61" s="243"/>
    </row>
    <row r="62" spans="1:7" ht="30" x14ac:dyDescent="0.25">
      <c r="D62" s="226" t="s">
        <v>434</v>
      </c>
      <c r="E62" s="242"/>
      <c r="F62" s="242"/>
      <c r="G62" s="243"/>
    </row>
    <row r="63" spans="1:7" ht="30" x14ac:dyDescent="0.25">
      <c r="D63" s="226" t="s">
        <v>435</v>
      </c>
      <c r="E63" s="242"/>
      <c r="F63" s="242"/>
      <c r="G63" s="243"/>
    </row>
    <row r="64" spans="1:7" ht="45" x14ac:dyDescent="0.25">
      <c r="D64" s="226" t="s">
        <v>436</v>
      </c>
      <c r="E64" s="242"/>
      <c r="F64" s="242"/>
      <c r="G64" s="243"/>
    </row>
    <row r="65" spans="3:12" ht="30" x14ac:dyDescent="0.25">
      <c r="D65" s="226" t="s">
        <v>437</v>
      </c>
      <c r="E65" s="242"/>
      <c r="F65" s="242"/>
      <c r="G65" s="243"/>
    </row>
    <row r="66" spans="3:12" ht="45" x14ac:dyDescent="0.25">
      <c r="D66" s="226" t="s">
        <v>438</v>
      </c>
      <c r="E66" s="242"/>
      <c r="F66" s="242"/>
      <c r="G66" s="243"/>
    </row>
    <row r="67" spans="3:12" ht="45" x14ac:dyDescent="0.25">
      <c r="D67" s="226" t="s">
        <v>439</v>
      </c>
      <c r="E67" s="242"/>
      <c r="F67" s="242"/>
      <c r="G67" s="243"/>
    </row>
    <row r="68" spans="3:12" ht="30" x14ac:dyDescent="0.25">
      <c r="D68" s="226" t="s">
        <v>440</v>
      </c>
      <c r="E68" s="242"/>
      <c r="F68" s="242"/>
      <c r="G68" s="243"/>
    </row>
    <row r="69" spans="3:12" ht="30" x14ac:dyDescent="0.25">
      <c r="D69" s="226" t="s">
        <v>441</v>
      </c>
      <c r="E69" s="242"/>
      <c r="F69" s="242"/>
      <c r="G69" s="243"/>
    </row>
    <row r="70" spans="3:12" ht="30" x14ac:dyDescent="0.25">
      <c r="D70" s="226" t="s">
        <v>442</v>
      </c>
      <c r="E70" s="242"/>
      <c r="F70" s="242"/>
      <c r="G70" s="243"/>
    </row>
    <row r="71" spans="3:12" ht="30.75" thickBot="1" x14ac:dyDescent="0.3">
      <c r="D71" s="228" t="s">
        <v>443</v>
      </c>
      <c r="E71" s="244"/>
      <c r="F71" s="244"/>
      <c r="G71" s="245"/>
    </row>
    <row r="72" spans="3:12" ht="15.75" thickBot="1" x14ac:dyDescent="0.3">
      <c r="D72" s="234" t="s">
        <v>396</v>
      </c>
      <c r="E72" s="235">
        <f>COUNTIF(E28:E71,"X")</f>
        <v>0</v>
      </c>
      <c r="F72" s="235">
        <f t="shared" ref="F72:G72" si="1">COUNTIF(F28:F71,"X")</f>
        <v>0</v>
      </c>
      <c r="G72" s="235">
        <f t="shared" si="1"/>
        <v>0</v>
      </c>
    </row>
    <row r="73" spans="3:12" ht="30" customHeight="1" thickBot="1" x14ac:dyDescent="0.45">
      <c r="D73" s="253" t="s">
        <v>444</v>
      </c>
      <c r="E73" s="928" t="str">
        <f>IF(E72&lt;=8,"Critico",IF(E72&lt;=17,"Alto",IF(E72&lt;=26,"Medio",IF(E72&lt;=35,"Moderado","Bajo"))))</f>
        <v>Critico</v>
      </c>
      <c r="F73" s="929"/>
      <c r="G73" s="930"/>
    </row>
    <row r="74" spans="3:12" ht="52.5" customHeight="1" thickBot="1" x14ac:dyDescent="0.3">
      <c r="D74" s="254" t="s">
        <v>445</v>
      </c>
      <c r="E74" s="931" t="str">
        <f>VLOOKUP(E73,C150:D154,2,0)</f>
        <v>Urgentemente
Implementar un sistema de administración
de riesgos</v>
      </c>
      <c r="F74" s="932"/>
      <c r="G74" s="933"/>
    </row>
    <row r="79" spans="3:12" ht="15.75" thickBot="1" x14ac:dyDescent="0.3"/>
    <row r="80" spans="3:12" ht="16.5" thickBot="1" x14ac:dyDescent="0.3">
      <c r="C80" s="912" t="s">
        <v>213</v>
      </c>
      <c r="D80" s="913"/>
      <c r="E80" s="913"/>
      <c r="F80" s="913"/>
      <c r="G80" s="913"/>
      <c r="H80" s="913"/>
      <c r="I80" s="913"/>
      <c r="J80" s="913"/>
      <c r="K80" s="913"/>
      <c r="L80" s="914"/>
    </row>
    <row r="81" spans="3:12" ht="18" x14ac:dyDescent="0.25">
      <c r="C81" s="263" t="s">
        <v>457</v>
      </c>
      <c r="D81" s="262" t="s">
        <v>380</v>
      </c>
      <c r="E81" s="937" t="s">
        <v>381</v>
      </c>
      <c r="F81" s="938"/>
      <c r="G81" s="939" t="s">
        <v>458</v>
      </c>
      <c r="H81" s="940"/>
      <c r="I81" s="915" t="s">
        <v>342</v>
      </c>
      <c r="J81" s="915"/>
      <c r="K81" s="915" t="s">
        <v>220</v>
      </c>
      <c r="L81" s="916"/>
    </row>
    <row r="82" spans="3:12" x14ac:dyDescent="0.25">
      <c r="C82" s="239"/>
      <c r="D82" s="222"/>
      <c r="E82" s="934"/>
      <c r="F82" s="935"/>
      <c r="G82" s="446"/>
      <c r="H82" s="446"/>
      <c r="I82" s="446"/>
      <c r="J82" s="446"/>
      <c r="K82" s="446"/>
      <c r="L82" s="936"/>
    </row>
    <row r="83" spans="3:12" x14ac:dyDescent="0.25">
      <c r="C83" s="239"/>
      <c r="D83" s="222"/>
      <c r="E83" s="934"/>
      <c r="F83" s="935"/>
      <c r="G83" s="446"/>
      <c r="H83" s="446"/>
      <c r="I83" s="446"/>
      <c r="J83" s="446"/>
      <c r="K83" s="446"/>
      <c r="L83" s="936"/>
    </row>
    <row r="84" spans="3:12" ht="15.75" thickBot="1" x14ac:dyDescent="0.3">
      <c r="C84" s="240"/>
      <c r="D84" s="241"/>
      <c r="E84" s="941"/>
      <c r="F84" s="942"/>
      <c r="G84" s="943"/>
      <c r="H84" s="943"/>
      <c r="I84" s="943"/>
      <c r="J84" s="943"/>
      <c r="K84" s="943"/>
      <c r="L84" s="944"/>
    </row>
    <row r="138" spans="6:6" x14ac:dyDescent="0.25">
      <c r="F138" s="221"/>
    </row>
    <row r="148" spans="3:11" ht="15.75" thickBot="1" x14ac:dyDescent="0.3"/>
    <row r="149" spans="3:11" ht="27" customHeight="1" thickBot="1" x14ac:dyDescent="0.5">
      <c r="C149" s="917" t="s">
        <v>454</v>
      </c>
      <c r="D149" s="918"/>
      <c r="K149" s="252"/>
    </row>
    <row r="150" spans="3:11" ht="31.5" x14ac:dyDescent="0.35">
      <c r="C150" s="247" t="s">
        <v>446</v>
      </c>
      <c r="D150" s="246" t="s">
        <v>450</v>
      </c>
      <c r="K150" s="180"/>
    </row>
    <row r="151" spans="3:11" ht="31.5" x14ac:dyDescent="0.35">
      <c r="C151" s="250" t="s">
        <v>447</v>
      </c>
      <c r="D151" s="227" t="s">
        <v>449</v>
      </c>
      <c r="K151" s="180"/>
    </row>
    <row r="152" spans="3:11" ht="30.75" x14ac:dyDescent="0.3">
      <c r="C152" s="248" t="s">
        <v>379</v>
      </c>
      <c r="D152" s="227" t="s">
        <v>451</v>
      </c>
      <c r="K152" s="183"/>
    </row>
    <row r="153" spans="3:11" ht="31.5" x14ac:dyDescent="0.35">
      <c r="C153" s="249" t="s">
        <v>376</v>
      </c>
      <c r="D153" s="227" t="s">
        <v>452</v>
      </c>
      <c r="K153" s="179"/>
    </row>
    <row r="154" spans="3:11" ht="45.75" thickBot="1" x14ac:dyDescent="0.3">
      <c r="C154" s="251" t="s">
        <v>448</v>
      </c>
      <c r="D154" s="229" t="s">
        <v>453</v>
      </c>
    </row>
  </sheetData>
  <mergeCells count="26">
    <mergeCell ref="E81:F81"/>
    <mergeCell ref="G81:H81"/>
    <mergeCell ref="I81:J81"/>
    <mergeCell ref="K83:L83"/>
    <mergeCell ref="E84:F84"/>
    <mergeCell ref="G84:H84"/>
    <mergeCell ref="I84:J84"/>
    <mergeCell ref="K84:L84"/>
    <mergeCell ref="E83:F83"/>
    <mergeCell ref="I83:J83"/>
    <mergeCell ref="A5:L6"/>
    <mergeCell ref="C80:L80"/>
    <mergeCell ref="K81:L81"/>
    <mergeCell ref="G83:H83"/>
    <mergeCell ref="C149:D149"/>
    <mergeCell ref="D25:G25"/>
    <mergeCell ref="D8:G8"/>
    <mergeCell ref="E23:G23"/>
    <mergeCell ref="D9:G9"/>
    <mergeCell ref="D26:G26"/>
    <mergeCell ref="E73:G73"/>
    <mergeCell ref="E74:G74"/>
    <mergeCell ref="E82:F82"/>
    <mergeCell ref="G82:H82"/>
    <mergeCell ref="I82:J82"/>
    <mergeCell ref="K82:L82"/>
  </mergeCell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28D047F-277A-4FCE-916F-30B1D716674B}">
            <xm:f>NOT(ISERROR(SEARCH($C$154,E23)))</xm:f>
            <xm:f>$C$154</xm:f>
            <x14:dxf>
              <fill>
                <patternFill>
                  <bgColor rgb="FFFF0000"/>
                </patternFill>
              </fill>
            </x14:dxf>
          </x14:cfRule>
          <x14:cfRule type="containsText" priority="2" operator="containsText" id="{FE380077-2956-498C-9401-48955C025474}">
            <xm:f>NOT(ISERROR(SEARCH($C$153,E23)))</xm:f>
            <xm:f>$C$153</xm:f>
            <x14:dxf>
              <fill>
                <patternFill>
                  <bgColor theme="9" tint="-0.24994659260841701"/>
                </patternFill>
              </fill>
            </x14:dxf>
          </x14:cfRule>
          <x14:cfRule type="containsText" priority="3" operator="containsText" id="{CBEFEB8E-9817-4CB4-B4F5-A62B596A198F}">
            <xm:f>NOT(ISERROR(SEARCH($C$152,E23)))</xm:f>
            <xm:f>$C$152</xm:f>
            <x14:dxf>
              <fill>
                <patternFill>
                  <bgColor theme="2" tint="-0.24994659260841701"/>
                </patternFill>
              </fill>
            </x14:dxf>
          </x14:cfRule>
          <x14:cfRule type="containsText" priority="4" operator="containsText" id="{48B59B6C-7777-4EB5-8B7E-F78B9E7FC79D}">
            <xm:f>NOT(ISERROR(SEARCH($C$151,E23)))</xm:f>
            <xm:f>$C$151</xm:f>
            <x14:dxf>
              <fill>
                <patternFill>
                  <bgColor theme="9" tint="0.59996337778862885"/>
                </patternFill>
              </fill>
            </x14:dxf>
          </x14:cfRule>
          <x14:cfRule type="containsText" priority="5" operator="containsText" id="{4B7C9679-75E4-4E23-9496-06F671764513}">
            <xm:f>NOT(ISERROR(SEARCH($C$150,E23)))</xm:f>
            <xm:f>$C$150</xm:f>
            <x14:dxf>
              <fill>
                <patternFill>
                  <bgColor rgb="FFFFFF00"/>
                </patternFill>
              </fill>
            </x14:dxf>
          </x14:cfRule>
          <xm:sqref>E23:G24</xm:sqref>
        </x14:conditionalFormatting>
        <x14:conditionalFormatting xmlns:xm="http://schemas.microsoft.com/office/excel/2006/main">
          <x14:cfRule type="containsText" priority="6" operator="containsText" id="{5A625724-D68E-4371-9AFD-72C401230C96}">
            <xm:f>NOT(ISERROR(SEARCH($C$154,E73)))</xm:f>
            <xm:f>$C$154</xm:f>
            <x14:dxf>
              <fill>
                <patternFill>
                  <bgColor rgb="FFFF0000"/>
                </patternFill>
              </fill>
            </x14:dxf>
          </x14:cfRule>
          <x14:cfRule type="containsText" priority="7" operator="containsText" id="{18823C9A-F5A1-4D6B-BE16-CF094F4DFAC4}">
            <xm:f>NOT(ISERROR(SEARCH($C$153,E73)))</xm:f>
            <xm:f>$C$153</xm:f>
            <x14:dxf>
              <fill>
                <patternFill>
                  <bgColor theme="9" tint="-0.24994659260841701"/>
                </patternFill>
              </fill>
            </x14:dxf>
          </x14:cfRule>
          <x14:cfRule type="containsText" priority="8" operator="containsText" id="{F3712C52-2290-44E9-90B9-9D6C876851F1}">
            <xm:f>NOT(ISERROR(SEARCH($C$152,E73)))</xm:f>
            <xm:f>$C$152</xm:f>
            <x14:dxf>
              <fill>
                <patternFill>
                  <bgColor theme="2" tint="-0.24994659260841701"/>
                </patternFill>
              </fill>
            </x14:dxf>
          </x14:cfRule>
          <x14:cfRule type="containsText" priority="9" operator="containsText" id="{E0333732-D339-4D02-908B-F7EBA604AD3B}">
            <xm:f>NOT(ISERROR(SEARCH($C$151,E73)))</xm:f>
            <xm:f>$C$151</xm:f>
            <x14:dxf>
              <fill>
                <patternFill>
                  <bgColor theme="9" tint="0.59996337778862885"/>
                </patternFill>
              </fill>
            </x14:dxf>
          </x14:cfRule>
          <x14:cfRule type="containsText" priority="10" operator="containsText" id="{F30D1C36-BC74-4688-9A16-1E4432786235}">
            <xm:f>NOT(ISERROR(SEARCH($C$150,E73)))</xm:f>
            <xm:f>$C$150</xm:f>
            <x14:dxf>
              <fill>
                <patternFill>
                  <bgColor rgb="FFFFFF00"/>
                </patternFill>
              </fill>
            </x14:dxf>
          </x14:cfRule>
          <xm:sqref>E73:G73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K55"/>
  <sheetViews>
    <sheetView zoomScale="41" zoomScaleNormal="41"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83"/>
      <c r="B1" s="945" t="s">
        <v>55</v>
      </c>
      <c r="C1" s="945"/>
      <c r="D1" s="945"/>
      <c r="E1" s="83"/>
      <c r="F1" s="83"/>
      <c r="G1" s="83"/>
      <c r="H1" s="83"/>
      <c r="I1" s="83"/>
      <c r="J1" s="83"/>
      <c r="K1" s="83"/>
      <c r="L1" s="83"/>
      <c r="M1" s="83"/>
      <c r="N1" s="83"/>
      <c r="O1" s="83"/>
      <c r="P1" s="83"/>
      <c r="Q1" s="83"/>
      <c r="R1" s="83"/>
      <c r="S1" s="83"/>
      <c r="T1" s="83"/>
      <c r="U1" s="83"/>
      <c r="V1" s="83"/>
      <c r="W1" s="83"/>
      <c r="X1" s="83"/>
      <c r="Y1" s="83"/>
      <c r="Z1" s="83"/>
      <c r="AA1" s="83"/>
      <c r="AB1" s="83"/>
      <c r="AC1" s="83"/>
      <c r="AD1" s="83"/>
      <c r="AE1" s="83"/>
    </row>
    <row r="2" spans="1:37" x14ac:dyDescent="0.2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7" ht="25.5" x14ac:dyDescent="0.25">
      <c r="A3" s="83"/>
      <c r="B3" s="11"/>
      <c r="C3" s="12" t="s">
        <v>52</v>
      </c>
      <c r="D3" s="12" t="s">
        <v>4</v>
      </c>
      <c r="E3" s="83"/>
      <c r="F3" s="83"/>
      <c r="G3" s="83"/>
      <c r="H3" s="83"/>
      <c r="I3" s="83"/>
      <c r="J3" s="83"/>
      <c r="K3" s="83"/>
      <c r="L3" s="83"/>
      <c r="M3" s="83"/>
      <c r="N3" s="83"/>
      <c r="O3" s="83"/>
      <c r="P3" s="83"/>
      <c r="Q3" s="83"/>
      <c r="R3" s="83"/>
      <c r="S3" s="83"/>
      <c r="T3" s="83"/>
      <c r="U3" s="83"/>
      <c r="V3" s="83"/>
      <c r="W3" s="83"/>
      <c r="X3" s="83"/>
      <c r="Y3" s="83"/>
      <c r="Z3" s="83"/>
      <c r="AA3" s="83"/>
      <c r="AB3" s="83"/>
      <c r="AC3" s="83"/>
      <c r="AD3" s="83"/>
      <c r="AE3" s="83"/>
    </row>
    <row r="4" spans="1:37" ht="51" x14ac:dyDescent="0.25">
      <c r="A4" s="83"/>
      <c r="B4" s="13" t="s">
        <v>51</v>
      </c>
      <c r="C4" s="14" t="s">
        <v>102</v>
      </c>
      <c r="D4" s="15">
        <v>0.2</v>
      </c>
      <c r="E4" s="83"/>
      <c r="F4" s="83"/>
      <c r="G4" s="83"/>
      <c r="H4" s="83"/>
      <c r="I4" s="83"/>
      <c r="J4" s="83"/>
      <c r="K4" s="83"/>
      <c r="L4" s="83"/>
      <c r="M4" s="83"/>
      <c r="N4" s="83"/>
      <c r="O4" s="83"/>
      <c r="P4" s="83"/>
      <c r="Q4" s="83"/>
      <c r="R4" s="83"/>
      <c r="S4" s="83"/>
      <c r="T4" s="83"/>
      <c r="U4" s="83"/>
      <c r="V4" s="83"/>
      <c r="W4" s="83"/>
      <c r="X4" s="83"/>
      <c r="Y4" s="83"/>
      <c r="Z4" s="83"/>
      <c r="AA4" s="83"/>
      <c r="AB4" s="83"/>
      <c r="AC4" s="83"/>
      <c r="AD4" s="83"/>
      <c r="AE4" s="83"/>
    </row>
    <row r="5" spans="1:37" ht="51" x14ac:dyDescent="0.25">
      <c r="A5" s="83"/>
      <c r="B5" s="16" t="s">
        <v>53</v>
      </c>
      <c r="C5" s="17" t="s">
        <v>103</v>
      </c>
      <c r="D5" s="18">
        <v>0.4</v>
      </c>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7" ht="51" x14ac:dyDescent="0.25">
      <c r="A6" s="83"/>
      <c r="B6" s="19" t="s">
        <v>107</v>
      </c>
      <c r="C6" s="17" t="s">
        <v>104</v>
      </c>
      <c r="D6" s="18">
        <v>0.6</v>
      </c>
      <c r="E6" s="83"/>
      <c r="F6" s="83"/>
      <c r="G6" s="83"/>
      <c r="H6" s="83"/>
      <c r="I6" s="83"/>
      <c r="J6" s="83"/>
      <c r="K6" s="83"/>
      <c r="L6" s="83"/>
      <c r="M6" s="83"/>
      <c r="N6" s="83"/>
      <c r="O6" s="83"/>
      <c r="P6" s="83"/>
      <c r="Q6" s="83"/>
      <c r="R6" s="83"/>
      <c r="S6" s="83"/>
      <c r="T6" s="83"/>
      <c r="U6" s="83"/>
      <c r="V6" s="83"/>
      <c r="W6" s="83"/>
      <c r="X6" s="83"/>
      <c r="Y6" s="83"/>
      <c r="Z6" s="83"/>
      <c r="AA6" s="83"/>
      <c r="AB6" s="83"/>
      <c r="AC6" s="83"/>
      <c r="AD6" s="83"/>
      <c r="AE6" s="83"/>
    </row>
    <row r="7" spans="1:37" ht="76.5" x14ac:dyDescent="0.25">
      <c r="A7" s="83"/>
      <c r="B7" s="20" t="s">
        <v>6</v>
      </c>
      <c r="C7" s="17" t="s">
        <v>105</v>
      </c>
      <c r="D7" s="18">
        <v>0.8</v>
      </c>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7" ht="51" x14ac:dyDescent="0.25">
      <c r="A8" s="83"/>
      <c r="B8" s="21" t="s">
        <v>54</v>
      </c>
      <c r="C8" s="17" t="s">
        <v>106</v>
      </c>
      <c r="D8" s="18">
        <v>1</v>
      </c>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7" x14ac:dyDescent="0.25">
      <c r="A9" s="83"/>
      <c r="B9" s="107"/>
      <c r="C9" s="107"/>
      <c r="D9" s="107"/>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6.5" x14ac:dyDescent="0.25">
      <c r="A10" s="83"/>
      <c r="B10" s="108"/>
      <c r="C10" s="107"/>
      <c r="D10" s="107"/>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x14ac:dyDescent="0.25">
      <c r="A11" s="83"/>
      <c r="B11" s="107"/>
      <c r="C11" s="107"/>
      <c r="D11" s="107"/>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x14ac:dyDescent="0.25">
      <c r="A12" s="83"/>
      <c r="B12" s="107"/>
      <c r="C12" s="107"/>
      <c r="D12" s="107"/>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x14ac:dyDescent="0.25">
      <c r="A13" s="83"/>
      <c r="B13" s="107"/>
      <c r="C13" s="107"/>
      <c r="D13" s="107"/>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x14ac:dyDescent="0.25">
      <c r="A14" s="83"/>
      <c r="B14" s="107"/>
      <c r="C14" s="107"/>
      <c r="D14" s="107"/>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x14ac:dyDescent="0.25">
      <c r="A15" s="83"/>
      <c r="B15" s="107"/>
      <c r="C15" s="107"/>
      <c r="D15" s="107"/>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x14ac:dyDescent="0.25">
      <c r="A16" s="83"/>
      <c r="B16" s="107"/>
      <c r="C16" s="107"/>
      <c r="D16" s="10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x14ac:dyDescent="0.25">
      <c r="A17" s="83"/>
      <c r="B17" s="107"/>
      <c r="C17" s="107"/>
      <c r="D17" s="107"/>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x14ac:dyDescent="0.25">
      <c r="A18" s="83"/>
      <c r="B18" s="107"/>
      <c r="C18" s="107"/>
      <c r="D18" s="10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x14ac:dyDescent="0.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x14ac:dyDescent="0.25">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x14ac:dyDescent="0.25">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x14ac:dyDescent="0.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x14ac:dyDescent="0.2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x14ac:dyDescent="0.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x14ac:dyDescent="0.25">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x14ac:dyDescent="0.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x14ac:dyDescent="0.25">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x14ac:dyDescent="0.25">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1" x14ac:dyDescent="0.25">
      <c r="A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row>
    <row r="34" spans="1:31" x14ac:dyDescent="0.25">
      <c r="A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row>
    <row r="35" spans="1:31" x14ac:dyDescent="0.25">
      <c r="A35" s="83"/>
    </row>
    <row r="36" spans="1:31" x14ac:dyDescent="0.25">
      <c r="A36" s="83"/>
    </row>
    <row r="37" spans="1:31" x14ac:dyDescent="0.25">
      <c r="A37" s="83"/>
    </row>
    <row r="38" spans="1:31" x14ac:dyDescent="0.25">
      <c r="A38" s="83"/>
    </row>
    <row r="39" spans="1:31" x14ac:dyDescent="0.25">
      <c r="A39" s="83"/>
    </row>
    <row r="40" spans="1:31" x14ac:dyDescent="0.25">
      <c r="A40" s="83"/>
    </row>
    <row r="41" spans="1:31" x14ac:dyDescent="0.25">
      <c r="A41" s="83"/>
    </row>
    <row r="42" spans="1:31" x14ac:dyDescent="0.25">
      <c r="A42" s="83"/>
    </row>
    <row r="43" spans="1:31" x14ac:dyDescent="0.25">
      <c r="A43" s="83"/>
    </row>
    <row r="44" spans="1:31" x14ac:dyDescent="0.25">
      <c r="A44" s="83"/>
    </row>
    <row r="45" spans="1:31" x14ac:dyDescent="0.25">
      <c r="A45" s="83"/>
    </row>
    <row r="46" spans="1:31" x14ac:dyDescent="0.25">
      <c r="A46" s="83"/>
    </row>
    <row r="47" spans="1:31" x14ac:dyDescent="0.25">
      <c r="A47" s="83"/>
    </row>
    <row r="48" spans="1:31"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sheetData>
  <mergeCells count="1">
    <mergeCell ref="B1:D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U232"/>
  <sheetViews>
    <sheetView zoomScale="48" zoomScaleNormal="48" workbookViewId="0">
      <selection activeCell="D5" sqref="D5"/>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83"/>
      <c r="B1" s="946" t="s">
        <v>63</v>
      </c>
      <c r="C1" s="946"/>
      <c r="D1" s="946"/>
      <c r="E1" s="83"/>
      <c r="F1" s="83"/>
      <c r="G1" s="83"/>
      <c r="H1" s="83"/>
      <c r="I1" s="83"/>
      <c r="J1" s="83"/>
      <c r="K1" s="83"/>
      <c r="L1" s="83"/>
      <c r="M1" s="83"/>
      <c r="N1" s="83"/>
      <c r="O1" s="83"/>
      <c r="P1" s="83"/>
      <c r="Q1" s="83"/>
      <c r="R1" s="83"/>
      <c r="S1" s="83"/>
      <c r="T1" s="83"/>
      <c r="U1" s="83"/>
    </row>
    <row r="2" spans="1:21" x14ac:dyDescent="0.25">
      <c r="A2" s="83"/>
      <c r="B2" s="83"/>
      <c r="C2" s="83"/>
      <c r="D2" s="83"/>
      <c r="E2" s="83"/>
      <c r="F2" s="83"/>
      <c r="G2" s="83"/>
      <c r="H2" s="83"/>
      <c r="I2" s="83"/>
      <c r="J2" s="83"/>
      <c r="K2" s="83"/>
      <c r="L2" s="83"/>
      <c r="M2" s="83"/>
      <c r="N2" s="83"/>
      <c r="O2" s="83"/>
      <c r="P2" s="83"/>
      <c r="Q2" s="83"/>
      <c r="R2" s="83"/>
      <c r="S2" s="83"/>
      <c r="T2" s="83"/>
      <c r="U2" s="83"/>
    </row>
    <row r="3" spans="1:21" ht="30" x14ac:dyDescent="0.25">
      <c r="A3" s="83"/>
      <c r="B3" s="104"/>
      <c r="C3" s="36" t="s">
        <v>56</v>
      </c>
      <c r="D3" s="36" t="s">
        <v>57</v>
      </c>
      <c r="E3" s="83"/>
      <c r="F3" s="83"/>
      <c r="G3" s="83"/>
      <c r="H3" s="83"/>
      <c r="I3" s="83"/>
      <c r="J3" s="83"/>
      <c r="K3" s="83"/>
      <c r="L3" s="83"/>
      <c r="M3" s="83"/>
      <c r="N3" s="83"/>
      <c r="O3" s="83"/>
      <c r="P3" s="83"/>
      <c r="Q3" s="83"/>
      <c r="R3" s="83"/>
      <c r="S3" s="83"/>
      <c r="T3" s="83"/>
      <c r="U3" s="83"/>
    </row>
    <row r="4" spans="1:21" ht="52.5" customHeight="1" x14ac:dyDescent="0.25">
      <c r="A4" s="103" t="s">
        <v>83</v>
      </c>
      <c r="B4" s="39" t="s">
        <v>101</v>
      </c>
      <c r="C4" s="44" t="s">
        <v>158</v>
      </c>
      <c r="D4" s="37" t="s">
        <v>97</v>
      </c>
      <c r="E4" s="83"/>
      <c r="F4" s="83"/>
      <c r="G4" s="83"/>
      <c r="H4" s="83"/>
      <c r="I4" s="83"/>
      <c r="J4" s="83"/>
      <c r="K4" s="83"/>
      <c r="L4" s="83"/>
      <c r="M4" s="83"/>
      <c r="N4" s="83"/>
      <c r="O4" s="83"/>
      <c r="P4" s="83"/>
      <c r="Q4" s="83"/>
      <c r="R4" s="83"/>
      <c r="S4" s="83"/>
      <c r="T4" s="83"/>
      <c r="U4" s="83"/>
    </row>
    <row r="5" spans="1:21" ht="111.75" customHeight="1" x14ac:dyDescent="0.25">
      <c r="A5" s="103" t="s">
        <v>84</v>
      </c>
      <c r="B5" s="40" t="s">
        <v>59</v>
      </c>
      <c r="C5" s="45" t="s">
        <v>93</v>
      </c>
      <c r="D5" s="38" t="s">
        <v>554</v>
      </c>
      <c r="E5" s="83"/>
      <c r="F5" s="83"/>
      <c r="G5" s="83"/>
      <c r="H5" s="83"/>
      <c r="I5" s="83"/>
      <c r="J5" s="83"/>
      <c r="K5" s="83"/>
      <c r="L5" s="83"/>
      <c r="M5" s="83"/>
      <c r="N5" s="83"/>
      <c r="O5" s="83"/>
      <c r="P5" s="83"/>
      <c r="Q5" s="83"/>
      <c r="R5" s="83"/>
      <c r="S5" s="83"/>
      <c r="T5" s="83"/>
      <c r="U5" s="83"/>
    </row>
    <row r="6" spans="1:21" ht="67.5" x14ac:dyDescent="0.25">
      <c r="A6" s="103" t="s">
        <v>81</v>
      </c>
      <c r="B6" s="41" t="s">
        <v>60</v>
      </c>
      <c r="C6" s="45" t="s">
        <v>94</v>
      </c>
      <c r="D6" s="38" t="s">
        <v>100</v>
      </c>
      <c r="E6" s="83"/>
      <c r="F6" s="83"/>
      <c r="G6" s="83"/>
      <c r="H6" s="83"/>
      <c r="I6" s="83"/>
      <c r="J6" s="83"/>
      <c r="K6" s="83"/>
      <c r="L6" s="83"/>
      <c r="M6" s="83"/>
      <c r="N6" s="83"/>
      <c r="O6" s="83"/>
      <c r="P6" s="83"/>
      <c r="Q6" s="83"/>
      <c r="R6" s="83"/>
      <c r="S6" s="83"/>
      <c r="T6" s="83"/>
      <c r="U6" s="83"/>
    </row>
    <row r="7" spans="1:21" ht="101.25" x14ac:dyDescent="0.25">
      <c r="A7" s="103" t="s">
        <v>7</v>
      </c>
      <c r="B7" s="42" t="s">
        <v>61</v>
      </c>
      <c r="C7" s="45" t="s">
        <v>95</v>
      </c>
      <c r="D7" s="38" t="s">
        <v>99</v>
      </c>
      <c r="E7" s="83"/>
      <c r="F7" s="83"/>
      <c r="G7" s="83"/>
      <c r="H7" s="83"/>
      <c r="I7" s="83"/>
      <c r="J7" s="83"/>
      <c r="K7" s="83"/>
      <c r="L7" s="83"/>
      <c r="M7" s="83"/>
      <c r="N7" s="83"/>
      <c r="O7" s="83"/>
      <c r="P7" s="83"/>
      <c r="Q7" s="83"/>
      <c r="R7" s="83"/>
      <c r="S7" s="83"/>
      <c r="T7" s="83"/>
      <c r="U7" s="83"/>
    </row>
    <row r="8" spans="1:21" ht="67.5" x14ac:dyDescent="0.25">
      <c r="A8" s="103" t="s">
        <v>85</v>
      </c>
      <c r="B8" s="43" t="s">
        <v>62</v>
      </c>
      <c r="C8" s="45" t="s">
        <v>96</v>
      </c>
      <c r="D8" s="38" t="s">
        <v>118</v>
      </c>
      <c r="E8" s="83"/>
      <c r="F8" s="83"/>
      <c r="G8" s="83"/>
      <c r="H8" s="83"/>
      <c r="I8" s="83"/>
      <c r="J8" s="83"/>
      <c r="K8" s="83"/>
      <c r="L8" s="83"/>
      <c r="M8" s="83"/>
      <c r="N8" s="83"/>
      <c r="O8" s="83"/>
      <c r="P8" s="83"/>
      <c r="Q8" s="83"/>
      <c r="R8" s="83"/>
      <c r="S8" s="83"/>
      <c r="T8" s="83"/>
      <c r="U8" s="83"/>
    </row>
    <row r="9" spans="1:21" ht="20.25" x14ac:dyDescent="0.25">
      <c r="A9" s="103"/>
      <c r="B9" s="103"/>
      <c r="C9" s="105"/>
      <c r="D9" s="105"/>
      <c r="E9" s="83"/>
      <c r="F9" s="83"/>
      <c r="G9" s="83"/>
      <c r="H9" s="83"/>
      <c r="I9" s="83"/>
      <c r="J9" s="83"/>
      <c r="K9" s="83"/>
      <c r="L9" s="83"/>
      <c r="M9" s="83"/>
      <c r="N9" s="83"/>
      <c r="O9" s="83"/>
      <c r="P9" s="83"/>
      <c r="Q9" s="83"/>
      <c r="R9" s="83"/>
      <c r="S9" s="83"/>
      <c r="T9" s="83"/>
      <c r="U9" s="83"/>
    </row>
    <row r="10" spans="1:21" ht="16.5" x14ac:dyDescent="0.25">
      <c r="A10" s="103"/>
      <c r="B10" s="106"/>
      <c r="C10" s="106"/>
      <c r="D10" s="106"/>
      <c r="E10" s="83"/>
      <c r="F10" s="83"/>
      <c r="G10" s="83"/>
      <c r="H10" s="83"/>
      <c r="I10" s="83"/>
      <c r="J10" s="83"/>
      <c r="K10" s="83"/>
      <c r="L10" s="83"/>
      <c r="M10" s="83"/>
      <c r="N10" s="83"/>
      <c r="O10" s="83"/>
      <c r="P10" s="83"/>
      <c r="Q10" s="83"/>
      <c r="R10" s="83"/>
      <c r="S10" s="83"/>
      <c r="T10" s="83"/>
      <c r="U10" s="83"/>
    </row>
    <row r="11" spans="1:21" x14ac:dyDescent="0.25">
      <c r="A11" s="103"/>
      <c r="B11" s="103" t="s">
        <v>91</v>
      </c>
      <c r="C11" s="103" t="s">
        <v>146</v>
      </c>
      <c r="D11" s="103" t="s">
        <v>153</v>
      </c>
      <c r="E11" s="83"/>
      <c r="F11" s="83"/>
      <c r="G11" s="83"/>
      <c r="H11" s="83"/>
      <c r="I11" s="83"/>
      <c r="J11" s="83"/>
      <c r="K11" s="83"/>
      <c r="L11" s="83"/>
      <c r="M11" s="83"/>
      <c r="N11" s="83"/>
      <c r="O11" s="83"/>
      <c r="P11" s="83"/>
      <c r="Q11" s="83"/>
      <c r="R11" s="83"/>
      <c r="S11" s="83"/>
      <c r="T11" s="83"/>
      <c r="U11" s="83"/>
    </row>
    <row r="12" spans="1:21" x14ac:dyDescent="0.25">
      <c r="A12" s="103"/>
      <c r="B12" s="103" t="s">
        <v>89</v>
      </c>
      <c r="C12" s="103" t="s">
        <v>150</v>
      </c>
      <c r="D12" s="103" t="s">
        <v>154</v>
      </c>
      <c r="E12" s="83"/>
      <c r="F12" s="83"/>
      <c r="G12" s="83"/>
      <c r="H12" s="83"/>
      <c r="I12" s="83"/>
      <c r="J12" s="83"/>
      <c r="K12" s="83"/>
      <c r="L12" s="83"/>
      <c r="M12" s="83"/>
      <c r="N12" s="83"/>
      <c r="O12" s="83"/>
      <c r="P12" s="83"/>
      <c r="Q12" s="83"/>
      <c r="R12" s="83"/>
      <c r="S12" s="83"/>
      <c r="T12" s="83"/>
      <c r="U12" s="83"/>
    </row>
    <row r="13" spans="1:21" x14ac:dyDescent="0.25">
      <c r="A13" s="103"/>
      <c r="B13" s="103"/>
      <c r="C13" s="103" t="s">
        <v>149</v>
      </c>
      <c r="D13" s="103" t="s">
        <v>155</v>
      </c>
      <c r="E13" s="83"/>
      <c r="F13" s="83"/>
      <c r="G13" s="83"/>
      <c r="H13" s="83"/>
      <c r="I13" s="83"/>
      <c r="J13" s="83"/>
      <c r="K13" s="83"/>
      <c r="L13" s="83"/>
      <c r="M13" s="83"/>
      <c r="N13" s="83"/>
      <c r="O13" s="83"/>
      <c r="P13" s="83"/>
      <c r="Q13" s="83"/>
      <c r="R13" s="83"/>
      <c r="S13" s="83"/>
      <c r="T13" s="83"/>
      <c r="U13" s="83"/>
    </row>
    <row r="14" spans="1:21" x14ac:dyDescent="0.25">
      <c r="A14" s="103"/>
      <c r="B14" s="103"/>
      <c r="C14" s="103" t="s">
        <v>151</v>
      </c>
      <c r="D14" s="103" t="s">
        <v>156</v>
      </c>
      <c r="E14" s="83"/>
      <c r="F14" s="83"/>
      <c r="G14" s="83"/>
      <c r="H14" s="83"/>
      <c r="I14" s="83"/>
      <c r="J14" s="83"/>
      <c r="K14" s="83"/>
      <c r="L14" s="83"/>
      <c r="M14" s="83"/>
      <c r="N14" s="83"/>
      <c r="O14" s="83"/>
      <c r="P14" s="83"/>
      <c r="Q14" s="83"/>
      <c r="R14" s="83"/>
      <c r="S14" s="83"/>
      <c r="T14" s="83"/>
      <c r="U14" s="83"/>
    </row>
    <row r="15" spans="1:21" x14ac:dyDescent="0.25">
      <c r="A15" s="103"/>
      <c r="B15" s="103"/>
      <c r="C15" s="103" t="s">
        <v>152</v>
      </c>
      <c r="D15" s="103" t="s">
        <v>157</v>
      </c>
      <c r="E15" s="83"/>
      <c r="F15" s="83"/>
      <c r="G15" s="83"/>
      <c r="H15" s="83"/>
      <c r="I15" s="83"/>
      <c r="J15" s="83"/>
      <c r="K15" s="83"/>
      <c r="L15" s="83"/>
      <c r="M15" s="83"/>
      <c r="N15" s="83"/>
      <c r="O15" s="83"/>
      <c r="P15" s="83"/>
      <c r="Q15" s="83"/>
      <c r="R15" s="83"/>
      <c r="S15" s="83"/>
      <c r="T15" s="83"/>
      <c r="U15" s="83"/>
    </row>
    <row r="16" spans="1:21" x14ac:dyDescent="0.25">
      <c r="A16" s="103"/>
      <c r="B16" s="103"/>
      <c r="C16" s="103"/>
      <c r="D16" s="103"/>
      <c r="E16" s="83"/>
      <c r="F16" s="83"/>
      <c r="G16" s="83"/>
      <c r="H16" s="83"/>
      <c r="I16" s="83"/>
      <c r="J16" s="83"/>
      <c r="K16" s="83"/>
      <c r="L16" s="83"/>
      <c r="M16" s="83"/>
      <c r="N16" s="83"/>
      <c r="O16" s="83"/>
    </row>
    <row r="17" spans="1:15" x14ac:dyDescent="0.25">
      <c r="A17" s="103"/>
      <c r="B17" s="103"/>
      <c r="C17" s="103"/>
      <c r="D17" s="103"/>
      <c r="E17" s="83"/>
      <c r="F17" s="83"/>
      <c r="G17" s="83"/>
      <c r="H17" s="83"/>
      <c r="I17" s="83"/>
      <c r="J17" s="83"/>
      <c r="K17" s="83"/>
      <c r="L17" s="83"/>
      <c r="M17" s="83"/>
      <c r="N17" s="83"/>
      <c r="O17" s="83"/>
    </row>
    <row r="18" spans="1:15" x14ac:dyDescent="0.25">
      <c r="A18" s="103"/>
      <c r="B18" s="107"/>
      <c r="C18" s="107"/>
      <c r="D18" s="107"/>
      <c r="E18" s="83"/>
      <c r="F18" s="83"/>
      <c r="G18" s="83"/>
      <c r="H18" s="83"/>
      <c r="I18" s="83"/>
      <c r="J18" s="83"/>
      <c r="K18" s="83"/>
      <c r="L18" s="83"/>
      <c r="M18" s="83"/>
      <c r="N18" s="83"/>
      <c r="O18" s="83"/>
    </row>
    <row r="19" spans="1:15" x14ac:dyDescent="0.25">
      <c r="A19" s="103"/>
      <c r="B19" s="107"/>
      <c r="C19" s="107"/>
      <c r="D19" s="107"/>
      <c r="E19" s="83"/>
      <c r="F19" s="83"/>
      <c r="G19" s="83"/>
      <c r="H19" s="83"/>
      <c r="I19" s="83"/>
      <c r="J19" s="83"/>
      <c r="K19" s="83"/>
      <c r="L19" s="83"/>
      <c r="M19" s="83"/>
      <c r="N19" s="83"/>
      <c r="O19" s="83"/>
    </row>
    <row r="20" spans="1:15" x14ac:dyDescent="0.25">
      <c r="A20" s="103"/>
      <c r="B20" s="107"/>
      <c r="C20" s="107"/>
      <c r="D20" s="107"/>
      <c r="E20" s="83"/>
      <c r="F20" s="83"/>
      <c r="G20" s="83"/>
      <c r="H20" s="83"/>
      <c r="I20" s="83"/>
      <c r="J20" s="83"/>
      <c r="K20" s="83"/>
      <c r="L20" s="83"/>
      <c r="M20" s="83"/>
      <c r="N20" s="83"/>
      <c r="O20" s="83"/>
    </row>
    <row r="21" spans="1:15" x14ac:dyDescent="0.25">
      <c r="A21" s="103"/>
      <c r="B21" s="107"/>
      <c r="C21" s="107"/>
      <c r="D21" s="107"/>
      <c r="E21" s="83"/>
      <c r="F21" s="83"/>
      <c r="G21" s="83"/>
      <c r="H21" s="83"/>
      <c r="I21" s="83"/>
      <c r="J21" s="83"/>
      <c r="K21" s="83"/>
      <c r="L21" s="83"/>
      <c r="M21" s="83"/>
      <c r="N21" s="83"/>
      <c r="O21" s="83"/>
    </row>
    <row r="22" spans="1:15" ht="20.25" x14ac:dyDescent="0.25">
      <c r="A22" s="103"/>
      <c r="B22" s="103"/>
      <c r="C22" s="105"/>
      <c r="D22" s="105"/>
      <c r="E22" s="83"/>
      <c r="F22" s="83"/>
      <c r="G22" s="83"/>
      <c r="H22" s="83"/>
      <c r="I22" s="83"/>
      <c r="J22" s="83"/>
      <c r="K22" s="83"/>
      <c r="L22" s="83"/>
      <c r="M22" s="83"/>
      <c r="N22" s="83"/>
      <c r="O22" s="83"/>
    </row>
    <row r="23" spans="1:15" ht="20.25" x14ac:dyDescent="0.25">
      <c r="A23" s="103"/>
      <c r="B23" s="103"/>
      <c r="C23" s="105"/>
      <c r="D23" s="105"/>
      <c r="E23" s="83"/>
      <c r="F23" s="83"/>
      <c r="G23" s="83"/>
      <c r="H23" s="83"/>
      <c r="I23" s="83"/>
      <c r="J23" s="83"/>
      <c r="K23" s="83"/>
      <c r="L23" s="83"/>
      <c r="M23" s="83"/>
      <c r="N23" s="83"/>
      <c r="O23" s="83"/>
    </row>
    <row r="24" spans="1:15" ht="20.25" x14ac:dyDescent="0.25">
      <c r="A24" s="103"/>
      <c r="B24" s="103"/>
      <c r="C24" s="105"/>
      <c r="D24" s="105"/>
      <c r="E24" s="83"/>
      <c r="F24" s="83"/>
      <c r="G24" s="83"/>
      <c r="H24" s="83"/>
      <c r="I24" s="83"/>
      <c r="J24" s="83"/>
      <c r="K24" s="83"/>
      <c r="L24" s="83"/>
      <c r="M24" s="83"/>
      <c r="N24" s="83"/>
      <c r="O24" s="83"/>
    </row>
    <row r="25" spans="1:15" ht="20.25" x14ac:dyDescent="0.25">
      <c r="A25" s="103"/>
      <c r="B25" s="103"/>
      <c r="C25" s="105"/>
      <c r="D25" s="105"/>
      <c r="E25" s="83"/>
      <c r="F25" s="83"/>
      <c r="G25" s="83"/>
      <c r="H25" s="83"/>
      <c r="I25" s="83"/>
      <c r="J25" s="83"/>
      <c r="K25" s="83"/>
      <c r="L25" s="83"/>
      <c r="M25" s="83"/>
      <c r="N25" s="83"/>
      <c r="O25" s="83"/>
    </row>
    <row r="26" spans="1:15" ht="20.25" x14ac:dyDescent="0.25">
      <c r="A26" s="103"/>
      <c r="B26" s="103"/>
      <c r="C26" s="105"/>
      <c r="D26" s="105"/>
      <c r="E26" s="83"/>
      <c r="F26" s="83"/>
      <c r="G26" s="83"/>
      <c r="H26" s="83"/>
      <c r="I26" s="83"/>
      <c r="J26" s="83"/>
      <c r="K26" s="83"/>
      <c r="L26" s="83"/>
      <c r="M26" s="83"/>
      <c r="N26" s="83"/>
      <c r="O26" s="83"/>
    </row>
    <row r="27" spans="1:15" ht="20.25" x14ac:dyDescent="0.25">
      <c r="A27" s="103"/>
      <c r="B27" s="103"/>
      <c r="C27" s="105"/>
      <c r="D27" s="105"/>
      <c r="E27" s="83"/>
      <c r="F27" s="83"/>
      <c r="G27" s="83"/>
      <c r="H27" s="83"/>
      <c r="I27" s="83"/>
      <c r="J27" s="83"/>
      <c r="K27" s="83"/>
      <c r="L27" s="83"/>
      <c r="M27" s="83"/>
      <c r="N27" s="83"/>
      <c r="O27" s="83"/>
    </row>
    <row r="28" spans="1:15" ht="20.25" x14ac:dyDescent="0.25">
      <c r="A28" s="103"/>
      <c r="B28" s="103"/>
      <c r="C28" s="105"/>
      <c r="D28" s="105"/>
      <c r="E28" s="83"/>
      <c r="F28" s="83"/>
      <c r="G28" s="83"/>
      <c r="H28" s="83"/>
      <c r="I28" s="83"/>
      <c r="J28" s="83"/>
      <c r="K28" s="83"/>
      <c r="L28" s="83"/>
      <c r="M28" s="83"/>
      <c r="N28" s="83"/>
      <c r="O28" s="83"/>
    </row>
    <row r="29" spans="1:15" ht="20.25" x14ac:dyDescent="0.25">
      <c r="A29" s="103"/>
      <c r="B29" s="103"/>
      <c r="C29" s="105"/>
      <c r="D29" s="105"/>
      <c r="E29" s="83"/>
      <c r="F29" s="83"/>
      <c r="G29" s="83"/>
      <c r="H29" s="83"/>
      <c r="I29" s="83"/>
      <c r="J29" s="83"/>
      <c r="K29" s="83"/>
      <c r="L29" s="83"/>
      <c r="M29" s="83"/>
      <c r="N29" s="83"/>
      <c r="O29" s="83"/>
    </row>
    <row r="30" spans="1:15" ht="20.25" x14ac:dyDescent="0.25">
      <c r="A30" s="103"/>
      <c r="B30" s="103"/>
      <c r="C30" s="105"/>
      <c r="D30" s="105"/>
      <c r="E30" s="83"/>
      <c r="F30" s="83"/>
      <c r="G30" s="83"/>
      <c r="H30" s="83"/>
      <c r="I30" s="83"/>
      <c r="J30" s="83"/>
      <c r="K30" s="83"/>
      <c r="L30" s="83"/>
      <c r="M30" s="83"/>
      <c r="N30" s="83"/>
      <c r="O30" s="83"/>
    </row>
    <row r="31" spans="1:15" ht="20.25" x14ac:dyDescent="0.25">
      <c r="A31" s="103"/>
      <c r="B31" s="103"/>
      <c r="C31" s="105"/>
      <c r="D31" s="105"/>
      <c r="E31" s="83"/>
      <c r="F31" s="83"/>
      <c r="G31" s="83"/>
      <c r="H31" s="83"/>
      <c r="I31" s="83"/>
      <c r="J31" s="83"/>
      <c r="K31" s="83"/>
      <c r="L31" s="83"/>
      <c r="M31" s="83"/>
      <c r="N31" s="83"/>
      <c r="O31" s="83"/>
    </row>
    <row r="32" spans="1:15" ht="20.25" x14ac:dyDescent="0.25">
      <c r="A32" s="103"/>
      <c r="B32" s="103"/>
      <c r="C32" s="105"/>
      <c r="D32" s="105"/>
      <c r="E32" s="83"/>
      <c r="F32" s="83"/>
      <c r="G32" s="83"/>
      <c r="H32" s="83"/>
      <c r="I32" s="83"/>
      <c r="J32" s="83"/>
      <c r="K32" s="83"/>
      <c r="L32" s="83"/>
      <c r="M32" s="83"/>
      <c r="N32" s="83"/>
      <c r="O32" s="83"/>
    </row>
    <row r="33" spans="1:15" ht="20.25" x14ac:dyDescent="0.25">
      <c r="A33" s="103"/>
      <c r="B33" s="103"/>
      <c r="C33" s="105"/>
      <c r="D33" s="105"/>
      <c r="E33" s="83"/>
      <c r="F33" s="83"/>
      <c r="G33" s="83"/>
      <c r="H33" s="83"/>
      <c r="I33" s="83"/>
      <c r="J33" s="83"/>
      <c r="K33" s="83"/>
      <c r="L33" s="83"/>
      <c r="M33" s="83"/>
      <c r="N33" s="83"/>
      <c r="O33" s="83"/>
    </row>
    <row r="34" spans="1:15" ht="20.25" x14ac:dyDescent="0.25">
      <c r="A34" s="103"/>
      <c r="B34" s="103"/>
      <c r="C34" s="105"/>
      <c r="D34" s="105"/>
      <c r="E34" s="83"/>
      <c r="F34" s="83"/>
      <c r="G34" s="83"/>
      <c r="H34" s="83"/>
      <c r="I34" s="83"/>
      <c r="J34" s="83"/>
      <c r="K34" s="83"/>
      <c r="L34" s="83"/>
      <c r="M34" s="83"/>
      <c r="N34" s="83"/>
      <c r="O34" s="83"/>
    </row>
    <row r="35" spans="1:15" ht="20.25" x14ac:dyDescent="0.25">
      <c r="A35" s="103"/>
      <c r="B35" s="103"/>
      <c r="C35" s="105"/>
      <c r="D35" s="105"/>
      <c r="E35" s="83"/>
      <c r="F35" s="83"/>
      <c r="G35" s="83"/>
      <c r="H35" s="83"/>
      <c r="I35" s="83"/>
      <c r="J35" s="83"/>
      <c r="K35" s="83"/>
      <c r="L35" s="83"/>
      <c r="M35" s="83"/>
      <c r="N35" s="83"/>
      <c r="O35" s="83"/>
    </row>
    <row r="36" spans="1:15" ht="20.25" x14ac:dyDescent="0.25">
      <c r="A36" s="103"/>
      <c r="B36" s="103"/>
      <c r="C36" s="105"/>
      <c r="D36" s="105"/>
      <c r="E36" s="83"/>
      <c r="F36" s="83"/>
      <c r="G36" s="83"/>
      <c r="H36" s="83"/>
      <c r="I36" s="83"/>
      <c r="J36" s="83"/>
      <c r="K36" s="83"/>
      <c r="L36" s="83"/>
      <c r="M36" s="83"/>
      <c r="N36" s="83"/>
      <c r="O36" s="83"/>
    </row>
    <row r="37" spans="1:15" ht="20.25" x14ac:dyDescent="0.25">
      <c r="A37" s="103"/>
      <c r="B37" s="103"/>
      <c r="C37" s="105"/>
      <c r="D37" s="105"/>
      <c r="E37" s="83"/>
      <c r="F37" s="83"/>
      <c r="G37" s="83"/>
      <c r="H37" s="83"/>
      <c r="I37" s="83"/>
      <c r="J37" s="83"/>
      <c r="K37" s="83"/>
      <c r="L37" s="83"/>
      <c r="M37" s="83"/>
      <c r="N37" s="83"/>
      <c r="O37" s="83"/>
    </row>
    <row r="38" spans="1:15" ht="20.25" x14ac:dyDescent="0.25">
      <c r="A38" s="103"/>
      <c r="B38" s="103"/>
      <c r="C38" s="105"/>
      <c r="D38" s="105"/>
      <c r="E38" s="83"/>
      <c r="F38" s="83"/>
      <c r="G38" s="83"/>
      <c r="H38" s="83"/>
      <c r="I38" s="83"/>
      <c r="J38" s="83"/>
      <c r="K38" s="83"/>
      <c r="L38" s="83"/>
      <c r="M38" s="83"/>
      <c r="N38" s="83"/>
      <c r="O38" s="83"/>
    </row>
    <row r="39" spans="1:15" ht="20.25" x14ac:dyDescent="0.25">
      <c r="A39" s="103"/>
      <c r="B39" s="103"/>
      <c r="C39" s="105"/>
      <c r="D39" s="105"/>
      <c r="E39" s="83"/>
      <c r="F39" s="83"/>
      <c r="G39" s="83"/>
      <c r="H39" s="83"/>
      <c r="I39" s="83"/>
      <c r="J39" s="83"/>
      <c r="K39" s="83"/>
      <c r="L39" s="83"/>
      <c r="M39" s="83"/>
      <c r="N39" s="83"/>
      <c r="O39" s="83"/>
    </row>
    <row r="40" spans="1:15" ht="20.25" x14ac:dyDescent="0.25">
      <c r="A40" s="103"/>
      <c r="B40" s="103"/>
      <c r="C40" s="105"/>
      <c r="D40" s="105"/>
      <c r="E40" s="83"/>
      <c r="F40" s="83"/>
      <c r="G40" s="83"/>
      <c r="H40" s="83"/>
      <c r="I40" s="83"/>
      <c r="J40" s="83"/>
      <c r="K40" s="83"/>
      <c r="L40" s="83"/>
      <c r="M40" s="83"/>
      <c r="N40" s="83"/>
      <c r="O40" s="83"/>
    </row>
    <row r="41" spans="1:15" ht="20.25" x14ac:dyDescent="0.25">
      <c r="A41" s="103"/>
      <c r="B41" s="103"/>
      <c r="C41" s="105"/>
      <c r="D41" s="105"/>
      <c r="E41" s="83"/>
      <c r="F41" s="83"/>
      <c r="G41" s="83"/>
      <c r="H41" s="83"/>
      <c r="I41" s="83"/>
      <c r="J41" s="83"/>
      <c r="K41" s="83"/>
      <c r="L41" s="83"/>
      <c r="M41" s="83"/>
      <c r="N41" s="83"/>
      <c r="O41" s="83"/>
    </row>
    <row r="42" spans="1:15" ht="20.25" x14ac:dyDescent="0.25">
      <c r="A42" s="103"/>
      <c r="B42" s="103"/>
      <c r="C42" s="105"/>
      <c r="D42" s="105"/>
      <c r="E42" s="83"/>
      <c r="F42" s="83"/>
      <c r="G42" s="83"/>
      <c r="H42" s="83"/>
      <c r="I42" s="83"/>
      <c r="J42" s="83"/>
      <c r="K42" s="83"/>
      <c r="L42" s="83"/>
      <c r="M42" s="83"/>
      <c r="N42" s="83"/>
      <c r="O42" s="83"/>
    </row>
    <row r="43" spans="1:15" ht="20.25" x14ac:dyDescent="0.25">
      <c r="A43" s="103"/>
      <c r="B43" s="103"/>
      <c r="C43" s="105"/>
      <c r="D43" s="105"/>
      <c r="E43" s="83"/>
      <c r="F43" s="83"/>
      <c r="G43" s="83"/>
      <c r="H43" s="83"/>
      <c r="I43" s="83"/>
      <c r="J43" s="83"/>
      <c r="K43" s="83"/>
      <c r="L43" s="83"/>
      <c r="M43" s="83"/>
      <c r="N43" s="83"/>
      <c r="O43" s="83"/>
    </row>
    <row r="44" spans="1:15" ht="20.25" x14ac:dyDescent="0.25">
      <c r="A44" s="103"/>
      <c r="B44" s="103"/>
      <c r="C44" s="105"/>
      <c r="D44" s="105"/>
      <c r="E44" s="83"/>
      <c r="F44" s="83"/>
      <c r="G44" s="83"/>
      <c r="H44" s="83"/>
      <c r="I44" s="83"/>
      <c r="J44" s="83"/>
      <c r="K44" s="83"/>
      <c r="L44" s="83"/>
      <c r="M44" s="83"/>
      <c r="N44" s="83"/>
      <c r="O44" s="83"/>
    </row>
    <row r="45" spans="1:15" ht="20.25" x14ac:dyDescent="0.25">
      <c r="A45" s="103"/>
      <c r="B45" s="103"/>
      <c r="C45" s="105"/>
      <c r="D45" s="105"/>
      <c r="E45" s="83"/>
      <c r="F45" s="83"/>
      <c r="G45" s="83"/>
      <c r="H45" s="83"/>
      <c r="I45" s="83"/>
      <c r="J45" s="83"/>
      <c r="K45" s="83"/>
      <c r="L45" s="83"/>
      <c r="M45" s="83"/>
      <c r="N45" s="83"/>
      <c r="O45" s="83"/>
    </row>
    <row r="46" spans="1:15" ht="20.25" x14ac:dyDescent="0.25">
      <c r="A46" s="103"/>
      <c r="B46" s="103"/>
      <c r="C46" s="105"/>
      <c r="D46" s="105"/>
      <c r="E46" s="83"/>
      <c r="F46" s="83"/>
      <c r="G46" s="83"/>
      <c r="H46" s="83"/>
      <c r="I46" s="83"/>
      <c r="J46" s="83"/>
      <c r="K46" s="83"/>
      <c r="L46" s="83"/>
      <c r="M46" s="83"/>
      <c r="N46" s="83"/>
      <c r="O46" s="83"/>
    </row>
    <row r="47" spans="1:15" ht="20.25" x14ac:dyDescent="0.25">
      <c r="A47" s="103"/>
      <c r="B47" s="103"/>
      <c r="C47" s="105"/>
      <c r="D47" s="105"/>
      <c r="E47" s="83"/>
      <c r="F47" s="83"/>
      <c r="G47" s="83"/>
      <c r="H47" s="83"/>
      <c r="I47" s="83"/>
      <c r="J47" s="83"/>
      <c r="K47" s="83"/>
      <c r="L47" s="83"/>
      <c r="M47" s="83"/>
      <c r="N47" s="83"/>
      <c r="O47" s="83"/>
    </row>
    <row r="48" spans="1:15" ht="20.25" x14ac:dyDescent="0.25">
      <c r="A48" s="103"/>
      <c r="B48" s="103"/>
      <c r="C48" s="105"/>
      <c r="D48" s="105"/>
      <c r="E48" s="83"/>
      <c r="F48" s="83"/>
      <c r="G48" s="83"/>
      <c r="H48" s="83"/>
      <c r="I48" s="83"/>
      <c r="J48" s="83"/>
      <c r="K48" s="83"/>
      <c r="L48" s="83"/>
      <c r="M48" s="83"/>
      <c r="N48" s="83"/>
      <c r="O48" s="83"/>
    </row>
    <row r="49" spans="1:15" ht="20.25" x14ac:dyDescent="0.25">
      <c r="A49" s="103"/>
      <c r="B49" s="103"/>
      <c r="C49" s="105"/>
      <c r="D49" s="105"/>
      <c r="E49" s="83"/>
      <c r="F49" s="83"/>
      <c r="G49" s="83"/>
      <c r="H49" s="83"/>
      <c r="I49" s="83"/>
      <c r="J49" s="83"/>
      <c r="K49" s="83"/>
      <c r="L49" s="83"/>
      <c r="M49" s="83"/>
      <c r="N49" s="83"/>
      <c r="O49" s="83"/>
    </row>
    <row r="50" spans="1:15" ht="20.25" x14ac:dyDescent="0.25">
      <c r="A50" s="103"/>
      <c r="B50" s="103"/>
      <c r="C50" s="105"/>
      <c r="D50" s="105"/>
      <c r="E50" s="83"/>
      <c r="F50" s="83"/>
      <c r="G50" s="83"/>
      <c r="H50" s="83"/>
      <c r="I50" s="83"/>
      <c r="J50" s="83"/>
      <c r="K50" s="83"/>
      <c r="L50" s="83"/>
      <c r="M50" s="83"/>
      <c r="N50" s="83"/>
      <c r="O50" s="83"/>
    </row>
    <row r="51" spans="1:15" ht="20.25" x14ac:dyDescent="0.25">
      <c r="A51" s="103"/>
      <c r="B51" s="103"/>
      <c r="C51" s="105"/>
      <c r="D51" s="105"/>
      <c r="E51" s="83"/>
      <c r="F51" s="83"/>
      <c r="G51" s="83"/>
      <c r="H51" s="83"/>
      <c r="I51" s="83"/>
      <c r="J51" s="83"/>
      <c r="K51" s="83"/>
      <c r="L51" s="83"/>
      <c r="M51" s="83"/>
      <c r="N51" s="83"/>
      <c r="O51" s="83"/>
    </row>
    <row r="52" spans="1:15" ht="20.25" x14ac:dyDescent="0.25">
      <c r="A52" s="103"/>
      <c r="B52" s="23"/>
      <c r="C52" s="34"/>
      <c r="D52" s="34"/>
    </row>
    <row r="53" spans="1:15" ht="20.25" x14ac:dyDescent="0.25">
      <c r="A53" s="103"/>
      <c r="B53" s="23"/>
      <c r="C53" s="34"/>
      <c r="D53" s="34"/>
    </row>
    <row r="54" spans="1:15" ht="20.25" x14ac:dyDescent="0.25">
      <c r="A54" s="103"/>
      <c r="B54" s="23"/>
      <c r="C54" s="34"/>
      <c r="D54" s="34"/>
    </row>
    <row r="55" spans="1:15" ht="20.25" x14ac:dyDescent="0.25">
      <c r="A55" s="103"/>
      <c r="B55" s="23"/>
      <c r="C55" s="34"/>
      <c r="D55" s="34"/>
    </row>
    <row r="56" spans="1:15" ht="20.25" x14ac:dyDescent="0.25">
      <c r="A56" s="103"/>
      <c r="B56" s="23"/>
      <c r="C56" s="34"/>
      <c r="D56" s="34"/>
    </row>
    <row r="57" spans="1:15" ht="20.25" x14ac:dyDescent="0.25">
      <c r="A57" s="103"/>
      <c r="B57" s="23"/>
      <c r="C57" s="34"/>
      <c r="D57" s="34"/>
    </row>
    <row r="58" spans="1:15" ht="20.25" x14ac:dyDescent="0.25">
      <c r="A58" s="103"/>
      <c r="B58" s="23"/>
      <c r="C58" s="34"/>
      <c r="D58" s="34"/>
    </row>
    <row r="59" spans="1:15" ht="20.25" x14ac:dyDescent="0.25">
      <c r="A59" s="103"/>
      <c r="B59" s="23"/>
      <c r="C59" s="34"/>
      <c r="D59" s="34"/>
    </row>
    <row r="60" spans="1:15" ht="20.25" x14ac:dyDescent="0.25">
      <c r="A60" s="103"/>
      <c r="B60" s="23"/>
      <c r="C60" s="34"/>
      <c r="D60" s="34"/>
    </row>
    <row r="61" spans="1:15" ht="20.25" x14ac:dyDescent="0.25">
      <c r="A61" s="103"/>
      <c r="B61" s="23"/>
      <c r="C61" s="34"/>
      <c r="D61" s="34"/>
    </row>
    <row r="62" spans="1:15" ht="20.25" x14ac:dyDescent="0.25">
      <c r="A62" s="103"/>
      <c r="B62" s="23"/>
      <c r="C62" s="34"/>
      <c r="D62" s="34"/>
    </row>
    <row r="63" spans="1:15" ht="20.25" x14ac:dyDescent="0.25">
      <c r="A63" s="103"/>
      <c r="B63" s="23"/>
      <c r="C63" s="34"/>
      <c r="D63" s="34"/>
    </row>
    <row r="64" spans="1:15" ht="20.25" x14ac:dyDescent="0.25">
      <c r="A64" s="103"/>
      <c r="B64" s="23"/>
      <c r="C64" s="34"/>
      <c r="D64" s="34"/>
    </row>
    <row r="65" spans="1:4" ht="20.25" x14ac:dyDescent="0.25">
      <c r="A65" s="103"/>
      <c r="B65" s="23"/>
      <c r="C65" s="34"/>
      <c r="D65" s="34"/>
    </row>
    <row r="66" spans="1:4" ht="20.25" x14ac:dyDescent="0.25">
      <c r="A66" s="103"/>
      <c r="B66" s="23"/>
      <c r="C66" s="34"/>
      <c r="D66" s="34"/>
    </row>
    <row r="67" spans="1:4" ht="20.25" x14ac:dyDescent="0.25">
      <c r="A67" s="103"/>
      <c r="B67" s="23"/>
      <c r="C67" s="34"/>
      <c r="D67" s="34"/>
    </row>
    <row r="68" spans="1:4" ht="20.25" x14ac:dyDescent="0.25">
      <c r="A68" s="103"/>
      <c r="B68" s="23"/>
      <c r="C68" s="34"/>
      <c r="D68" s="34"/>
    </row>
    <row r="69" spans="1:4" ht="20.25" x14ac:dyDescent="0.25">
      <c r="A69" s="103"/>
      <c r="B69" s="23"/>
      <c r="C69" s="34"/>
      <c r="D69" s="34"/>
    </row>
    <row r="70" spans="1:4" ht="20.25" x14ac:dyDescent="0.25">
      <c r="A70" s="103"/>
      <c r="B70" s="23"/>
      <c r="C70" s="34"/>
      <c r="D70" s="34"/>
    </row>
    <row r="71" spans="1:4" ht="20.25" x14ac:dyDescent="0.25">
      <c r="A71" s="103"/>
      <c r="B71" s="23"/>
      <c r="C71" s="34"/>
      <c r="D71" s="34"/>
    </row>
    <row r="72" spans="1:4" ht="20.25" x14ac:dyDescent="0.25">
      <c r="A72" s="103"/>
      <c r="B72" s="23"/>
      <c r="C72" s="34"/>
      <c r="D72" s="34"/>
    </row>
    <row r="73" spans="1:4" ht="20.25" x14ac:dyDescent="0.25">
      <c r="A73" s="103"/>
      <c r="B73" s="23"/>
      <c r="C73" s="34"/>
      <c r="D73" s="34"/>
    </row>
    <row r="74" spans="1:4" ht="20.25" x14ac:dyDescent="0.25">
      <c r="A74" s="103"/>
      <c r="B74" s="23"/>
      <c r="C74" s="34"/>
      <c r="D74" s="34"/>
    </row>
    <row r="75" spans="1:4" ht="20.25" x14ac:dyDescent="0.25">
      <c r="A75" s="103"/>
      <c r="B75" s="23"/>
      <c r="C75" s="34"/>
      <c r="D75" s="34"/>
    </row>
    <row r="76" spans="1:4" ht="20.25" x14ac:dyDescent="0.25">
      <c r="A76" s="103"/>
      <c r="B76" s="23"/>
      <c r="C76" s="34"/>
      <c r="D76" s="34"/>
    </row>
    <row r="77" spans="1:4" ht="20.25" x14ac:dyDescent="0.25">
      <c r="A77" s="103"/>
      <c r="B77" s="23"/>
      <c r="C77" s="34"/>
      <c r="D77" s="34"/>
    </row>
    <row r="78" spans="1:4" ht="20.25" x14ac:dyDescent="0.25">
      <c r="A78" s="103"/>
      <c r="B78" s="23"/>
      <c r="C78" s="34"/>
      <c r="D78" s="34"/>
    </row>
    <row r="79" spans="1:4" ht="20.25" x14ac:dyDescent="0.25">
      <c r="A79" s="103"/>
      <c r="B79" s="23"/>
      <c r="C79" s="34"/>
      <c r="D79" s="34"/>
    </row>
    <row r="80" spans="1:4" ht="20.25" x14ac:dyDescent="0.25">
      <c r="A80" s="103"/>
      <c r="B80" s="23"/>
      <c r="C80" s="34"/>
      <c r="D80" s="34"/>
    </row>
    <row r="81" spans="1:4" ht="20.25" x14ac:dyDescent="0.25">
      <c r="A81" s="103"/>
      <c r="B81" s="23"/>
      <c r="C81" s="34"/>
      <c r="D81" s="34"/>
    </row>
    <row r="82" spans="1:4" ht="20.25" x14ac:dyDescent="0.25">
      <c r="A82" s="103"/>
      <c r="B82" s="23"/>
      <c r="C82" s="34"/>
      <c r="D82" s="34"/>
    </row>
    <row r="83" spans="1:4" ht="20.25" x14ac:dyDescent="0.25">
      <c r="A83" s="103"/>
      <c r="B83" s="23"/>
      <c r="C83" s="34"/>
      <c r="D83" s="34"/>
    </row>
    <row r="84" spans="1:4" ht="20.25" x14ac:dyDescent="0.25">
      <c r="A84" s="103"/>
      <c r="B84" s="23"/>
      <c r="C84" s="34"/>
      <c r="D84" s="34"/>
    </row>
    <row r="85" spans="1:4" ht="20.25" x14ac:dyDescent="0.25">
      <c r="A85" s="103"/>
      <c r="B85" s="23"/>
      <c r="C85" s="34"/>
      <c r="D85" s="34"/>
    </row>
    <row r="86" spans="1:4" ht="20.25" x14ac:dyDescent="0.25">
      <c r="A86" s="103"/>
      <c r="B86" s="23"/>
      <c r="C86" s="34"/>
      <c r="D86" s="34"/>
    </row>
    <row r="87" spans="1:4" ht="20.25" x14ac:dyDescent="0.25">
      <c r="A87" s="103"/>
      <c r="B87" s="23"/>
      <c r="C87" s="34"/>
      <c r="D87" s="34"/>
    </row>
    <row r="88" spans="1:4" ht="20.25" x14ac:dyDescent="0.25">
      <c r="A88" s="103"/>
      <c r="B88" s="23"/>
      <c r="C88" s="34"/>
      <c r="D88" s="34"/>
    </row>
    <row r="89" spans="1:4" ht="20.25" x14ac:dyDescent="0.25">
      <c r="A89" s="103"/>
      <c r="B89" s="23"/>
      <c r="C89" s="34"/>
      <c r="D89" s="34"/>
    </row>
    <row r="90" spans="1:4" ht="20.25" x14ac:dyDescent="0.25">
      <c r="A90" s="103"/>
      <c r="B90" s="23"/>
      <c r="C90" s="34"/>
      <c r="D90" s="34"/>
    </row>
    <row r="91" spans="1:4" ht="20.25" x14ac:dyDescent="0.25">
      <c r="A91" s="103"/>
      <c r="B91" s="23"/>
      <c r="C91" s="34"/>
      <c r="D91" s="34"/>
    </row>
    <row r="92" spans="1:4" ht="20.25" x14ac:dyDescent="0.25">
      <c r="A92" s="103"/>
      <c r="B92" s="23"/>
      <c r="C92" s="34"/>
      <c r="D92" s="34"/>
    </row>
    <row r="93" spans="1:4" ht="20.25" x14ac:dyDescent="0.25">
      <c r="A93" s="103"/>
      <c r="B93" s="23"/>
      <c r="C93" s="34"/>
      <c r="D93" s="34"/>
    </row>
    <row r="94" spans="1:4" ht="20.25" x14ac:dyDescent="0.25">
      <c r="A94" s="103"/>
      <c r="B94" s="23"/>
      <c r="C94" s="34"/>
      <c r="D94" s="34"/>
    </row>
    <row r="95" spans="1:4" ht="20.25" x14ac:dyDescent="0.25">
      <c r="A95" s="103"/>
      <c r="B95" s="23"/>
      <c r="C95" s="34"/>
      <c r="D95" s="34"/>
    </row>
    <row r="96" spans="1:4" ht="20.25" x14ac:dyDescent="0.25">
      <c r="A96" s="103"/>
      <c r="B96" s="23"/>
      <c r="C96" s="34"/>
      <c r="D96" s="34"/>
    </row>
    <row r="97" spans="1:4" ht="20.25" x14ac:dyDescent="0.25">
      <c r="A97" s="103"/>
      <c r="B97" s="23"/>
      <c r="C97" s="34"/>
      <c r="D97" s="34"/>
    </row>
    <row r="98" spans="1:4" ht="20.25" x14ac:dyDescent="0.25">
      <c r="A98" s="103"/>
      <c r="B98" s="23"/>
      <c r="C98" s="34"/>
      <c r="D98" s="34"/>
    </row>
    <row r="99" spans="1:4" ht="20.25" x14ac:dyDescent="0.25">
      <c r="A99" s="103"/>
      <c r="B99" s="23"/>
      <c r="C99" s="34"/>
      <c r="D99" s="34"/>
    </row>
    <row r="100" spans="1:4" ht="20.25" x14ac:dyDescent="0.25">
      <c r="A100" s="103"/>
      <c r="B100" s="23"/>
      <c r="C100" s="34"/>
      <c r="D100" s="34"/>
    </row>
    <row r="101" spans="1:4" ht="20.25" x14ac:dyDescent="0.25">
      <c r="A101" s="103"/>
      <c r="B101" s="23"/>
      <c r="C101" s="34"/>
      <c r="D101" s="34"/>
    </row>
    <row r="102" spans="1:4" ht="20.25" x14ac:dyDescent="0.25">
      <c r="A102" s="103"/>
      <c r="B102" s="23"/>
      <c r="C102" s="34"/>
      <c r="D102" s="34"/>
    </row>
    <row r="103" spans="1:4" ht="20.25" x14ac:dyDescent="0.25">
      <c r="A103" s="103"/>
      <c r="B103" s="23"/>
      <c r="C103" s="34"/>
      <c r="D103" s="34"/>
    </row>
    <row r="104" spans="1:4" ht="20.25" x14ac:dyDescent="0.25">
      <c r="A104" s="103"/>
      <c r="B104" s="23"/>
      <c r="C104" s="34"/>
      <c r="D104" s="34"/>
    </row>
    <row r="105" spans="1:4" ht="20.25" x14ac:dyDescent="0.25">
      <c r="A105" s="103"/>
      <c r="B105" s="23"/>
      <c r="C105" s="34"/>
      <c r="D105" s="34"/>
    </row>
    <row r="106" spans="1:4" ht="20.25" x14ac:dyDescent="0.25">
      <c r="A106" s="103"/>
      <c r="B106" s="23"/>
      <c r="C106" s="34"/>
      <c r="D106" s="34"/>
    </row>
    <row r="107" spans="1:4" ht="20.25" x14ac:dyDescent="0.25">
      <c r="A107" s="103"/>
      <c r="B107" s="23"/>
      <c r="C107" s="34"/>
      <c r="D107" s="34"/>
    </row>
    <row r="108" spans="1:4" ht="20.25" x14ac:dyDescent="0.25">
      <c r="A108" s="103"/>
      <c r="B108" s="23"/>
      <c r="C108" s="34"/>
      <c r="D108" s="34"/>
    </row>
    <row r="109" spans="1:4" ht="20.25" x14ac:dyDescent="0.25">
      <c r="A109" s="103"/>
      <c r="B109" s="23"/>
      <c r="C109" s="34"/>
      <c r="D109" s="34"/>
    </row>
    <row r="110" spans="1:4" ht="20.25" x14ac:dyDescent="0.25">
      <c r="A110" s="103"/>
      <c r="B110" s="23"/>
      <c r="C110" s="34"/>
      <c r="D110" s="34"/>
    </row>
    <row r="111" spans="1:4" ht="20.25" x14ac:dyDescent="0.25">
      <c r="A111" s="103"/>
      <c r="B111" s="23"/>
      <c r="C111" s="34"/>
      <c r="D111" s="34"/>
    </row>
    <row r="112" spans="1:4" ht="20.25" x14ac:dyDescent="0.25">
      <c r="A112" s="103"/>
      <c r="B112" s="23"/>
      <c r="C112" s="34"/>
      <c r="D112" s="34"/>
    </row>
    <row r="113" spans="1:4" ht="20.25" x14ac:dyDescent="0.25">
      <c r="A113" s="103"/>
      <c r="B113" s="23"/>
      <c r="C113" s="34"/>
      <c r="D113" s="34"/>
    </row>
    <row r="114" spans="1:4" ht="20.25" x14ac:dyDescent="0.25">
      <c r="A114" s="103"/>
      <c r="B114" s="23"/>
      <c r="C114" s="34"/>
      <c r="D114" s="34"/>
    </row>
    <row r="115" spans="1:4" ht="20.25" x14ac:dyDescent="0.25">
      <c r="A115" s="103"/>
      <c r="B115" s="23"/>
      <c r="C115" s="34"/>
      <c r="D115" s="34"/>
    </row>
    <row r="116" spans="1:4" ht="20.25" x14ac:dyDescent="0.25">
      <c r="A116" s="103"/>
      <c r="B116" s="23"/>
      <c r="C116" s="34"/>
      <c r="D116" s="34"/>
    </row>
    <row r="117" spans="1:4" ht="20.25" x14ac:dyDescent="0.25">
      <c r="A117" s="103"/>
      <c r="B117" s="23"/>
      <c r="C117" s="34"/>
      <c r="D117" s="34"/>
    </row>
    <row r="118" spans="1:4" ht="20.25" x14ac:dyDescent="0.25">
      <c r="A118" s="103"/>
      <c r="B118" s="23"/>
      <c r="C118" s="34"/>
      <c r="D118" s="34"/>
    </row>
    <row r="119" spans="1:4" ht="20.25" x14ac:dyDescent="0.25">
      <c r="A119" s="103"/>
      <c r="B119" s="23"/>
      <c r="C119" s="34"/>
      <c r="D119" s="34"/>
    </row>
    <row r="120" spans="1:4" ht="20.25" x14ac:dyDescent="0.25">
      <c r="A120" s="103"/>
      <c r="B120" s="23"/>
      <c r="C120" s="34"/>
      <c r="D120" s="34"/>
    </row>
    <row r="121" spans="1:4" ht="20.25" x14ac:dyDescent="0.25">
      <c r="A121" s="103"/>
      <c r="B121" s="23"/>
      <c r="C121" s="34"/>
      <c r="D121" s="34"/>
    </row>
    <row r="122" spans="1:4" ht="20.25" x14ac:dyDescent="0.25">
      <c r="A122" s="103"/>
      <c r="B122" s="23"/>
      <c r="C122" s="34"/>
      <c r="D122" s="34"/>
    </row>
    <row r="123" spans="1:4" ht="20.25" x14ac:dyDescent="0.25">
      <c r="A123" s="103"/>
      <c r="B123" s="23"/>
      <c r="C123" s="34"/>
      <c r="D123" s="34"/>
    </row>
    <row r="124" spans="1:4" ht="20.25" x14ac:dyDescent="0.25">
      <c r="A124" s="103"/>
      <c r="B124" s="23"/>
      <c r="C124" s="34"/>
      <c r="D124" s="34"/>
    </row>
    <row r="125" spans="1:4" ht="20.25" x14ac:dyDescent="0.25">
      <c r="A125" s="103"/>
      <c r="B125" s="23"/>
      <c r="C125" s="34"/>
      <c r="D125" s="34"/>
    </row>
    <row r="126" spans="1:4" ht="20.25" x14ac:dyDescent="0.25">
      <c r="A126" s="103"/>
      <c r="B126" s="23"/>
      <c r="C126" s="34"/>
      <c r="D126" s="34"/>
    </row>
    <row r="127" spans="1:4" ht="20.25" x14ac:dyDescent="0.25">
      <c r="A127" s="103"/>
      <c r="B127" s="23"/>
      <c r="C127" s="34"/>
      <c r="D127" s="34"/>
    </row>
    <row r="128" spans="1:4" ht="20.25" x14ac:dyDescent="0.25">
      <c r="A128" s="103"/>
      <c r="B128" s="23"/>
      <c r="C128" s="34"/>
      <c r="D128" s="34"/>
    </row>
    <row r="129" spans="1:4" ht="20.25" x14ac:dyDescent="0.25">
      <c r="A129" s="103"/>
      <c r="B129" s="23"/>
      <c r="C129" s="34"/>
      <c r="D129" s="34"/>
    </row>
    <row r="130" spans="1:4" ht="20.25" x14ac:dyDescent="0.25">
      <c r="A130" s="103"/>
      <c r="B130" s="23"/>
      <c r="C130" s="34"/>
      <c r="D130" s="34"/>
    </row>
    <row r="131" spans="1:4" ht="20.25" x14ac:dyDescent="0.25">
      <c r="A131" s="103"/>
      <c r="B131" s="23"/>
      <c r="C131" s="34"/>
      <c r="D131" s="34"/>
    </row>
    <row r="132" spans="1:4" ht="20.25" x14ac:dyDescent="0.25">
      <c r="A132" s="103"/>
      <c r="B132" s="23"/>
      <c r="C132" s="34"/>
      <c r="D132" s="34"/>
    </row>
    <row r="133" spans="1:4" ht="20.25" x14ac:dyDescent="0.25">
      <c r="A133" s="103"/>
      <c r="B133" s="23"/>
      <c r="C133" s="34"/>
      <c r="D133" s="34"/>
    </row>
    <row r="134" spans="1:4" ht="20.25" x14ac:dyDescent="0.25">
      <c r="A134" s="103"/>
      <c r="B134" s="23"/>
      <c r="C134" s="34"/>
      <c r="D134" s="34"/>
    </row>
    <row r="135" spans="1:4" ht="20.25" x14ac:dyDescent="0.25">
      <c r="A135" s="103"/>
      <c r="B135" s="23"/>
      <c r="C135" s="34"/>
      <c r="D135" s="34"/>
    </row>
    <row r="136" spans="1:4" ht="20.25" x14ac:dyDescent="0.25">
      <c r="A136" s="103"/>
      <c r="B136" s="23"/>
      <c r="C136" s="34"/>
      <c r="D136" s="34"/>
    </row>
    <row r="137" spans="1:4" ht="20.25" x14ac:dyDescent="0.25">
      <c r="A137" s="103"/>
      <c r="B137" s="23"/>
      <c r="C137" s="34"/>
      <c r="D137" s="34"/>
    </row>
    <row r="138" spans="1:4" ht="20.25" x14ac:dyDescent="0.25">
      <c r="A138" s="103"/>
      <c r="B138" s="23"/>
      <c r="C138" s="34"/>
      <c r="D138" s="34"/>
    </row>
    <row r="139" spans="1:4" ht="20.25" x14ac:dyDescent="0.25">
      <c r="A139" s="103"/>
      <c r="B139" s="23"/>
      <c r="C139" s="34"/>
      <c r="D139" s="34"/>
    </row>
    <row r="140" spans="1:4" ht="20.25" x14ac:dyDescent="0.25">
      <c r="A140" s="103"/>
      <c r="B140" s="23"/>
      <c r="C140" s="34"/>
      <c r="D140" s="34"/>
    </row>
    <row r="141" spans="1:4" ht="20.25" x14ac:dyDescent="0.25">
      <c r="A141" s="103"/>
      <c r="B141" s="23"/>
      <c r="C141" s="34"/>
      <c r="D141" s="34"/>
    </row>
    <row r="142" spans="1:4" ht="20.25" x14ac:dyDescent="0.25">
      <c r="A142" s="103"/>
      <c r="B142" s="23"/>
      <c r="C142" s="34"/>
      <c r="D142" s="34"/>
    </row>
    <row r="143" spans="1:4" ht="20.25" x14ac:dyDescent="0.25">
      <c r="A143" s="103"/>
      <c r="B143" s="23"/>
      <c r="C143" s="34"/>
      <c r="D143" s="34"/>
    </row>
    <row r="144" spans="1:4" ht="20.25" x14ac:dyDescent="0.25">
      <c r="A144" s="103"/>
      <c r="B144" s="23"/>
      <c r="C144" s="34"/>
      <c r="D144" s="34"/>
    </row>
    <row r="145" spans="1:4" ht="20.25" x14ac:dyDescent="0.25">
      <c r="A145" s="103"/>
      <c r="B145" s="23"/>
      <c r="C145" s="34"/>
      <c r="D145" s="34"/>
    </row>
    <row r="146" spans="1:4" ht="20.25" x14ac:dyDescent="0.25">
      <c r="A146" s="103"/>
      <c r="B146" s="23"/>
      <c r="C146" s="34"/>
      <c r="D146" s="34"/>
    </row>
    <row r="147" spans="1:4" ht="20.25" x14ac:dyDescent="0.25">
      <c r="A147" s="103"/>
      <c r="B147" s="23"/>
      <c r="C147" s="34"/>
      <c r="D147" s="34"/>
    </row>
    <row r="148" spans="1:4" ht="20.25" x14ac:dyDescent="0.25">
      <c r="A148" s="103"/>
      <c r="B148" s="23"/>
      <c r="C148" s="34"/>
      <c r="D148" s="34"/>
    </row>
    <row r="149" spans="1:4" ht="20.25" x14ac:dyDescent="0.25">
      <c r="A149" s="103"/>
      <c r="B149" s="23"/>
      <c r="C149" s="34"/>
      <c r="D149" s="34"/>
    </row>
    <row r="150" spans="1:4" ht="20.25" x14ac:dyDescent="0.25">
      <c r="A150" s="103"/>
      <c r="B150" s="23"/>
      <c r="C150" s="34"/>
      <c r="D150" s="34"/>
    </row>
    <row r="151" spans="1:4" ht="20.25" x14ac:dyDescent="0.25">
      <c r="A151" s="103"/>
      <c r="B151" s="23"/>
      <c r="C151" s="34"/>
      <c r="D151" s="34"/>
    </row>
    <row r="152" spans="1:4" ht="20.25" x14ac:dyDescent="0.25">
      <c r="A152" s="103"/>
      <c r="B152" s="23"/>
      <c r="C152" s="34"/>
      <c r="D152" s="34"/>
    </row>
    <row r="153" spans="1:4" ht="20.25" x14ac:dyDescent="0.25">
      <c r="A153" s="103"/>
      <c r="B153" s="23"/>
      <c r="C153" s="34"/>
      <c r="D153" s="34"/>
    </row>
    <row r="154" spans="1:4" ht="20.25" x14ac:dyDescent="0.25">
      <c r="A154" s="103"/>
      <c r="B154" s="23"/>
      <c r="C154" s="34"/>
      <c r="D154" s="34"/>
    </row>
    <row r="155" spans="1:4" ht="20.25" x14ac:dyDescent="0.25">
      <c r="A155" s="103"/>
      <c r="B155" s="23"/>
      <c r="C155" s="34"/>
      <c r="D155" s="34"/>
    </row>
    <row r="156" spans="1:4" ht="20.25" x14ac:dyDescent="0.25">
      <c r="A156" s="103"/>
      <c r="B156" s="23"/>
      <c r="C156" s="34"/>
      <c r="D156" s="34"/>
    </row>
    <row r="157" spans="1:4" ht="20.25" x14ac:dyDescent="0.25">
      <c r="A157" s="103"/>
      <c r="B157" s="23"/>
      <c r="C157" s="34"/>
      <c r="D157" s="34"/>
    </row>
    <row r="158" spans="1:4" ht="20.25" x14ac:dyDescent="0.25">
      <c r="A158" s="103"/>
      <c r="B158" s="23"/>
      <c r="C158" s="34"/>
      <c r="D158" s="34"/>
    </row>
    <row r="159" spans="1:4" ht="20.25" x14ac:dyDescent="0.25">
      <c r="A159" s="103"/>
      <c r="B159" s="23"/>
      <c r="C159" s="34"/>
      <c r="D159" s="34"/>
    </row>
    <row r="160" spans="1:4" ht="20.25" x14ac:dyDescent="0.25">
      <c r="A160" s="103"/>
      <c r="B160" s="23"/>
      <c r="C160" s="34"/>
      <c r="D160" s="34"/>
    </row>
    <row r="161" spans="1:4" ht="20.25" x14ac:dyDescent="0.25">
      <c r="A161" s="103"/>
      <c r="B161" s="23"/>
      <c r="C161" s="34"/>
      <c r="D161" s="34"/>
    </row>
    <row r="162" spans="1:4" ht="20.25" x14ac:dyDescent="0.25">
      <c r="A162" s="103"/>
      <c r="B162" s="23"/>
      <c r="C162" s="34"/>
      <c r="D162" s="34"/>
    </row>
    <row r="163" spans="1:4" ht="20.25" x14ac:dyDescent="0.25">
      <c r="A163" s="103"/>
      <c r="B163" s="23"/>
      <c r="C163" s="34"/>
      <c r="D163" s="34"/>
    </row>
    <row r="164" spans="1:4" ht="20.25" x14ac:dyDescent="0.25">
      <c r="A164" s="103"/>
      <c r="B164" s="23"/>
      <c r="C164" s="34"/>
      <c r="D164" s="34"/>
    </row>
    <row r="165" spans="1:4" ht="20.25" x14ac:dyDescent="0.25">
      <c r="A165" s="103"/>
      <c r="B165" s="23"/>
      <c r="C165" s="34"/>
      <c r="D165" s="34"/>
    </row>
    <row r="166" spans="1:4" ht="20.25" x14ac:dyDescent="0.25">
      <c r="A166" s="103"/>
      <c r="B166" s="23"/>
      <c r="C166" s="34"/>
      <c r="D166" s="34"/>
    </row>
    <row r="167" spans="1:4" ht="20.25" x14ac:dyDescent="0.25">
      <c r="A167" s="103"/>
      <c r="B167" s="23"/>
      <c r="C167" s="34"/>
      <c r="D167" s="34"/>
    </row>
    <row r="168" spans="1:4" ht="20.25" x14ac:dyDescent="0.25">
      <c r="A168" s="103"/>
      <c r="B168" s="23"/>
      <c r="C168" s="34"/>
      <c r="D168" s="34"/>
    </row>
    <row r="169" spans="1:4" ht="20.25" x14ac:dyDescent="0.25">
      <c r="A169" s="103"/>
      <c r="B169" s="23"/>
      <c r="C169" s="34"/>
      <c r="D169" s="34"/>
    </row>
    <row r="170" spans="1:4" ht="20.25" x14ac:dyDescent="0.25">
      <c r="A170" s="103"/>
      <c r="B170" s="23"/>
      <c r="C170" s="34"/>
      <c r="D170" s="34"/>
    </row>
    <row r="171" spans="1:4" ht="20.25" x14ac:dyDescent="0.25">
      <c r="A171" s="103"/>
      <c r="B171" s="23"/>
      <c r="C171" s="34"/>
      <c r="D171" s="34"/>
    </row>
    <row r="172" spans="1:4" ht="20.25" x14ac:dyDescent="0.25">
      <c r="A172" s="103"/>
      <c r="B172" s="23"/>
      <c r="C172" s="34"/>
      <c r="D172" s="34"/>
    </row>
    <row r="173" spans="1:4" ht="20.25" x14ac:dyDescent="0.25">
      <c r="A173" s="103"/>
      <c r="B173" s="23"/>
      <c r="C173" s="34"/>
      <c r="D173" s="34"/>
    </row>
    <row r="174" spans="1:4" ht="20.25" x14ac:dyDescent="0.25">
      <c r="A174" s="103"/>
      <c r="B174" s="23"/>
      <c r="C174" s="34"/>
      <c r="D174" s="34"/>
    </row>
    <row r="175" spans="1:4" ht="20.25" x14ac:dyDescent="0.25">
      <c r="A175" s="103"/>
      <c r="B175" s="23"/>
      <c r="C175" s="34"/>
      <c r="D175" s="34"/>
    </row>
    <row r="176" spans="1:4" ht="20.25" x14ac:dyDescent="0.25">
      <c r="A176" s="103"/>
      <c r="B176" s="23"/>
      <c r="C176" s="34"/>
      <c r="D176" s="34"/>
    </row>
    <row r="177" spans="1:4" ht="20.25" x14ac:dyDescent="0.25">
      <c r="A177" s="103"/>
      <c r="B177" s="23"/>
      <c r="C177" s="34"/>
      <c r="D177" s="34"/>
    </row>
    <row r="178" spans="1:4" ht="20.25" x14ac:dyDescent="0.25">
      <c r="A178" s="103"/>
      <c r="B178" s="23"/>
      <c r="C178" s="34"/>
      <c r="D178" s="34"/>
    </row>
    <row r="179" spans="1:4" ht="20.25" x14ac:dyDescent="0.25">
      <c r="A179" s="103"/>
      <c r="B179" s="23"/>
      <c r="C179" s="34"/>
      <c r="D179" s="34"/>
    </row>
    <row r="180" spans="1:4" ht="20.25" x14ac:dyDescent="0.25">
      <c r="A180" s="103"/>
      <c r="B180" s="23"/>
      <c r="C180" s="34"/>
      <c r="D180" s="34"/>
    </row>
    <row r="181" spans="1:4" ht="20.25" x14ac:dyDescent="0.25">
      <c r="A181" s="103"/>
      <c r="B181" s="23"/>
      <c r="C181" s="34"/>
      <c r="D181" s="34"/>
    </row>
    <row r="182" spans="1:4" ht="20.25" x14ac:dyDescent="0.25">
      <c r="A182" s="103"/>
      <c r="B182" s="23"/>
      <c r="C182" s="34"/>
      <c r="D182" s="34"/>
    </row>
    <row r="183" spans="1:4" ht="20.25" x14ac:dyDescent="0.25">
      <c r="A183" s="103"/>
      <c r="B183" s="23"/>
      <c r="C183" s="34"/>
      <c r="D183" s="34"/>
    </row>
    <row r="184" spans="1:4" ht="20.25" x14ac:dyDescent="0.25">
      <c r="A184" s="103"/>
      <c r="B184" s="23"/>
      <c r="C184" s="34"/>
      <c r="D184" s="34"/>
    </row>
    <row r="185" spans="1:4" ht="20.25" x14ac:dyDescent="0.25">
      <c r="A185" s="103"/>
      <c r="B185" s="23"/>
      <c r="C185" s="34"/>
      <c r="D185" s="34"/>
    </row>
    <row r="186" spans="1:4" ht="20.25" x14ac:dyDescent="0.25">
      <c r="A186" s="103"/>
      <c r="B186" s="23"/>
      <c r="C186" s="34"/>
      <c r="D186" s="34"/>
    </row>
    <row r="187" spans="1:4" ht="20.25" x14ac:dyDescent="0.25">
      <c r="A187" s="103"/>
      <c r="B187" s="23"/>
      <c r="C187" s="34"/>
      <c r="D187" s="34"/>
    </row>
    <row r="188" spans="1:4" ht="20.25" x14ac:dyDescent="0.25">
      <c r="A188" s="103"/>
      <c r="B188" s="23"/>
      <c r="C188" s="34"/>
      <c r="D188" s="34"/>
    </row>
    <row r="189" spans="1:4" ht="20.25" x14ac:dyDescent="0.25">
      <c r="A189" s="103"/>
      <c r="B189" s="23"/>
      <c r="C189" s="34"/>
      <c r="D189" s="34"/>
    </row>
    <row r="190" spans="1:4" ht="20.25" x14ac:dyDescent="0.25">
      <c r="A190" s="103"/>
      <c r="B190" s="23"/>
      <c r="C190" s="34"/>
      <c r="D190" s="34"/>
    </row>
    <row r="191" spans="1:4" ht="20.25" x14ac:dyDescent="0.25">
      <c r="A191" s="103"/>
      <c r="B191" s="23"/>
      <c r="C191" s="34"/>
      <c r="D191" s="34"/>
    </row>
    <row r="192" spans="1:4" ht="20.25" x14ac:dyDescent="0.25">
      <c r="A192" s="103"/>
      <c r="B192" s="23"/>
      <c r="C192" s="34"/>
      <c r="D192" s="34"/>
    </row>
    <row r="193" spans="1:4" ht="20.25" x14ac:dyDescent="0.25">
      <c r="A193" s="103"/>
      <c r="B193" s="23"/>
      <c r="C193" s="34"/>
      <c r="D193" s="34"/>
    </row>
    <row r="194" spans="1:4" ht="20.25" x14ac:dyDescent="0.25">
      <c r="A194" s="103"/>
      <c r="B194" s="23"/>
      <c r="C194" s="34"/>
      <c r="D194" s="34"/>
    </row>
    <row r="195" spans="1:4" ht="20.25" x14ac:dyDescent="0.25">
      <c r="A195" s="103"/>
      <c r="B195" s="23"/>
      <c r="C195" s="34"/>
      <c r="D195" s="34"/>
    </row>
    <row r="196" spans="1:4" ht="20.25" x14ac:dyDescent="0.25">
      <c r="A196" s="103"/>
      <c r="B196" s="23"/>
      <c r="C196" s="34"/>
      <c r="D196" s="34"/>
    </row>
    <row r="197" spans="1:4" ht="20.25" x14ac:dyDescent="0.25">
      <c r="A197" s="103"/>
      <c r="B197" s="23"/>
      <c r="C197" s="34"/>
      <c r="D197" s="34"/>
    </row>
    <row r="198" spans="1:4" ht="20.25" x14ac:dyDescent="0.25">
      <c r="A198" s="103"/>
      <c r="B198" s="23"/>
      <c r="C198" s="34"/>
      <c r="D198" s="34"/>
    </row>
    <row r="199" spans="1:4" ht="20.25" x14ac:dyDescent="0.25">
      <c r="A199" s="103"/>
      <c r="B199" s="23"/>
      <c r="C199" s="34"/>
      <c r="D199" s="34"/>
    </row>
    <row r="200" spans="1:4" ht="20.25" x14ac:dyDescent="0.25">
      <c r="A200" s="103"/>
      <c r="B200" s="23"/>
      <c r="C200" s="34"/>
      <c r="D200" s="34"/>
    </row>
    <row r="201" spans="1:4" ht="20.25" x14ac:dyDescent="0.25">
      <c r="A201" s="103"/>
      <c r="B201" s="23"/>
      <c r="C201" s="34"/>
      <c r="D201" s="34"/>
    </row>
    <row r="202" spans="1:4" ht="20.25" x14ac:dyDescent="0.25">
      <c r="A202" s="103"/>
      <c r="B202" s="23"/>
      <c r="C202" s="34"/>
      <c r="D202" s="34"/>
    </row>
    <row r="203" spans="1:4" ht="20.25" x14ac:dyDescent="0.25">
      <c r="A203" s="103"/>
      <c r="B203" s="23"/>
      <c r="C203" s="34"/>
      <c r="D203" s="34"/>
    </row>
    <row r="204" spans="1:4" ht="20.25" x14ac:dyDescent="0.25">
      <c r="A204" s="103"/>
      <c r="B204" s="23"/>
      <c r="C204" s="34"/>
      <c r="D204" s="34"/>
    </row>
    <row r="205" spans="1:4" ht="20.25" x14ac:dyDescent="0.25">
      <c r="A205" s="103"/>
      <c r="B205" s="23"/>
      <c r="C205" s="34"/>
      <c r="D205" s="34"/>
    </row>
    <row r="206" spans="1:4" ht="20.25" x14ac:dyDescent="0.25">
      <c r="A206" s="103"/>
      <c r="B206" s="23"/>
      <c r="C206" s="34"/>
      <c r="D206" s="34"/>
    </row>
    <row r="207" spans="1:4" ht="20.25" x14ac:dyDescent="0.25">
      <c r="A207" s="103"/>
      <c r="B207" s="23"/>
      <c r="C207" s="34"/>
      <c r="D207" s="34"/>
    </row>
    <row r="208" spans="1:4" x14ac:dyDescent="0.25">
      <c r="A208" s="83"/>
      <c r="B208" s="23"/>
      <c r="C208" s="23"/>
      <c r="D208" s="23"/>
    </row>
    <row r="209" spans="1:8" ht="20.25" x14ac:dyDescent="0.25">
      <c r="A209" s="83"/>
      <c r="B209" s="30" t="s">
        <v>88</v>
      </c>
      <c r="C209" s="30" t="s">
        <v>145</v>
      </c>
      <c r="D209" s="33" t="s">
        <v>88</v>
      </c>
      <c r="E209" s="33" t="s">
        <v>145</v>
      </c>
    </row>
    <row r="210" spans="1:8" ht="21" x14ac:dyDescent="0.35">
      <c r="A210" s="83"/>
      <c r="B210" s="31" t="s">
        <v>90</v>
      </c>
      <c r="C210" s="31" t="s">
        <v>58</v>
      </c>
      <c r="D210" t="s">
        <v>90</v>
      </c>
      <c r="F210" t="str">
        <f>IF(NOT(ISBLANK(D210)),D210,IF(NOT(ISBLANK(E210)),"     "&amp;E210,FALSE))</f>
        <v>Afectación Económica o presupuestal</v>
      </c>
      <c r="G210" t="s">
        <v>90</v>
      </c>
      <c r="H210" t="str">
        <f ca="1">IF(NOT(ISERROR(MATCH(G210,_xlfn.ANCHORARRAY(B221),0))),F223&amp;"Por favor no seleccionar los criterios de impacto",G210)</f>
        <v>Afectación Económica o presupuestal</v>
      </c>
    </row>
    <row r="211" spans="1:8" ht="21" x14ac:dyDescent="0.35">
      <c r="A211" s="83"/>
      <c r="B211" s="31" t="s">
        <v>90</v>
      </c>
      <c r="C211" s="31" t="s">
        <v>93</v>
      </c>
      <c r="E211" t="s">
        <v>58</v>
      </c>
      <c r="F211" t="str">
        <f t="shared" ref="F211:F221" si="0">IF(NOT(ISBLANK(D211)),D211,IF(NOT(ISBLANK(E211)),"     "&amp;E211,FALSE))</f>
        <v xml:space="preserve">     Afectación menor a 10 SMLMV .</v>
      </c>
    </row>
    <row r="212" spans="1:8" ht="21" x14ac:dyDescent="0.35">
      <c r="A212" s="83"/>
      <c r="B212" s="31" t="s">
        <v>90</v>
      </c>
      <c r="C212" s="31" t="s">
        <v>94</v>
      </c>
      <c r="E212" t="s">
        <v>93</v>
      </c>
      <c r="F212" t="str">
        <f t="shared" si="0"/>
        <v xml:space="preserve">     Entre 10 y 50 SMLMV </v>
      </c>
    </row>
    <row r="213" spans="1:8" ht="21" x14ac:dyDescent="0.35">
      <c r="A213" s="83"/>
      <c r="B213" s="31" t="s">
        <v>90</v>
      </c>
      <c r="C213" s="31" t="s">
        <v>95</v>
      </c>
      <c r="E213" t="s">
        <v>94</v>
      </c>
      <c r="F213" t="str">
        <f t="shared" si="0"/>
        <v xml:space="preserve">     Entre 50 y 100 SMLMV </v>
      </c>
    </row>
    <row r="214" spans="1:8" ht="21" x14ac:dyDescent="0.35">
      <c r="A214" s="83"/>
      <c r="B214" s="31" t="s">
        <v>90</v>
      </c>
      <c r="C214" s="31" t="s">
        <v>96</v>
      </c>
      <c r="E214" t="s">
        <v>95</v>
      </c>
      <c r="F214" t="str">
        <f t="shared" si="0"/>
        <v xml:space="preserve">     Entre 100 y 500 SMLMV </v>
      </c>
    </row>
    <row r="215" spans="1:8" ht="21" x14ac:dyDescent="0.35">
      <c r="A215" s="83"/>
      <c r="B215" s="31" t="s">
        <v>57</v>
      </c>
      <c r="C215" s="31" t="s">
        <v>97</v>
      </c>
      <c r="E215" t="s">
        <v>96</v>
      </c>
      <c r="F215" t="str">
        <f t="shared" si="0"/>
        <v xml:space="preserve">     Mayor a 500 SMLMV </v>
      </c>
    </row>
    <row r="216" spans="1:8" ht="21" x14ac:dyDescent="0.35">
      <c r="A216" s="83"/>
      <c r="B216" s="31" t="s">
        <v>57</v>
      </c>
      <c r="C216" s="31" t="s">
        <v>98</v>
      </c>
      <c r="D216" t="s">
        <v>57</v>
      </c>
      <c r="F216" t="str">
        <f t="shared" si="0"/>
        <v>Pérdida Reputacional</v>
      </c>
    </row>
    <row r="217" spans="1:8" ht="21" x14ac:dyDescent="0.35">
      <c r="A217" s="83"/>
      <c r="B217" s="31" t="s">
        <v>57</v>
      </c>
      <c r="C217" s="31" t="s">
        <v>100</v>
      </c>
      <c r="E217" t="s">
        <v>97</v>
      </c>
      <c r="F217" t="str">
        <f t="shared" si="0"/>
        <v xml:space="preserve">     El riesgo afecta la imagen de alguna área de la organización</v>
      </c>
    </row>
    <row r="218" spans="1:8" ht="21" x14ac:dyDescent="0.35">
      <c r="A218" s="83"/>
      <c r="B218" s="31" t="s">
        <v>57</v>
      </c>
      <c r="C218" s="31" t="s">
        <v>99</v>
      </c>
      <c r="E218" t="s">
        <v>98</v>
      </c>
      <c r="F218" t="str">
        <f t="shared" si="0"/>
        <v xml:space="preserve">     El riesgo afecta la imagen de la entidad internamente, de conocimiento general, nivel interno, de junta dircetiva y accionistas y/o de provedores</v>
      </c>
    </row>
    <row r="219" spans="1:8" ht="21" x14ac:dyDescent="0.35">
      <c r="A219" s="83"/>
      <c r="B219" s="31" t="s">
        <v>57</v>
      </c>
      <c r="C219" s="31" t="s">
        <v>118</v>
      </c>
      <c r="E219" t="s">
        <v>100</v>
      </c>
      <c r="F219" t="str">
        <f t="shared" si="0"/>
        <v xml:space="preserve">     El riesgo afecta la imagen de la entidad con algunos usuarios de relevancia frente al logro de los objetivos</v>
      </c>
    </row>
    <row r="220" spans="1:8" x14ac:dyDescent="0.25">
      <c r="A220" s="83"/>
      <c r="B220" s="32"/>
      <c r="C220" s="32"/>
      <c r="E220" t="s">
        <v>99</v>
      </c>
      <c r="F220" t="str">
        <f t="shared" si="0"/>
        <v xml:space="preserve">     El riesgo afecta la imagen de de la entidad con efecto publicitario sostenido a nivel de sector administrativo, nivel departamental o municipal</v>
      </c>
    </row>
    <row r="221" spans="1:8" x14ac:dyDescent="0.25">
      <c r="A221" s="83"/>
      <c r="B221" s="32" t="e" cm="1">
        <f t="array" aca="1" ref="B221:B223" ca="1">_xlfn.UNIQUE(Tabla1[[#All],[Criterios]])</f>
        <v>#NAME?</v>
      </c>
      <c r="C221" s="32"/>
      <c r="E221" t="s">
        <v>118</v>
      </c>
      <c r="F221" t="str">
        <f t="shared" si="0"/>
        <v xml:space="preserve">     El riesgo afecta la imagen de la entidad a nivel nacional, con efecto publicitarios sostenible a nivel país</v>
      </c>
    </row>
    <row r="222" spans="1:8" x14ac:dyDescent="0.25">
      <c r="A222" s="83"/>
      <c r="B222" s="32" t="e">
        <f ca="1"/>
        <v>#NAME?</v>
      </c>
      <c r="C222" s="32"/>
    </row>
    <row r="223" spans="1:8" x14ac:dyDescent="0.25">
      <c r="B223" s="32" t="e">
        <f ca="1"/>
        <v>#NAME?</v>
      </c>
      <c r="C223" s="32"/>
      <c r="F223" s="35" t="s">
        <v>147</v>
      </c>
    </row>
    <row r="224" spans="1:8" x14ac:dyDescent="0.25">
      <c r="B224" s="22"/>
      <c r="C224" s="22"/>
      <c r="F224" s="35" t="s">
        <v>148</v>
      </c>
    </row>
    <row r="225" spans="2:4" x14ac:dyDescent="0.25">
      <c r="B225" s="22"/>
      <c r="C225" s="22"/>
    </row>
    <row r="226" spans="2:4" x14ac:dyDescent="0.25">
      <c r="B226" s="22"/>
      <c r="C226" s="22"/>
    </row>
    <row r="227" spans="2:4" x14ac:dyDescent="0.25">
      <c r="B227" s="22"/>
      <c r="C227" s="22"/>
      <c r="D227" s="22"/>
    </row>
    <row r="228" spans="2:4" x14ac:dyDescent="0.25">
      <c r="B228" s="22"/>
      <c r="C228" s="22"/>
      <c r="D228" s="22"/>
    </row>
    <row r="229" spans="2:4" x14ac:dyDescent="0.25">
      <c r="B229" s="22"/>
      <c r="C229" s="22"/>
      <c r="D229" s="22"/>
    </row>
    <row r="230" spans="2:4" x14ac:dyDescent="0.25">
      <c r="B230" s="22"/>
      <c r="C230" s="22"/>
      <c r="D230" s="22"/>
    </row>
    <row r="231" spans="2:4" x14ac:dyDescent="0.25">
      <c r="B231" s="22"/>
      <c r="C231" s="22"/>
      <c r="D231" s="22"/>
    </row>
    <row r="232" spans="2:4" x14ac:dyDescent="0.25">
      <c r="B232" s="22"/>
      <c r="C232" s="22"/>
      <c r="D232" s="22"/>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B1:F16"/>
  <sheetViews>
    <sheetView workbookViewId="0">
      <selection activeCell="D7" sqref="D7"/>
    </sheetView>
  </sheetViews>
  <sheetFormatPr baseColWidth="10" defaultColWidth="14.28515625" defaultRowHeight="12.75" x14ac:dyDescent="0.2"/>
  <cols>
    <col min="1" max="2" width="14.28515625" style="88"/>
    <col min="3" max="3" width="17" style="88" customWidth="1"/>
    <col min="4" max="4" width="14.28515625" style="88"/>
    <col min="5" max="5" width="46" style="88" customWidth="1"/>
    <col min="6" max="16384" width="14.28515625" style="88"/>
  </cols>
  <sheetData>
    <row r="1" spans="2:6" ht="24" customHeight="1" thickBot="1" x14ac:dyDescent="0.25">
      <c r="B1" s="947" t="s">
        <v>78</v>
      </c>
      <c r="C1" s="948"/>
      <c r="D1" s="948"/>
      <c r="E1" s="948"/>
      <c r="F1" s="949"/>
    </row>
    <row r="2" spans="2:6" ht="16.5" thickBot="1" x14ac:dyDescent="0.3">
      <c r="B2" s="89"/>
      <c r="C2" s="89"/>
      <c r="D2" s="89"/>
      <c r="E2" s="89"/>
      <c r="F2" s="89"/>
    </row>
    <row r="3" spans="2:6" ht="16.5" thickBot="1" x14ac:dyDescent="0.25">
      <c r="B3" s="951" t="s">
        <v>64</v>
      </c>
      <c r="C3" s="952"/>
      <c r="D3" s="952"/>
      <c r="E3" s="101" t="s">
        <v>65</v>
      </c>
      <c r="F3" s="102" t="s">
        <v>66</v>
      </c>
    </row>
    <row r="4" spans="2:6" ht="31.5" x14ac:dyDescent="0.2">
      <c r="B4" s="953" t="s">
        <v>67</v>
      </c>
      <c r="C4" s="955" t="s">
        <v>13</v>
      </c>
      <c r="D4" s="90" t="s">
        <v>14</v>
      </c>
      <c r="E4" s="91" t="s">
        <v>68</v>
      </c>
      <c r="F4" s="92">
        <v>0.25</v>
      </c>
    </row>
    <row r="5" spans="2:6" ht="47.25" x14ac:dyDescent="0.2">
      <c r="B5" s="954"/>
      <c r="C5" s="956"/>
      <c r="D5" s="93" t="s">
        <v>15</v>
      </c>
      <c r="E5" s="94" t="s">
        <v>69</v>
      </c>
      <c r="F5" s="95">
        <v>0.15</v>
      </c>
    </row>
    <row r="6" spans="2:6" ht="47.25" x14ac:dyDescent="0.2">
      <c r="B6" s="954"/>
      <c r="C6" s="956"/>
      <c r="D6" s="93" t="s">
        <v>16</v>
      </c>
      <c r="E6" s="94" t="s">
        <v>70</v>
      </c>
      <c r="F6" s="95">
        <v>0.1</v>
      </c>
    </row>
    <row r="7" spans="2:6" ht="63" x14ac:dyDescent="0.2">
      <c r="B7" s="954"/>
      <c r="C7" s="956" t="s">
        <v>17</v>
      </c>
      <c r="D7" s="93" t="s">
        <v>10</v>
      </c>
      <c r="E7" s="94" t="s">
        <v>71</v>
      </c>
      <c r="F7" s="95">
        <v>0.25</v>
      </c>
    </row>
    <row r="8" spans="2:6" ht="31.5" x14ac:dyDescent="0.2">
      <c r="B8" s="954"/>
      <c r="C8" s="956"/>
      <c r="D8" s="93" t="s">
        <v>9</v>
      </c>
      <c r="E8" s="94" t="s">
        <v>72</v>
      </c>
      <c r="F8" s="95">
        <v>0.15</v>
      </c>
    </row>
    <row r="9" spans="2:6" ht="47.25" x14ac:dyDescent="0.2">
      <c r="B9" s="954" t="s">
        <v>162</v>
      </c>
      <c r="C9" s="956" t="s">
        <v>18</v>
      </c>
      <c r="D9" s="93" t="s">
        <v>19</v>
      </c>
      <c r="E9" s="94" t="s">
        <v>73</v>
      </c>
      <c r="F9" s="96" t="s">
        <v>74</v>
      </c>
    </row>
    <row r="10" spans="2:6" ht="63" x14ac:dyDescent="0.2">
      <c r="B10" s="954"/>
      <c r="C10" s="956"/>
      <c r="D10" s="93" t="s">
        <v>20</v>
      </c>
      <c r="E10" s="94" t="s">
        <v>75</v>
      </c>
      <c r="F10" s="96" t="s">
        <v>74</v>
      </c>
    </row>
    <row r="11" spans="2:6" ht="47.25" x14ac:dyDescent="0.2">
      <c r="B11" s="954"/>
      <c r="C11" s="956" t="s">
        <v>21</v>
      </c>
      <c r="D11" s="93" t="s">
        <v>22</v>
      </c>
      <c r="E11" s="94" t="s">
        <v>76</v>
      </c>
      <c r="F11" s="96" t="s">
        <v>74</v>
      </c>
    </row>
    <row r="12" spans="2:6" ht="47.25" x14ac:dyDescent="0.2">
      <c r="B12" s="954"/>
      <c r="C12" s="956"/>
      <c r="D12" s="93" t="s">
        <v>23</v>
      </c>
      <c r="E12" s="94" t="s">
        <v>77</v>
      </c>
      <c r="F12" s="96" t="s">
        <v>74</v>
      </c>
    </row>
    <row r="13" spans="2:6" ht="31.5" x14ac:dyDescent="0.2">
      <c r="B13" s="954"/>
      <c r="C13" s="956" t="s">
        <v>24</v>
      </c>
      <c r="D13" s="93" t="s">
        <v>119</v>
      </c>
      <c r="E13" s="94" t="s">
        <v>122</v>
      </c>
      <c r="F13" s="96" t="s">
        <v>74</v>
      </c>
    </row>
    <row r="14" spans="2:6" ht="32.25" thickBot="1" x14ac:dyDescent="0.25">
      <c r="B14" s="957"/>
      <c r="C14" s="958"/>
      <c r="D14" s="97" t="s">
        <v>120</v>
      </c>
      <c r="E14" s="98" t="s">
        <v>121</v>
      </c>
      <c r="F14" s="99" t="s">
        <v>74</v>
      </c>
    </row>
    <row r="15" spans="2:6" ht="49.5" customHeight="1" x14ac:dyDescent="0.2">
      <c r="B15" s="950" t="s">
        <v>159</v>
      </c>
      <c r="C15" s="950"/>
      <c r="D15" s="950"/>
      <c r="E15" s="950"/>
      <c r="F15" s="950"/>
    </row>
    <row r="16" spans="2:6" ht="27" customHeight="1" x14ac:dyDescent="0.25">
      <c r="B16" s="100"/>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1B31-8A2D-47E5-8B08-A02195EDF883}">
  <dimension ref="B2:CT61"/>
  <sheetViews>
    <sheetView zoomScale="60" zoomScaleNormal="60" workbookViewId="0">
      <selection activeCell="AR58" sqref="AR58"/>
    </sheetView>
  </sheetViews>
  <sheetFormatPr baseColWidth="10" defaultRowHeight="15" x14ac:dyDescent="0.25"/>
  <cols>
    <col min="2" max="5" width="2.85546875" customWidth="1"/>
    <col min="6" max="6" width="5.42578125" customWidth="1"/>
    <col min="7" max="8" width="5.7109375" customWidth="1"/>
    <col min="9" max="46" width="2.85546875" customWidth="1"/>
    <col min="49" max="50" width="2.5703125" customWidth="1"/>
    <col min="51" max="51" width="3.5703125" customWidth="1"/>
    <col min="52" max="56" width="3" customWidth="1"/>
    <col min="57" max="93" width="2.5703125" customWidth="1"/>
    <col min="96" max="96" width="24.140625" customWidth="1"/>
    <col min="97" max="97" width="70.140625" customWidth="1"/>
    <col min="98" max="98" width="29.85546875" customWidth="1"/>
  </cols>
  <sheetData>
    <row r="2" spans="2:98" ht="9.75" customHeight="1" x14ac:dyDescent="0.35">
      <c r="B2" s="959" t="s">
        <v>161</v>
      </c>
      <c r="C2" s="959"/>
      <c r="D2" s="959"/>
      <c r="E2" s="959"/>
      <c r="F2" s="959"/>
      <c r="G2" s="959"/>
      <c r="H2" s="959"/>
      <c r="I2" s="959"/>
      <c r="J2" s="960" t="s">
        <v>2</v>
      </c>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182"/>
      <c r="AO2" s="182"/>
      <c r="AP2" s="182"/>
      <c r="AQ2" s="182"/>
      <c r="AR2" s="182"/>
      <c r="AS2" s="182"/>
      <c r="AT2" s="182"/>
      <c r="AW2" s="1045" t="s">
        <v>160</v>
      </c>
      <c r="AX2" s="1045"/>
      <c r="AY2" s="1045"/>
      <c r="AZ2" s="1045"/>
      <c r="BA2" s="1045"/>
      <c r="BB2" s="1045"/>
      <c r="BC2" s="1045"/>
      <c r="BD2" s="1045"/>
      <c r="BE2" s="1057" t="s">
        <v>2</v>
      </c>
      <c r="BF2" s="1057"/>
      <c r="BG2" s="1057"/>
      <c r="BH2" s="1057"/>
      <c r="BI2" s="1057"/>
      <c r="BJ2" s="1057"/>
      <c r="BK2" s="1057"/>
      <c r="BL2" s="1057"/>
      <c r="BM2" s="1057"/>
      <c r="BN2" s="1057"/>
      <c r="BO2" s="1057"/>
      <c r="BP2" s="1057"/>
      <c r="BQ2" s="1057"/>
      <c r="BR2" s="1057"/>
      <c r="BS2" s="1057"/>
      <c r="BT2" s="1057"/>
      <c r="BU2" s="1057"/>
      <c r="BV2" s="1057"/>
      <c r="BW2" s="1057"/>
      <c r="BX2" s="1057"/>
      <c r="BY2" s="1057"/>
      <c r="BZ2" s="1057"/>
      <c r="CA2" s="1057"/>
      <c r="CB2" s="1057"/>
      <c r="CC2" s="1057"/>
      <c r="CD2" s="1057"/>
      <c r="CE2" s="1057"/>
      <c r="CF2" s="1057"/>
      <c r="CG2" s="1057"/>
      <c r="CH2" s="1057"/>
      <c r="CI2" s="181"/>
      <c r="CJ2" s="181"/>
      <c r="CK2" s="181"/>
      <c r="CL2" s="181"/>
      <c r="CM2" s="181"/>
      <c r="CN2" s="181"/>
      <c r="CO2" s="181"/>
      <c r="CR2" s="945" t="s">
        <v>55</v>
      </c>
      <c r="CS2" s="945"/>
      <c r="CT2" s="945"/>
    </row>
    <row r="3" spans="2:98" ht="9.75" customHeight="1" x14ac:dyDescent="0.35">
      <c r="B3" s="959"/>
      <c r="C3" s="959"/>
      <c r="D3" s="959"/>
      <c r="E3" s="959"/>
      <c r="F3" s="959"/>
      <c r="G3" s="959"/>
      <c r="H3" s="959"/>
      <c r="I3" s="959"/>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182"/>
      <c r="AO3" s="182"/>
      <c r="AP3" s="182"/>
      <c r="AQ3" s="182"/>
      <c r="AR3" s="182"/>
      <c r="AS3" s="182"/>
      <c r="AT3" s="182"/>
      <c r="AW3" s="1045"/>
      <c r="AX3" s="1045"/>
      <c r="AY3" s="1045"/>
      <c r="AZ3" s="1045"/>
      <c r="BA3" s="1045"/>
      <c r="BB3" s="1045"/>
      <c r="BC3" s="1045"/>
      <c r="BD3" s="1045"/>
      <c r="BE3" s="1057"/>
      <c r="BF3" s="1057"/>
      <c r="BG3" s="1057"/>
      <c r="BH3" s="1057"/>
      <c r="BI3" s="1057"/>
      <c r="BJ3" s="1057"/>
      <c r="BK3" s="1057"/>
      <c r="BL3" s="1057"/>
      <c r="BM3" s="1057"/>
      <c r="BN3" s="1057"/>
      <c r="BO3" s="1057"/>
      <c r="BP3" s="1057"/>
      <c r="BQ3" s="1057"/>
      <c r="BR3" s="1057"/>
      <c r="BS3" s="1057"/>
      <c r="BT3" s="1057"/>
      <c r="BU3" s="1057"/>
      <c r="BV3" s="1057"/>
      <c r="BW3" s="1057"/>
      <c r="BX3" s="1057"/>
      <c r="BY3" s="1057"/>
      <c r="BZ3" s="1057"/>
      <c r="CA3" s="1057"/>
      <c r="CB3" s="1057"/>
      <c r="CC3" s="1057"/>
      <c r="CD3" s="1057"/>
      <c r="CE3" s="1057"/>
      <c r="CF3" s="1057"/>
      <c r="CG3" s="1057"/>
      <c r="CH3" s="1057"/>
      <c r="CI3" s="181"/>
      <c r="CJ3" s="181"/>
      <c r="CK3" s="181"/>
      <c r="CL3" s="181"/>
      <c r="CM3" s="181"/>
      <c r="CN3" s="181"/>
      <c r="CO3" s="181"/>
      <c r="CR3" s="83"/>
      <c r="CS3" s="83"/>
      <c r="CT3" s="83"/>
    </row>
    <row r="4" spans="2:98" ht="9.75" customHeight="1" x14ac:dyDescent="0.35">
      <c r="B4" s="959"/>
      <c r="C4" s="959"/>
      <c r="D4" s="959"/>
      <c r="E4" s="959"/>
      <c r="F4" s="959"/>
      <c r="G4" s="959"/>
      <c r="H4" s="959"/>
      <c r="I4" s="959"/>
      <c r="J4" s="960"/>
      <c r="K4" s="960"/>
      <c r="L4" s="960"/>
      <c r="M4" s="960"/>
      <c r="N4" s="960"/>
      <c r="O4" s="960"/>
      <c r="P4" s="960"/>
      <c r="Q4" s="960"/>
      <c r="R4" s="960"/>
      <c r="S4" s="960"/>
      <c r="T4" s="960"/>
      <c r="U4" s="960"/>
      <c r="V4" s="960"/>
      <c r="W4" s="960"/>
      <c r="X4" s="960"/>
      <c r="Y4" s="960"/>
      <c r="Z4" s="960"/>
      <c r="AA4" s="960"/>
      <c r="AB4" s="960"/>
      <c r="AC4" s="960"/>
      <c r="AD4" s="960"/>
      <c r="AE4" s="960"/>
      <c r="AF4" s="960"/>
      <c r="AG4" s="960"/>
      <c r="AH4" s="960"/>
      <c r="AI4" s="960"/>
      <c r="AJ4" s="960"/>
      <c r="AK4" s="960"/>
      <c r="AL4" s="960"/>
      <c r="AM4" s="960"/>
      <c r="AN4" s="182"/>
      <c r="AO4" s="182"/>
      <c r="AP4" s="182"/>
      <c r="AQ4" s="182"/>
      <c r="AR4" s="182"/>
      <c r="AS4" s="182"/>
      <c r="AT4" s="182"/>
      <c r="AW4" s="1045"/>
      <c r="AX4" s="1045"/>
      <c r="AY4" s="1045"/>
      <c r="AZ4" s="1045"/>
      <c r="BA4" s="1045"/>
      <c r="BB4" s="1045"/>
      <c r="BC4" s="1045"/>
      <c r="BD4" s="1045"/>
      <c r="BE4" s="1057"/>
      <c r="BF4" s="1057"/>
      <c r="BG4" s="1057"/>
      <c r="BH4" s="1057"/>
      <c r="BI4" s="1057"/>
      <c r="BJ4" s="1057"/>
      <c r="BK4" s="1057"/>
      <c r="BL4" s="1057"/>
      <c r="BM4" s="1057"/>
      <c r="BN4" s="1057"/>
      <c r="BO4" s="1057"/>
      <c r="BP4" s="1057"/>
      <c r="BQ4" s="1057"/>
      <c r="BR4" s="1057"/>
      <c r="BS4" s="1057"/>
      <c r="BT4" s="1057"/>
      <c r="BU4" s="1057"/>
      <c r="BV4" s="1057"/>
      <c r="BW4" s="1057"/>
      <c r="BX4" s="1057"/>
      <c r="BY4" s="1057"/>
      <c r="BZ4" s="1057"/>
      <c r="CA4" s="1057"/>
      <c r="CB4" s="1057"/>
      <c r="CC4" s="1057"/>
      <c r="CD4" s="1057"/>
      <c r="CE4" s="1057"/>
      <c r="CF4" s="1057"/>
      <c r="CG4" s="1057"/>
      <c r="CH4" s="1057"/>
      <c r="CI4" s="181"/>
      <c r="CJ4" s="181"/>
      <c r="CK4" s="181"/>
      <c r="CL4" s="181"/>
      <c r="CM4" s="181"/>
      <c r="CN4" s="181"/>
      <c r="CO4" s="181"/>
      <c r="CR4" s="11"/>
      <c r="CS4" s="12" t="s">
        <v>52</v>
      </c>
      <c r="CT4" s="12" t="s">
        <v>4</v>
      </c>
    </row>
    <row r="5" spans="2:98" ht="9.75" customHeight="1" thickBot="1" x14ac:dyDescent="0.4">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R5" s="13" t="s">
        <v>51</v>
      </c>
      <c r="CS5" s="14" t="s">
        <v>102</v>
      </c>
      <c r="CT5" s="15">
        <v>0.2</v>
      </c>
    </row>
    <row r="6" spans="2:98" ht="9" customHeight="1" x14ac:dyDescent="0.35">
      <c r="B6" s="961" t="s">
        <v>4</v>
      </c>
      <c r="C6" s="961"/>
      <c r="D6" s="962"/>
      <c r="E6" s="963" t="s">
        <v>116</v>
      </c>
      <c r="F6" s="964"/>
      <c r="G6" s="964"/>
      <c r="H6" s="964"/>
      <c r="I6" s="965"/>
      <c r="J6" s="972" t="s">
        <v>373</v>
      </c>
      <c r="K6" s="973"/>
      <c r="L6" s="973" t="s">
        <v>373</v>
      </c>
      <c r="M6" s="973"/>
      <c r="N6" s="973" t="s">
        <v>373</v>
      </c>
      <c r="O6" s="976"/>
      <c r="P6" s="972" t="s">
        <v>373</v>
      </c>
      <c r="Q6" s="973"/>
      <c r="R6" s="973" t="s">
        <v>373</v>
      </c>
      <c r="S6" s="973"/>
      <c r="T6" s="973" t="s">
        <v>373</v>
      </c>
      <c r="U6" s="976"/>
      <c r="V6" s="972" t="s">
        <v>373</v>
      </c>
      <c r="W6" s="973"/>
      <c r="X6" s="973" t="s">
        <v>373</v>
      </c>
      <c r="Y6" s="973"/>
      <c r="Z6" s="973" t="s">
        <v>373</v>
      </c>
      <c r="AA6" s="976"/>
      <c r="AB6" s="972" t="s">
        <v>373</v>
      </c>
      <c r="AC6" s="973"/>
      <c r="AD6" s="973" t="s">
        <v>373</v>
      </c>
      <c r="AE6" s="973"/>
      <c r="AF6" s="973" t="s">
        <v>373</v>
      </c>
      <c r="AG6" s="976"/>
      <c r="AH6" s="978" t="s">
        <v>373</v>
      </c>
      <c r="AI6" s="979"/>
      <c r="AJ6" s="979" t="s">
        <v>373</v>
      </c>
      <c r="AK6" s="979"/>
      <c r="AL6" s="979" t="s">
        <v>373</v>
      </c>
      <c r="AM6" s="982"/>
      <c r="AN6" s="183"/>
      <c r="AO6" s="984" t="s">
        <v>79</v>
      </c>
      <c r="AP6" s="985"/>
      <c r="AQ6" s="985"/>
      <c r="AR6" s="985"/>
      <c r="AS6" s="985"/>
      <c r="AT6" s="986"/>
      <c r="AW6" s="1058" t="s">
        <v>4</v>
      </c>
      <c r="AX6" s="1058"/>
      <c r="AY6" s="1059"/>
      <c r="AZ6" s="1046" t="s">
        <v>116</v>
      </c>
      <c r="BA6" s="1047"/>
      <c r="BB6" s="1047"/>
      <c r="BC6" s="1047"/>
      <c r="BD6" s="1048"/>
      <c r="BE6" s="184" t="s">
        <v>373</v>
      </c>
      <c r="BF6" s="185" t="s">
        <v>373</v>
      </c>
      <c r="BG6" s="185" t="s">
        <v>373</v>
      </c>
      <c r="BH6" s="185" t="s">
        <v>373</v>
      </c>
      <c r="BI6" s="185" t="s">
        <v>373</v>
      </c>
      <c r="BJ6" s="186" t="s">
        <v>373</v>
      </c>
      <c r="BK6" s="184" t="s">
        <v>373</v>
      </c>
      <c r="BL6" s="185" t="s">
        <v>373</v>
      </c>
      <c r="BM6" s="185" t="s">
        <v>373</v>
      </c>
      <c r="BN6" s="185" t="s">
        <v>373</v>
      </c>
      <c r="BO6" s="185" t="s">
        <v>373</v>
      </c>
      <c r="BP6" s="186" t="s">
        <v>373</v>
      </c>
      <c r="BQ6" s="184" t="s">
        <v>373</v>
      </c>
      <c r="BR6" s="185" t="s">
        <v>373</v>
      </c>
      <c r="BS6" s="185" t="s">
        <v>373</v>
      </c>
      <c r="BT6" s="185" t="s">
        <v>373</v>
      </c>
      <c r="BU6" s="185" t="s">
        <v>373</v>
      </c>
      <c r="BV6" s="186" t="s">
        <v>373</v>
      </c>
      <c r="BW6" s="184" t="s">
        <v>373</v>
      </c>
      <c r="BX6" s="185" t="s">
        <v>373</v>
      </c>
      <c r="BY6" s="185" t="s">
        <v>373</v>
      </c>
      <c r="BZ6" s="185" t="s">
        <v>373</v>
      </c>
      <c r="CA6" s="185" t="s">
        <v>373</v>
      </c>
      <c r="CB6" s="186" t="s">
        <v>373</v>
      </c>
      <c r="CC6" s="187" t="s">
        <v>373</v>
      </c>
      <c r="CD6" s="188" t="s">
        <v>373</v>
      </c>
      <c r="CE6" s="188" t="s">
        <v>373</v>
      </c>
      <c r="CF6" s="188" t="s">
        <v>373</v>
      </c>
      <c r="CG6" s="188" t="s">
        <v>373</v>
      </c>
      <c r="CH6" s="189" t="s">
        <v>373</v>
      </c>
      <c r="CI6" s="181"/>
      <c r="CJ6" s="1060" t="s">
        <v>79</v>
      </c>
      <c r="CK6" s="1061"/>
      <c r="CL6" s="1061"/>
      <c r="CM6" s="1061"/>
      <c r="CN6" s="1061"/>
      <c r="CO6" s="1062"/>
      <c r="CR6" s="16" t="s">
        <v>53</v>
      </c>
      <c r="CS6" s="17" t="s">
        <v>103</v>
      </c>
      <c r="CT6" s="18">
        <v>0.4</v>
      </c>
    </row>
    <row r="7" spans="2:98" ht="9" customHeight="1" x14ac:dyDescent="0.35">
      <c r="B7" s="961"/>
      <c r="C7" s="961"/>
      <c r="D7" s="962"/>
      <c r="E7" s="966"/>
      <c r="F7" s="967"/>
      <c r="G7" s="967"/>
      <c r="H7" s="967"/>
      <c r="I7" s="968"/>
      <c r="J7" s="974"/>
      <c r="K7" s="975"/>
      <c r="L7" s="975"/>
      <c r="M7" s="975"/>
      <c r="N7" s="975"/>
      <c r="O7" s="977"/>
      <c r="P7" s="974"/>
      <c r="Q7" s="975"/>
      <c r="R7" s="975"/>
      <c r="S7" s="975"/>
      <c r="T7" s="975"/>
      <c r="U7" s="977"/>
      <c r="V7" s="974"/>
      <c r="W7" s="975"/>
      <c r="X7" s="975"/>
      <c r="Y7" s="975"/>
      <c r="Z7" s="975"/>
      <c r="AA7" s="977"/>
      <c r="AB7" s="974"/>
      <c r="AC7" s="975"/>
      <c r="AD7" s="975"/>
      <c r="AE7" s="975"/>
      <c r="AF7" s="975"/>
      <c r="AG7" s="977"/>
      <c r="AH7" s="980"/>
      <c r="AI7" s="981"/>
      <c r="AJ7" s="981"/>
      <c r="AK7" s="981"/>
      <c r="AL7" s="981"/>
      <c r="AM7" s="983"/>
      <c r="AN7" s="182"/>
      <c r="AO7" s="987"/>
      <c r="AP7" s="988"/>
      <c r="AQ7" s="988"/>
      <c r="AR7" s="988"/>
      <c r="AS7" s="988"/>
      <c r="AT7" s="989"/>
      <c r="AW7" s="1058"/>
      <c r="AX7" s="1058"/>
      <c r="AY7" s="1059"/>
      <c r="AZ7" s="1052"/>
      <c r="BA7" s="1050"/>
      <c r="BB7" s="1050"/>
      <c r="BC7" s="1050"/>
      <c r="BD7" s="1051"/>
      <c r="BE7" s="190" t="s">
        <v>373</v>
      </c>
      <c r="BF7" s="191" t="s">
        <v>373</v>
      </c>
      <c r="BG7" s="191" t="s">
        <v>373</v>
      </c>
      <c r="BH7" s="191" t="s">
        <v>373</v>
      </c>
      <c r="BI7" s="191" t="s">
        <v>373</v>
      </c>
      <c r="BJ7" s="192" t="s">
        <v>373</v>
      </c>
      <c r="BK7" s="190" t="s">
        <v>373</v>
      </c>
      <c r="BL7" s="191" t="s">
        <v>373</v>
      </c>
      <c r="BM7" s="191" t="s">
        <v>373</v>
      </c>
      <c r="BN7" s="191" t="s">
        <v>373</v>
      </c>
      <c r="BO7" s="191" t="s">
        <v>373</v>
      </c>
      <c r="BP7" s="192" t="s">
        <v>373</v>
      </c>
      <c r="BQ7" s="190" t="s">
        <v>373</v>
      </c>
      <c r="BR7" s="191" t="s">
        <v>373</v>
      </c>
      <c r="BS7" s="191" t="s">
        <v>373</v>
      </c>
      <c r="BT7" s="191" t="s">
        <v>373</v>
      </c>
      <c r="BU7" s="191" t="s">
        <v>373</v>
      </c>
      <c r="BV7" s="192" t="s">
        <v>373</v>
      </c>
      <c r="BW7" s="190" t="s">
        <v>373</v>
      </c>
      <c r="BX7" s="191" t="s">
        <v>373</v>
      </c>
      <c r="BY7" s="191" t="s">
        <v>373</v>
      </c>
      <c r="BZ7" s="191" t="s">
        <v>373</v>
      </c>
      <c r="CA7" s="191" t="s">
        <v>373</v>
      </c>
      <c r="CB7" s="192" t="s">
        <v>373</v>
      </c>
      <c r="CC7" s="193" t="s">
        <v>373</v>
      </c>
      <c r="CD7" s="194" t="s">
        <v>373</v>
      </c>
      <c r="CE7" s="194" t="s">
        <v>373</v>
      </c>
      <c r="CF7" s="194" t="s">
        <v>373</v>
      </c>
      <c r="CG7" s="194" t="s">
        <v>373</v>
      </c>
      <c r="CH7" s="195" t="s">
        <v>373</v>
      </c>
      <c r="CI7" s="181"/>
      <c r="CJ7" s="1063"/>
      <c r="CK7" s="1064"/>
      <c r="CL7" s="1064"/>
      <c r="CM7" s="1064"/>
      <c r="CN7" s="1064"/>
      <c r="CO7" s="1065"/>
      <c r="CR7" s="19" t="s">
        <v>107</v>
      </c>
      <c r="CS7" s="17" t="s">
        <v>104</v>
      </c>
      <c r="CT7" s="18">
        <v>0.6</v>
      </c>
    </row>
    <row r="8" spans="2:98" ht="9" customHeight="1" x14ac:dyDescent="0.35">
      <c r="B8" s="961"/>
      <c r="C8" s="961"/>
      <c r="D8" s="962"/>
      <c r="E8" s="966"/>
      <c r="F8" s="967"/>
      <c r="G8" s="967"/>
      <c r="H8" s="967"/>
      <c r="I8" s="968"/>
      <c r="J8" s="974" t="s">
        <v>373</v>
      </c>
      <c r="K8" s="975"/>
      <c r="L8" s="975" t="s">
        <v>373</v>
      </c>
      <c r="M8" s="975"/>
      <c r="N8" s="975" t="s">
        <v>373</v>
      </c>
      <c r="O8" s="977"/>
      <c r="P8" s="974" t="s">
        <v>373</v>
      </c>
      <c r="Q8" s="975"/>
      <c r="R8" s="975" t="s">
        <v>373</v>
      </c>
      <c r="S8" s="975"/>
      <c r="T8" s="975" t="s">
        <v>373</v>
      </c>
      <c r="U8" s="977"/>
      <c r="V8" s="974" t="s">
        <v>373</v>
      </c>
      <c r="W8" s="975"/>
      <c r="X8" s="975" t="s">
        <v>373</v>
      </c>
      <c r="Y8" s="975"/>
      <c r="Z8" s="975" t="s">
        <v>373</v>
      </c>
      <c r="AA8" s="977"/>
      <c r="AB8" s="974" t="s">
        <v>373</v>
      </c>
      <c r="AC8" s="975"/>
      <c r="AD8" s="975" t="s">
        <v>373</v>
      </c>
      <c r="AE8" s="975"/>
      <c r="AF8" s="975" t="s">
        <v>373</v>
      </c>
      <c r="AG8" s="977"/>
      <c r="AH8" s="980" t="s">
        <v>373</v>
      </c>
      <c r="AI8" s="981"/>
      <c r="AJ8" s="981" t="s">
        <v>373</v>
      </c>
      <c r="AK8" s="981"/>
      <c r="AL8" s="981" t="s">
        <v>373</v>
      </c>
      <c r="AM8" s="983"/>
      <c r="AN8" s="182"/>
      <c r="AO8" s="987"/>
      <c r="AP8" s="988"/>
      <c r="AQ8" s="988"/>
      <c r="AR8" s="988"/>
      <c r="AS8" s="988"/>
      <c r="AT8" s="989"/>
      <c r="AW8" s="1058"/>
      <c r="AX8" s="1058"/>
      <c r="AY8" s="1059"/>
      <c r="AZ8" s="1052"/>
      <c r="BA8" s="1050"/>
      <c r="BB8" s="1050"/>
      <c r="BC8" s="1050"/>
      <c r="BD8" s="1051"/>
      <c r="BE8" s="190" t="s">
        <v>373</v>
      </c>
      <c r="BF8" s="191" t="s">
        <v>373</v>
      </c>
      <c r="BG8" s="191" t="s">
        <v>373</v>
      </c>
      <c r="BH8" s="191" t="s">
        <v>373</v>
      </c>
      <c r="BI8" s="191" t="s">
        <v>373</v>
      </c>
      <c r="BJ8" s="192" t="s">
        <v>373</v>
      </c>
      <c r="BK8" s="190" t="s">
        <v>373</v>
      </c>
      <c r="BL8" s="191" t="s">
        <v>373</v>
      </c>
      <c r="BM8" s="191" t="s">
        <v>373</v>
      </c>
      <c r="BN8" s="191" t="s">
        <v>373</v>
      </c>
      <c r="BO8" s="191" t="s">
        <v>373</v>
      </c>
      <c r="BP8" s="192" t="s">
        <v>373</v>
      </c>
      <c r="BQ8" s="190" t="s">
        <v>373</v>
      </c>
      <c r="BR8" s="191" t="s">
        <v>373</v>
      </c>
      <c r="BS8" s="191" t="s">
        <v>373</v>
      </c>
      <c r="BT8" s="191" t="s">
        <v>373</v>
      </c>
      <c r="BU8" s="191" t="s">
        <v>373</v>
      </c>
      <c r="BV8" s="192" t="s">
        <v>373</v>
      </c>
      <c r="BW8" s="190" t="s">
        <v>373</v>
      </c>
      <c r="BX8" s="191" t="s">
        <v>373</v>
      </c>
      <c r="BY8" s="191" t="s">
        <v>373</v>
      </c>
      <c r="BZ8" s="191" t="s">
        <v>373</v>
      </c>
      <c r="CA8" s="191" t="s">
        <v>373</v>
      </c>
      <c r="CB8" s="192" t="s">
        <v>373</v>
      </c>
      <c r="CC8" s="193" t="s">
        <v>373</v>
      </c>
      <c r="CD8" s="194" t="s">
        <v>373</v>
      </c>
      <c r="CE8" s="194" t="s">
        <v>373</v>
      </c>
      <c r="CF8" s="194" t="s">
        <v>373</v>
      </c>
      <c r="CG8" s="194" t="s">
        <v>373</v>
      </c>
      <c r="CH8" s="195" t="s">
        <v>373</v>
      </c>
      <c r="CI8" s="181"/>
      <c r="CJ8" s="1063"/>
      <c r="CK8" s="1064"/>
      <c r="CL8" s="1064"/>
      <c r="CM8" s="1064"/>
      <c r="CN8" s="1064"/>
      <c r="CO8" s="1065"/>
      <c r="CR8" s="20" t="s">
        <v>6</v>
      </c>
      <c r="CS8" s="17" t="s">
        <v>105</v>
      </c>
      <c r="CT8" s="18">
        <v>0.8</v>
      </c>
    </row>
    <row r="9" spans="2:98" ht="9" customHeight="1" x14ac:dyDescent="0.35">
      <c r="B9" s="961"/>
      <c r="C9" s="961"/>
      <c r="D9" s="962"/>
      <c r="E9" s="966"/>
      <c r="F9" s="967"/>
      <c r="G9" s="967"/>
      <c r="H9" s="967"/>
      <c r="I9" s="968"/>
      <c r="J9" s="974"/>
      <c r="K9" s="975"/>
      <c r="L9" s="975"/>
      <c r="M9" s="975"/>
      <c r="N9" s="975"/>
      <c r="O9" s="977"/>
      <c r="P9" s="974"/>
      <c r="Q9" s="975"/>
      <c r="R9" s="975"/>
      <c r="S9" s="975"/>
      <c r="T9" s="975"/>
      <c r="U9" s="977"/>
      <c r="V9" s="974"/>
      <c r="W9" s="975"/>
      <c r="X9" s="975"/>
      <c r="Y9" s="975"/>
      <c r="Z9" s="975"/>
      <c r="AA9" s="977"/>
      <c r="AB9" s="974"/>
      <c r="AC9" s="975"/>
      <c r="AD9" s="975"/>
      <c r="AE9" s="975"/>
      <c r="AF9" s="975"/>
      <c r="AG9" s="977"/>
      <c r="AH9" s="980"/>
      <c r="AI9" s="981"/>
      <c r="AJ9" s="981"/>
      <c r="AK9" s="981"/>
      <c r="AL9" s="981"/>
      <c r="AM9" s="983"/>
      <c r="AN9" s="182"/>
      <c r="AO9" s="987"/>
      <c r="AP9" s="988"/>
      <c r="AQ9" s="988"/>
      <c r="AR9" s="988"/>
      <c r="AS9" s="988"/>
      <c r="AT9" s="989"/>
      <c r="AW9" s="1058"/>
      <c r="AX9" s="1058"/>
      <c r="AY9" s="1059"/>
      <c r="AZ9" s="1052"/>
      <c r="BA9" s="1050"/>
      <c r="BB9" s="1050"/>
      <c r="BC9" s="1050"/>
      <c r="BD9" s="1051"/>
      <c r="BE9" s="190" t="s">
        <v>373</v>
      </c>
      <c r="BF9" s="191" t="s">
        <v>373</v>
      </c>
      <c r="BG9" s="191" t="s">
        <v>373</v>
      </c>
      <c r="BH9" s="191" t="s">
        <v>373</v>
      </c>
      <c r="BI9" s="191" t="s">
        <v>373</v>
      </c>
      <c r="BJ9" s="192" t="s">
        <v>373</v>
      </c>
      <c r="BK9" s="190" t="s">
        <v>373</v>
      </c>
      <c r="BL9" s="191" t="s">
        <v>373</v>
      </c>
      <c r="BM9" s="191" t="s">
        <v>373</v>
      </c>
      <c r="BN9" s="191" t="s">
        <v>373</v>
      </c>
      <c r="BO9" s="191" t="s">
        <v>373</v>
      </c>
      <c r="BP9" s="192" t="s">
        <v>373</v>
      </c>
      <c r="BQ9" s="190" t="s">
        <v>373</v>
      </c>
      <c r="BR9" s="191" t="s">
        <v>373</v>
      </c>
      <c r="BS9" s="191" t="s">
        <v>373</v>
      </c>
      <c r="BT9" s="191" t="s">
        <v>373</v>
      </c>
      <c r="BU9" s="191" t="s">
        <v>373</v>
      </c>
      <c r="BV9" s="192" t="s">
        <v>373</v>
      </c>
      <c r="BW9" s="190" t="s">
        <v>373</v>
      </c>
      <c r="BX9" s="191" t="s">
        <v>373</v>
      </c>
      <c r="BY9" s="191" t="s">
        <v>373</v>
      </c>
      <c r="BZ9" s="191" t="s">
        <v>373</v>
      </c>
      <c r="CA9" s="191" t="s">
        <v>373</v>
      </c>
      <c r="CB9" s="192" t="s">
        <v>373</v>
      </c>
      <c r="CC9" s="193" t="s">
        <v>373</v>
      </c>
      <c r="CD9" s="194" t="s">
        <v>373</v>
      </c>
      <c r="CE9" s="194" t="s">
        <v>373</v>
      </c>
      <c r="CF9" s="194" t="s">
        <v>373</v>
      </c>
      <c r="CG9" s="194" t="s">
        <v>373</v>
      </c>
      <c r="CH9" s="195" t="s">
        <v>373</v>
      </c>
      <c r="CI9" s="181"/>
      <c r="CJ9" s="1063"/>
      <c r="CK9" s="1064"/>
      <c r="CL9" s="1064"/>
      <c r="CM9" s="1064"/>
      <c r="CN9" s="1064"/>
      <c r="CO9" s="1065"/>
      <c r="CR9" s="21" t="s">
        <v>54</v>
      </c>
      <c r="CS9" s="17" t="s">
        <v>106</v>
      </c>
      <c r="CT9" s="18">
        <v>1</v>
      </c>
    </row>
    <row r="10" spans="2:98" ht="9" customHeight="1" x14ac:dyDescent="0.35">
      <c r="B10" s="961"/>
      <c r="C10" s="961"/>
      <c r="D10" s="962"/>
      <c r="E10" s="966"/>
      <c r="F10" s="967"/>
      <c r="G10" s="967"/>
      <c r="H10" s="967"/>
      <c r="I10" s="968"/>
      <c r="J10" s="974" t="s">
        <v>373</v>
      </c>
      <c r="K10" s="975"/>
      <c r="L10" s="975" t="s">
        <v>373</v>
      </c>
      <c r="M10" s="975"/>
      <c r="N10" s="975" t="s">
        <v>373</v>
      </c>
      <c r="O10" s="977"/>
      <c r="P10" s="974" t="s">
        <v>373</v>
      </c>
      <c r="Q10" s="975"/>
      <c r="R10" s="975" t="s">
        <v>373</v>
      </c>
      <c r="S10" s="975"/>
      <c r="T10" s="975" t="s">
        <v>373</v>
      </c>
      <c r="U10" s="977"/>
      <c r="V10" s="974" t="s">
        <v>373</v>
      </c>
      <c r="W10" s="975"/>
      <c r="X10" s="975" t="s">
        <v>373</v>
      </c>
      <c r="Y10" s="975"/>
      <c r="Z10" s="975" t="s">
        <v>373</v>
      </c>
      <c r="AA10" s="977"/>
      <c r="AB10" s="974" t="s">
        <v>373</v>
      </c>
      <c r="AC10" s="975"/>
      <c r="AD10" s="975" t="s">
        <v>373</v>
      </c>
      <c r="AE10" s="975"/>
      <c r="AF10" s="975" t="s">
        <v>373</v>
      </c>
      <c r="AG10" s="977"/>
      <c r="AH10" s="980" t="s">
        <v>373</v>
      </c>
      <c r="AI10" s="981"/>
      <c r="AJ10" s="981" t="s">
        <v>373</v>
      </c>
      <c r="AK10" s="981"/>
      <c r="AL10" s="981" t="s">
        <v>373</v>
      </c>
      <c r="AM10" s="983"/>
      <c r="AN10" s="182"/>
      <c r="AO10" s="987"/>
      <c r="AP10" s="988"/>
      <c r="AQ10" s="988"/>
      <c r="AR10" s="988"/>
      <c r="AS10" s="988"/>
      <c r="AT10" s="989"/>
      <c r="AW10" s="1058"/>
      <c r="AX10" s="1058"/>
      <c r="AY10" s="1059"/>
      <c r="AZ10" s="1052"/>
      <c r="BA10" s="1050"/>
      <c r="BB10" s="1050"/>
      <c r="BC10" s="1050"/>
      <c r="BD10" s="1051"/>
      <c r="BE10" s="190" t="s">
        <v>373</v>
      </c>
      <c r="BF10" s="191" t="s">
        <v>373</v>
      </c>
      <c r="BG10" s="191" t="s">
        <v>373</v>
      </c>
      <c r="BH10" s="191" t="s">
        <v>373</v>
      </c>
      <c r="BI10" s="191" t="s">
        <v>373</v>
      </c>
      <c r="BJ10" s="192" t="s">
        <v>373</v>
      </c>
      <c r="BK10" s="190" t="s">
        <v>373</v>
      </c>
      <c r="BL10" s="191" t="s">
        <v>373</v>
      </c>
      <c r="BM10" s="191" t="s">
        <v>373</v>
      </c>
      <c r="BN10" s="191" t="s">
        <v>373</v>
      </c>
      <c r="BO10" s="191" t="s">
        <v>373</v>
      </c>
      <c r="BP10" s="192" t="s">
        <v>373</v>
      </c>
      <c r="BQ10" s="190" t="s">
        <v>373</v>
      </c>
      <c r="BR10" s="191" t="s">
        <v>373</v>
      </c>
      <c r="BS10" s="191" t="s">
        <v>373</v>
      </c>
      <c r="BT10" s="191" t="s">
        <v>373</v>
      </c>
      <c r="BU10" s="191" t="s">
        <v>373</v>
      </c>
      <c r="BV10" s="192" t="s">
        <v>373</v>
      </c>
      <c r="BW10" s="190" t="s">
        <v>373</v>
      </c>
      <c r="BX10" s="191" t="s">
        <v>373</v>
      </c>
      <c r="BY10" s="191" t="s">
        <v>373</v>
      </c>
      <c r="BZ10" s="191" t="s">
        <v>373</v>
      </c>
      <c r="CA10" s="191" t="s">
        <v>373</v>
      </c>
      <c r="CB10" s="192" t="s">
        <v>373</v>
      </c>
      <c r="CC10" s="193" t="s">
        <v>373</v>
      </c>
      <c r="CD10" s="194" t="s">
        <v>373</v>
      </c>
      <c r="CE10" s="194" t="s">
        <v>373</v>
      </c>
      <c r="CF10" s="194" t="s">
        <v>373</v>
      </c>
      <c r="CG10" s="194" t="s">
        <v>373</v>
      </c>
      <c r="CH10" s="195" t="s">
        <v>373</v>
      </c>
      <c r="CI10" s="181"/>
      <c r="CJ10" s="1063"/>
      <c r="CK10" s="1064"/>
      <c r="CL10" s="1064"/>
      <c r="CM10" s="1064"/>
      <c r="CN10" s="1064"/>
      <c r="CO10" s="1065"/>
    </row>
    <row r="11" spans="2:98" ht="9" customHeight="1" x14ac:dyDescent="0.35">
      <c r="B11" s="961"/>
      <c r="C11" s="961"/>
      <c r="D11" s="962"/>
      <c r="E11" s="966"/>
      <c r="F11" s="967"/>
      <c r="G11" s="967"/>
      <c r="H11" s="967"/>
      <c r="I11" s="968"/>
      <c r="J11" s="974"/>
      <c r="K11" s="975"/>
      <c r="L11" s="975"/>
      <c r="M11" s="975"/>
      <c r="N11" s="975"/>
      <c r="O11" s="977"/>
      <c r="P11" s="974"/>
      <c r="Q11" s="975"/>
      <c r="R11" s="975"/>
      <c r="S11" s="975"/>
      <c r="T11" s="975"/>
      <c r="U11" s="977"/>
      <c r="V11" s="974"/>
      <c r="W11" s="975"/>
      <c r="X11" s="975"/>
      <c r="Y11" s="975"/>
      <c r="Z11" s="975"/>
      <c r="AA11" s="977"/>
      <c r="AB11" s="974"/>
      <c r="AC11" s="975"/>
      <c r="AD11" s="975"/>
      <c r="AE11" s="975"/>
      <c r="AF11" s="975"/>
      <c r="AG11" s="977"/>
      <c r="AH11" s="980"/>
      <c r="AI11" s="981"/>
      <c r="AJ11" s="981"/>
      <c r="AK11" s="981"/>
      <c r="AL11" s="981"/>
      <c r="AM11" s="983"/>
      <c r="AN11" s="182"/>
      <c r="AO11" s="987"/>
      <c r="AP11" s="988"/>
      <c r="AQ11" s="988"/>
      <c r="AR11" s="988"/>
      <c r="AS11" s="988"/>
      <c r="AT11" s="989"/>
      <c r="AW11" s="1058"/>
      <c r="AX11" s="1058"/>
      <c r="AY11" s="1059"/>
      <c r="AZ11" s="1052"/>
      <c r="BA11" s="1050"/>
      <c r="BB11" s="1050"/>
      <c r="BC11" s="1050"/>
      <c r="BD11" s="1051"/>
      <c r="BE11" s="190" t="s">
        <v>373</v>
      </c>
      <c r="BF11" s="191" t="s">
        <v>373</v>
      </c>
      <c r="BG11" s="191" t="s">
        <v>373</v>
      </c>
      <c r="BH11" s="191" t="s">
        <v>373</v>
      </c>
      <c r="BI11" s="191" t="s">
        <v>373</v>
      </c>
      <c r="BJ11" s="192" t="s">
        <v>373</v>
      </c>
      <c r="BK11" s="190" t="s">
        <v>373</v>
      </c>
      <c r="BL11" s="191" t="s">
        <v>373</v>
      </c>
      <c r="BM11" s="191" t="s">
        <v>373</v>
      </c>
      <c r="BN11" s="191" t="s">
        <v>373</v>
      </c>
      <c r="BO11" s="191" t="s">
        <v>373</v>
      </c>
      <c r="BP11" s="192" t="s">
        <v>373</v>
      </c>
      <c r="BQ11" s="190" t="s">
        <v>373</v>
      </c>
      <c r="BR11" s="191" t="s">
        <v>373</v>
      </c>
      <c r="BS11" s="191" t="s">
        <v>373</v>
      </c>
      <c r="BT11" s="191" t="s">
        <v>373</v>
      </c>
      <c r="BU11" s="191" t="s">
        <v>373</v>
      </c>
      <c r="BV11" s="192" t="s">
        <v>373</v>
      </c>
      <c r="BW11" s="190" t="s">
        <v>373</v>
      </c>
      <c r="BX11" s="191" t="s">
        <v>373</v>
      </c>
      <c r="BY11" s="191" t="s">
        <v>373</v>
      </c>
      <c r="BZ11" s="191" t="s">
        <v>373</v>
      </c>
      <c r="CA11" s="191" t="s">
        <v>373</v>
      </c>
      <c r="CB11" s="192" t="s">
        <v>373</v>
      </c>
      <c r="CC11" s="193" t="s">
        <v>373</v>
      </c>
      <c r="CD11" s="194" t="s">
        <v>373</v>
      </c>
      <c r="CE11" s="194" t="s">
        <v>373</v>
      </c>
      <c r="CF11" s="194" t="s">
        <v>373</v>
      </c>
      <c r="CG11" s="194" t="s">
        <v>373</v>
      </c>
      <c r="CH11" s="195" t="s">
        <v>373</v>
      </c>
      <c r="CI11" s="181"/>
      <c r="CJ11" s="1063"/>
      <c r="CK11" s="1064"/>
      <c r="CL11" s="1064"/>
      <c r="CM11" s="1064"/>
      <c r="CN11" s="1064"/>
      <c r="CO11" s="1065"/>
    </row>
    <row r="12" spans="2:98" ht="9" customHeight="1" x14ac:dyDescent="0.35">
      <c r="B12" s="961"/>
      <c r="C12" s="961"/>
      <c r="D12" s="962"/>
      <c r="E12" s="966"/>
      <c r="F12" s="967"/>
      <c r="G12" s="967"/>
      <c r="H12" s="967"/>
      <c r="I12" s="968"/>
      <c r="J12" s="974" t="s">
        <v>373</v>
      </c>
      <c r="K12" s="975"/>
      <c r="L12" s="975" t="s">
        <v>373</v>
      </c>
      <c r="M12" s="975"/>
      <c r="N12" s="975" t="s">
        <v>373</v>
      </c>
      <c r="O12" s="977"/>
      <c r="P12" s="974" t="s">
        <v>373</v>
      </c>
      <c r="Q12" s="975"/>
      <c r="R12" s="975" t="s">
        <v>373</v>
      </c>
      <c r="S12" s="975"/>
      <c r="T12" s="975" t="s">
        <v>373</v>
      </c>
      <c r="U12" s="977"/>
      <c r="V12" s="974" t="s">
        <v>373</v>
      </c>
      <c r="W12" s="975"/>
      <c r="X12" s="975" t="s">
        <v>373</v>
      </c>
      <c r="Y12" s="975"/>
      <c r="Z12" s="975" t="s">
        <v>373</v>
      </c>
      <c r="AA12" s="977"/>
      <c r="AB12" s="974" t="s">
        <v>373</v>
      </c>
      <c r="AC12" s="975"/>
      <c r="AD12" s="975" t="s">
        <v>373</v>
      </c>
      <c r="AE12" s="975"/>
      <c r="AF12" s="975" t="s">
        <v>373</v>
      </c>
      <c r="AG12" s="977"/>
      <c r="AH12" s="980" t="s">
        <v>373</v>
      </c>
      <c r="AI12" s="981"/>
      <c r="AJ12" s="981" t="s">
        <v>373</v>
      </c>
      <c r="AK12" s="981"/>
      <c r="AL12" s="981" t="s">
        <v>373</v>
      </c>
      <c r="AM12" s="983"/>
      <c r="AN12" s="182"/>
      <c r="AO12" s="987"/>
      <c r="AP12" s="988"/>
      <c r="AQ12" s="988"/>
      <c r="AR12" s="988"/>
      <c r="AS12" s="988"/>
      <c r="AT12" s="989"/>
      <c r="AW12" s="1058"/>
      <c r="AX12" s="1058"/>
      <c r="AY12" s="1059"/>
      <c r="AZ12" s="1052"/>
      <c r="BA12" s="1050"/>
      <c r="BB12" s="1050"/>
      <c r="BC12" s="1050"/>
      <c r="BD12" s="1051"/>
      <c r="BE12" s="190" t="s">
        <v>373</v>
      </c>
      <c r="BF12" s="191" t="s">
        <v>373</v>
      </c>
      <c r="BG12" s="191" t="s">
        <v>373</v>
      </c>
      <c r="BH12" s="191" t="s">
        <v>373</v>
      </c>
      <c r="BI12" s="191" t="s">
        <v>373</v>
      </c>
      <c r="BJ12" s="192" t="s">
        <v>373</v>
      </c>
      <c r="BK12" s="190" t="s">
        <v>373</v>
      </c>
      <c r="BL12" s="191" t="s">
        <v>373</v>
      </c>
      <c r="BM12" s="191" t="s">
        <v>373</v>
      </c>
      <c r="BN12" s="191" t="s">
        <v>373</v>
      </c>
      <c r="BO12" s="191" t="s">
        <v>373</v>
      </c>
      <c r="BP12" s="192" t="s">
        <v>373</v>
      </c>
      <c r="BQ12" s="190" t="s">
        <v>373</v>
      </c>
      <c r="BR12" s="191" t="s">
        <v>373</v>
      </c>
      <c r="BS12" s="191" t="s">
        <v>373</v>
      </c>
      <c r="BT12" s="191" t="s">
        <v>373</v>
      </c>
      <c r="BU12" s="191" t="s">
        <v>373</v>
      </c>
      <c r="BV12" s="192" t="s">
        <v>373</v>
      </c>
      <c r="BW12" s="190" t="s">
        <v>373</v>
      </c>
      <c r="BX12" s="191" t="s">
        <v>373</v>
      </c>
      <c r="BY12" s="191" t="s">
        <v>373</v>
      </c>
      <c r="BZ12" s="191" t="s">
        <v>373</v>
      </c>
      <c r="CA12" s="191" t="s">
        <v>373</v>
      </c>
      <c r="CB12" s="192" t="s">
        <v>373</v>
      </c>
      <c r="CC12" s="193" t="s">
        <v>373</v>
      </c>
      <c r="CD12" s="194" t="s">
        <v>373</v>
      </c>
      <c r="CE12" s="194" t="s">
        <v>373</v>
      </c>
      <c r="CF12" s="194" t="s">
        <v>373</v>
      </c>
      <c r="CG12" s="194" t="s">
        <v>373</v>
      </c>
      <c r="CH12" s="195" t="s">
        <v>373</v>
      </c>
      <c r="CI12" s="181"/>
      <c r="CJ12" s="1063"/>
      <c r="CK12" s="1064"/>
      <c r="CL12" s="1064"/>
      <c r="CM12" s="1064"/>
      <c r="CN12" s="1064"/>
      <c r="CO12" s="1065"/>
    </row>
    <row r="13" spans="2:98" ht="9" customHeight="1" thickBot="1" x14ac:dyDescent="0.4">
      <c r="B13" s="961"/>
      <c r="C13" s="961"/>
      <c r="D13" s="962"/>
      <c r="E13" s="969"/>
      <c r="F13" s="970"/>
      <c r="G13" s="970"/>
      <c r="H13" s="970"/>
      <c r="I13" s="971"/>
      <c r="J13" s="1003"/>
      <c r="K13" s="1001"/>
      <c r="L13" s="1001"/>
      <c r="M13" s="1001"/>
      <c r="N13" s="1001"/>
      <c r="O13" s="1002"/>
      <c r="P13" s="1003"/>
      <c r="Q13" s="1001"/>
      <c r="R13" s="1001"/>
      <c r="S13" s="1001"/>
      <c r="T13" s="1001"/>
      <c r="U13" s="1002"/>
      <c r="V13" s="1003"/>
      <c r="W13" s="1001"/>
      <c r="X13" s="1001"/>
      <c r="Y13" s="1001"/>
      <c r="Z13" s="1001"/>
      <c r="AA13" s="1002"/>
      <c r="AB13" s="1003"/>
      <c r="AC13" s="1001"/>
      <c r="AD13" s="1001"/>
      <c r="AE13" s="1001"/>
      <c r="AF13" s="1001"/>
      <c r="AG13" s="1002"/>
      <c r="AH13" s="1004"/>
      <c r="AI13" s="993"/>
      <c r="AJ13" s="993"/>
      <c r="AK13" s="993"/>
      <c r="AL13" s="993"/>
      <c r="AM13" s="994"/>
      <c r="AN13" s="182"/>
      <c r="AO13" s="990"/>
      <c r="AP13" s="991"/>
      <c r="AQ13" s="991"/>
      <c r="AR13" s="991"/>
      <c r="AS13" s="991"/>
      <c r="AT13" s="992"/>
      <c r="AW13" s="1058"/>
      <c r="AX13" s="1058"/>
      <c r="AY13" s="1059"/>
      <c r="AZ13" s="1052"/>
      <c r="BA13" s="1050"/>
      <c r="BB13" s="1050"/>
      <c r="BC13" s="1050"/>
      <c r="BD13" s="1051"/>
      <c r="BE13" s="190" t="s">
        <v>373</v>
      </c>
      <c r="BF13" s="191" t="s">
        <v>373</v>
      </c>
      <c r="BG13" s="191" t="s">
        <v>373</v>
      </c>
      <c r="BH13" s="191" t="s">
        <v>373</v>
      </c>
      <c r="BI13" s="191" t="s">
        <v>373</v>
      </c>
      <c r="BJ13" s="192" t="s">
        <v>373</v>
      </c>
      <c r="BK13" s="190" t="s">
        <v>373</v>
      </c>
      <c r="BL13" s="191" t="s">
        <v>373</v>
      </c>
      <c r="BM13" s="191" t="s">
        <v>373</v>
      </c>
      <c r="BN13" s="191" t="s">
        <v>373</v>
      </c>
      <c r="BO13" s="191" t="s">
        <v>373</v>
      </c>
      <c r="BP13" s="192" t="s">
        <v>373</v>
      </c>
      <c r="BQ13" s="190" t="s">
        <v>373</v>
      </c>
      <c r="BR13" s="191" t="s">
        <v>373</v>
      </c>
      <c r="BS13" s="191" t="s">
        <v>373</v>
      </c>
      <c r="BT13" s="191" t="s">
        <v>373</v>
      </c>
      <c r="BU13" s="191" t="s">
        <v>373</v>
      </c>
      <c r="BV13" s="192" t="s">
        <v>373</v>
      </c>
      <c r="BW13" s="190" t="s">
        <v>373</v>
      </c>
      <c r="BX13" s="191" t="s">
        <v>373</v>
      </c>
      <c r="BY13" s="191" t="s">
        <v>373</v>
      </c>
      <c r="BZ13" s="191" t="s">
        <v>373</v>
      </c>
      <c r="CA13" s="191" t="s">
        <v>373</v>
      </c>
      <c r="CB13" s="192" t="s">
        <v>373</v>
      </c>
      <c r="CC13" s="193" t="s">
        <v>373</v>
      </c>
      <c r="CD13" s="194" t="s">
        <v>373</v>
      </c>
      <c r="CE13" s="194" t="s">
        <v>373</v>
      </c>
      <c r="CF13" s="194" t="s">
        <v>373</v>
      </c>
      <c r="CG13" s="194" t="s">
        <v>373</v>
      </c>
      <c r="CH13" s="195" t="s">
        <v>373</v>
      </c>
      <c r="CI13" s="181"/>
      <c r="CJ13" s="1063"/>
      <c r="CK13" s="1064"/>
      <c r="CL13" s="1064"/>
      <c r="CM13" s="1064"/>
      <c r="CN13" s="1064"/>
      <c r="CO13" s="1065"/>
    </row>
    <row r="14" spans="2:98" ht="9" customHeight="1" x14ac:dyDescent="0.35">
      <c r="B14" s="961"/>
      <c r="C14" s="961"/>
      <c r="D14" s="962"/>
      <c r="E14" s="963" t="s">
        <v>115</v>
      </c>
      <c r="F14" s="964"/>
      <c r="G14" s="964"/>
      <c r="H14" s="964"/>
      <c r="I14" s="964"/>
      <c r="J14" s="995" t="s">
        <v>373</v>
      </c>
      <c r="K14" s="996"/>
      <c r="L14" s="996" t="s">
        <v>373</v>
      </c>
      <c r="M14" s="996"/>
      <c r="N14" s="996" t="s">
        <v>373</v>
      </c>
      <c r="O14" s="999"/>
      <c r="P14" s="995" t="s">
        <v>373</v>
      </c>
      <c r="Q14" s="996"/>
      <c r="R14" s="996" t="s">
        <v>373</v>
      </c>
      <c r="S14" s="996"/>
      <c r="T14" s="996" t="s">
        <v>373</v>
      </c>
      <c r="U14" s="999"/>
      <c r="V14" s="972" t="s">
        <v>373</v>
      </c>
      <c r="W14" s="973"/>
      <c r="X14" s="973" t="s">
        <v>373</v>
      </c>
      <c r="Y14" s="973"/>
      <c r="Z14" s="973" t="s">
        <v>373</v>
      </c>
      <c r="AA14" s="976"/>
      <c r="AB14" s="972" t="s">
        <v>373</v>
      </c>
      <c r="AC14" s="973"/>
      <c r="AD14" s="973" t="s">
        <v>373</v>
      </c>
      <c r="AE14" s="973"/>
      <c r="AF14" s="973" t="s">
        <v>373</v>
      </c>
      <c r="AG14" s="976"/>
      <c r="AH14" s="978" t="s">
        <v>373</v>
      </c>
      <c r="AI14" s="979"/>
      <c r="AJ14" s="979" t="s">
        <v>373</v>
      </c>
      <c r="AK14" s="979"/>
      <c r="AL14" s="979" t="s">
        <v>373</v>
      </c>
      <c r="AM14" s="982"/>
      <c r="AN14" s="182"/>
      <c r="AO14" s="1005" t="s">
        <v>80</v>
      </c>
      <c r="AP14" s="1006"/>
      <c r="AQ14" s="1006"/>
      <c r="AR14" s="1006"/>
      <c r="AS14" s="1006"/>
      <c r="AT14" s="1007"/>
      <c r="AW14" s="1058"/>
      <c r="AX14" s="1058"/>
      <c r="AY14" s="1059"/>
      <c r="AZ14" s="1052"/>
      <c r="BA14" s="1050"/>
      <c r="BB14" s="1050"/>
      <c r="BC14" s="1050"/>
      <c r="BD14" s="1051"/>
      <c r="BE14" s="190" t="s">
        <v>373</v>
      </c>
      <c r="BF14" s="191" t="s">
        <v>373</v>
      </c>
      <c r="BG14" s="191" t="s">
        <v>373</v>
      </c>
      <c r="BH14" s="191" t="s">
        <v>373</v>
      </c>
      <c r="BI14" s="191" t="s">
        <v>373</v>
      </c>
      <c r="BJ14" s="192" t="s">
        <v>373</v>
      </c>
      <c r="BK14" s="190" t="s">
        <v>373</v>
      </c>
      <c r="BL14" s="191" t="s">
        <v>373</v>
      </c>
      <c r="BM14" s="191" t="s">
        <v>373</v>
      </c>
      <c r="BN14" s="191" t="s">
        <v>373</v>
      </c>
      <c r="BO14" s="191" t="s">
        <v>373</v>
      </c>
      <c r="BP14" s="192" t="s">
        <v>373</v>
      </c>
      <c r="BQ14" s="190" t="s">
        <v>373</v>
      </c>
      <c r="BR14" s="191" t="s">
        <v>373</v>
      </c>
      <c r="BS14" s="191" t="s">
        <v>373</v>
      </c>
      <c r="BT14" s="191" t="s">
        <v>373</v>
      </c>
      <c r="BU14" s="191" t="s">
        <v>373</v>
      </c>
      <c r="BV14" s="192" t="s">
        <v>373</v>
      </c>
      <c r="BW14" s="190" t="s">
        <v>373</v>
      </c>
      <c r="BX14" s="191" t="s">
        <v>373</v>
      </c>
      <c r="BY14" s="191" t="s">
        <v>373</v>
      </c>
      <c r="BZ14" s="191" t="s">
        <v>373</v>
      </c>
      <c r="CA14" s="191" t="s">
        <v>373</v>
      </c>
      <c r="CB14" s="192" t="s">
        <v>373</v>
      </c>
      <c r="CC14" s="193" t="s">
        <v>373</v>
      </c>
      <c r="CD14" s="194" t="s">
        <v>373</v>
      </c>
      <c r="CE14" s="194" t="s">
        <v>373</v>
      </c>
      <c r="CF14" s="194" t="s">
        <v>373</v>
      </c>
      <c r="CG14" s="194" t="s">
        <v>373</v>
      </c>
      <c r="CH14" s="195" t="s">
        <v>373</v>
      </c>
      <c r="CI14" s="181"/>
      <c r="CJ14" s="1063"/>
      <c r="CK14" s="1064"/>
      <c r="CL14" s="1064"/>
      <c r="CM14" s="1064"/>
      <c r="CN14" s="1064"/>
      <c r="CO14" s="1065"/>
    </row>
    <row r="15" spans="2:98" ht="9" customHeight="1" thickBot="1" x14ac:dyDescent="0.4">
      <c r="B15" s="961"/>
      <c r="C15" s="961"/>
      <c r="D15" s="962"/>
      <c r="E15" s="966"/>
      <c r="F15" s="967"/>
      <c r="G15" s="967"/>
      <c r="H15" s="967"/>
      <c r="I15" s="967"/>
      <c r="J15" s="997"/>
      <c r="K15" s="998"/>
      <c r="L15" s="998"/>
      <c r="M15" s="998"/>
      <c r="N15" s="998"/>
      <c r="O15" s="1000"/>
      <c r="P15" s="997"/>
      <c r="Q15" s="998"/>
      <c r="R15" s="998"/>
      <c r="S15" s="998"/>
      <c r="T15" s="998"/>
      <c r="U15" s="1000"/>
      <c r="V15" s="974"/>
      <c r="W15" s="975"/>
      <c r="X15" s="975"/>
      <c r="Y15" s="975"/>
      <c r="Z15" s="975"/>
      <c r="AA15" s="977"/>
      <c r="AB15" s="974"/>
      <c r="AC15" s="975"/>
      <c r="AD15" s="975"/>
      <c r="AE15" s="975"/>
      <c r="AF15" s="975"/>
      <c r="AG15" s="977"/>
      <c r="AH15" s="980"/>
      <c r="AI15" s="981"/>
      <c r="AJ15" s="981"/>
      <c r="AK15" s="981"/>
      <c r="AL15" s="981"/>
      <c r="AM15" s="983"/>
      <c r="AN15" s="182"/>
      <c r="AO15" s="1008"/>
      <c r="AP15" s="1009"/>
      <c r="AQ15" s="1009"/>
      <c r="AR15" s="1009"/>
      <c r="AS15" s="1009"/>
      <c r="AT15" s="1010"/>
      <c r="AW15" s="1058"/>
      <c r="AX15" s="1058"/>
      <c r="AY15" s="1059"/>
      <c r="AZ15" s="1053"/>
      <c r="BA15" s="1054"/>
      <c r="BB15" s="1054"/>
      <c r="BC15" s="1054"/>
      <c r="BD15" s="1055"/>
      <c r="BE15" s="196" t="s">
        <v>373</v>
      </c>
      <c r="BF15" s="197" t="s">
        <v>373</v>
      </c>
      <c r="BG15" s="197" t="s">
        <v>373</v>
      </c>
      <c r="BH15" s="197" t="s">
        <v>373</v>
      </c>
      <c r="BI15" s="197" t="s">
        <v>373</v>
      </c>
      <c r="BJ15" s="198" t="s">
        <v>373</v>
      </c>
      <c r="BK15" s="190" t="s">
        <v>373</v>
      </c>
      <c r="BL15" s="191" t="s">
        <v>373</v>
      </c>
      <c r="BM15" s="191" t="s">
        <v>373</v>
      </c>
      <c r="BN15" s="191" t="s">
        <v>373</v>
      </c>
      <c r="BO15" s="191" t="s">
        <v>373</v>
      </c>
      <c r="BP15" s="192" t="s">
        <v>373</v>
      </c>
      <c r="BQ15" s="196" t="s">
        <v>373</v>
      </c>
      <c r="BR15" s="197" t="s">
        <v>373</v>
      </c>
      <c r="BS15" s="197" t="s">
        <v>373</v>
      </c>
      <c r="BT15" s="197" t="s">
        <v>373</v>
      </c>
      <c r="BU15" s="197" t="s">
        <v>373</v>
      </c>
      <c r="BV15" s="198" t="s">
        <v>373</v>
      </c>
      <c r="BW15" s="190" t="s">
        <v>373</v>
      </c>
      <c r="BX15" s="191" t="s">
        <v>373</v>
      </c>
      <c r="BY15" s="191" t="s">
        <v>373</v>
      </c>
      <c r="BZ15" s="191" t="s">
        <v>373</v>
      </c>
      <c r="CA15" s="191" t="s">
        <v>373</v>
      </c>
      <c r="CB15" s="192" t="s">
        <v>373</v>
      </c>
      <c r="CC15" s="199" t="s">
        <v>373</v>
      </c>
      <c r="CD15" s="200" t="s">
        <v>373</v>
      </c>
      <c r="CE15" s="200" t="s">
        <v>373</v>
      </c>
      <c r="CF15" s="200" t="s">
        <v>373</v>
      </c>
      <c r="CG15" s="200" t="s">
        <v>373</v>
      </c>
      <c r="CH15" s="201" t="s">
        <v>373</v>
      </c>
      <c r="CI15" s="181"/>
      <c r="CJ15" s="1066"/>
      <c r="CK15" s="1067"/>
      <c r="CL15" s="1067"/>
      <c r="CM15" s="1067"/>
      <c r="CN15" s="1067"/>
      <c r="CO15" s="1068"/>
    </row>
    <row r="16" spans="2:98" ht="9" customHeight="1" x14ac:dyDescent="0.35">
      <c r="B16" s="961"/>
      <c r="C16" s="961"/>
      <c r="D16" s="962"/>
      <c r="E16" s="966"/>
      <c r="F16" s="967"/>
      <c r="G16" s="967"/>
      <c r="H16" s="967"/>
      <c r="I16" s="967"/>
      <c r="J16" s="997" t="s">
        <v>373</v>
      </c>
      <c r="K16" s="998"/>
      <c r="L16" s="998" t="s">
        <v>373</v>
      </c>
      <c r="M16" s="998"/>
      <c r="N16" s="998" t="s">
        <v>373</v>
      </c>
      <c r="O16" s="1000"/>
      <c r="P16" s="997" t="s">
        <v>373</v>
      </c>
      <c r="Q16" s="998"/>
      <c r="R16" s="998" t="s">
        <v>373</v>
      </c>
      <c r="S16" s="998"/>
      <c r="T16" s="998" t="s">
        <v>373</v>
      </c>
      <c r="U16" s="1000"/>
      <c r="V16" s="974" t="s">
        <v>373</v>
      </c>
      <c r="W16" s="975"/>
      <c r="X16" s="975" t="s">
        <v>373</v>
      </c>
      <c r="Y16" s="975"/>
      <c r="Z16" s="975" t="s">
        <v>373</v>
      </c>
      <c r="AA16" s="977"/>
      <c r="AB16" s="974" t="s">
        <v>373</v>
      </c>
      <c r="AC16" s="975"/>
      <c r="AD16" s="975" t="s">
        <v>373</v>
      </c>
      <c r="AE16" s="975"/>
      <c r="AF16" s="975" t="s">
        <v>373</v>
      </c>
      <c r="AG16" s="977"/>
      <c r="AH16" s="980" t="s">
        <v>373</v>
      </c>
      <c r="AI16" s="981"/>
      <c r="AJ16" s="981" t="s">
        <v>373</v>
      </c>
      <c r="AK16" s="981"/>
      <c r="AL16" s="981" t="s">
        <v>373</v>
      </c>
      <c r="AM16" s="983"/>
      <c r="AN16" s="182"/>
      <c r="AO16" s="1008"/>
      <c r="AP16" s="1009"/>
      <c r="AQ16" s="1009"/>
      <c r="AR16" s="1009"/>
      <c r="AS16" s="1009"/>
      <c r="AT16" s="1010"/>
      <c r="AW16" s="1058"/>
      <c r="AX16" s="1058"/>
      <c r="AY16" s="1059"/>
      <c r="AZ16" s="1046" t="s">
        <v>115</v>
      </c>
      <c r="BA16" s="1047"/>
      <c r="BB16" s="1047"/>
      <c r="BC16" s="1047"/>
      <c r="BD16" s="1047"/>
      <c r="BE16" s="202" t="s">
        <v>373</v>
      </c>
      <c r="BF16" s="203" t="s">
        <v>373</v>
      </c>
      <c r="BG16" s="203" t="s">
        <v>373</v>
      </c>
      <c r="BH16" s="203" t="s">
        <v>373</v>
      </c>
      <c r="BI16" s="203" t="s">
        <v>373</v>
      </c>
      <c r="BJ16" s="204" t="s">
        <v>373</v>
      </c>
      <c r="BK16" s="202" t="s">
        <v>373</v>
      </c>
      <c r="BL16" s="203" t="s">
        <v>373</v>
      </c>
      <c r="BM16" s="203" t="s">
        <v>373</v>
      </c>
      <c r="BN16" s="203" t="s">
        <v>373</v>
      </c>
      <c r="BO16" s="203" t="s">
        <v>373</v>
      </c>
      <c r="BP16" s="204" t="s">
        <v>373</v>
      </c>
      <c r="BQ16" s="184" t="s">
        <v>373</v>
      </c>
      <c r="BR16" s="185" t="s">
        <v>373</v>
      </c>
      <c r="BS16" s="185" t="s">
        <v>373</v>
      </c>
      <c r="BT16" s="185" t="s">
        <v>373</v>
      </c>
      <c r="BU16" s="185" t="s">
        <v>373</v>
      </c>
      <c r="BV16" s="186" t="s">
        <v>373</v>
      </c>
      <c r="BW16" s="184" t="s">
        <v>373</v>
      </c>
      <c r="BX16" s="185" t="s">
        <v>373</v>
      </c>
      <c r="BY16" s="185" t="s">
        <v>373</v>
      </c>
      <c r="BZ16" s="185" t="s">
        <v>373</v>
      </c>
      <c r="CA16" s="185" t="s">
        <v>373</v>
      </c>
      <c r="CB16" s="186" t="s">
        <v>373</v>
      </c>
      <c r="CC16" s="187" t="s">
        <v>373</v>
      </c>
      <c r="CD16" s="188" t="s">
        <v>373</v>
      </c>
      <c r="CE16" s="188" t="s">
        <v>373</v>
      </c>
      <c r="CF16" s="188" t="s">
        <v>373</v>
      </c>
      <c r="CG16" s="188" t="s">
        <v>373</v>
      </c>
      <c r="CH16" s="189" t="s">
        <v>373</v>
      </c>
      <c r="CI16" s="181"/>
      <c r="CJ16" s="1069" t="s">
        <v>80</v>
      </c>
      <c r="CK16" s="1070"/>
      <c r="CL16" s="1070"/>
      <c r="CM16" s="1070"/>
      <c r="CN16" s="1070"/>
      <c r="CO16" s="1071"/>
    </row>
    <row r="17" spans="2:93" ht="9" customHeight="1" x14ac:dyDescent="0.35">
      <c r="B17" s="961"/>
      <c r="C17" s="961"/>
      <c r="D17" s="962"/>
      <c r="E17" s="966"/>
      <c r="F17" s="967"/>
      <c r="G17" s="967"/>
      <c r="H17" s="967"/>
      <c r="I17" s="967"/>
      <c r="J17" s="997"/>
      <c r="K17" s="998"/>
      <c r="L17" s="998"/>
      <c r="M17" s="998"/>
      <c r="N17" s="998"/>
      <c r="O17" s="1000"/>
      <c r="P17" s="997"/>
      <c r="Q17" s="998"/>
      <c r="R17" s="998"/>
      <c r="S17" s="998"/>
      <c r="T17" s="998"/>
      <c r="U17" s="1000"/>
      <c r="V17" s="974"/>
      <c r="W17" s="975"/>
      <c r="X17" s="975"/>
      <c r="Y17" s="975"/>
      <c r="Z17" s="975"/>
      <c r="AA17" s="977"/>
      <c r="AB17" s="974"/>
      <c r="AC17" s="975"/>
      <c r="AD17" s="975"/>
      <c r="AE17" s="975"/>
      <c r="AF17" s="975"/>
      <c r="AG17" s="977"/>
      <c r="AH17" s="980"/>
      <c r="AI17" s="981"/>
      <c r="AJ17" s="981"/>
      <c r="AK17" s="981"/>
      <c r="AL17" s="981"/>
      <c r="AM17" s="983"/>
      <c r="AN17" s="182"/>
      <c r="AO17" s="1008"/>
      <c r="AP17" s="1009"/>
      <c r="AQ17" s="1009"/>
      <c r="AR17" s="1009"/>
      <c r="AS17" s="1009"/>
      <c r="AT17" s="1010"/>
      <c r="AW17" s="1058"/>
      <c r="AX17" s="1058"/>
      <c r="AY17" s="1059"/>
      <c r="AZ17" s="1049"/>
      <c r="BA17" s="1050"/>
      <c r="BB17" s="1050"/>
      <c r="BC17" s="1050"/>
      <c r="BD17" s="1050"/>
      <c r="BE17" s="205" t="s">
        <v>373</v>
      </c>
      <c r="BF17" s="206" t="s">
        <v>373</v>
      </c>
      <c r="BG17" s="206" t="s">
        <v>373</v>
      </c>
      <c r="BH17" s="206" t="s">
        <v>373</v>
      </c>
      <c r="BI17" s="206" t="s">
        <v>373</v>
      </c>
      <c r="BJ17" s="207" t="s">
        <v>373</v>
      </c>
      <c r="BK17" s="205" t="s">
        <v>373</v>
      </c>
      <c r="BL17" s="206" t="s">
        <v>373</v>
      </c>
      <c r="BM17" s="206" t="s">
        <v>373</v>
      </c>
      <c r="BN17" s="206" t="s">
        <v>373</v>
      </c>
      <c r="BO17" s="206" t="s">
        <v>373</v>
      </c>
      <c r="BP17" s="207" t="s">
        <v>373</v>
      </c>
      <c r="BQ17" s="190" t="s">
        <v>373</v>
      </c>
      <c r="BR17" s="191" t="s">
        <v>373</v>
      </c>
      <c r="BS17" s="191" t="s">
        <v>373</v>
      </c>
      <c r="BT17" s="191" t="s">
        <v>373</v>
      </c>
      <c r="BU17" s="191" t="s">
        <v>373</v>
      </c>
      <c r="BV17" s="192" t="s">
        <v>373</v>
      </c>
      <c r="BW17" s="190" t="s">
        <v>373</v>
      </c>
      <c r="BX17" s="191" t="s">
        <v>373</v>
      </c>
      <c r="BY17" s="191" t="s">
        <v>373</v>
      </c>
      <c r="BZ17" s="191" t="s">
        <v>373</v>
      </c>
      <c r="CA17" s="191" t="s">
        <v>373</v>
      </c>
      <c r="CB17" s="192" t="s">
        <v>373</v>
      </c>
      <c r="CC17" s="193" t="s">
        <v>373</v>
      </c>
      <c r="CD17" s="194" t="s">
        <v>373</v>
      </c>
      <c r="CE17" s="194" t="s">
        <v>373</v>
      </c>
      <c r="CF17" s="194" t="s">
        <v>373</v>
      </c>
      <c r="CG17" s="194" t="s">
        <v>373</v>
      </c>
      <c r="CH17" s="195" t="s">
        <v>373</v>
      </c>
      <c r="CI17" s="181"/>
      <c r="CJ17" s="1072"/>
      <c r="CK17" s="1073"/>
      <c r="CL17" s="1073"/>
      <c r="CM17" s="1073"/>
      <c r="CN17" s="1073"/>
      <c r="CO17" s="1074"/>
    </row>
    <row r="18" spans="2:93" ht="9" customHeight="1" x14ac:dyDescent="0.35">
      <c r="B18" s="961"/>
      <c r="C18" s="961"/>
      <c r="D18" s="962"/>
      <c r="E18" s="966"/>
      <c r="F18" s="967"/>
      <c r="G18" s="967"/>
      <c r="H18" s="967"/>
      <c r="I18" s="967"/>
      <c r="J18" s="997" t="s">
        <v>373</v>
      </c>
      <c r="K18" s="998"/>
      <c r="L18" s="998" t="s">
        <v>373</v>
      </c>
      <c r="M18" s="998"/>
      <c r="N18" s="998" t="s">
        <v>373</v>
      </c>
      <c r="O18" s="1000"/>
      <c r="P18" s="997" t="s">
        <v>373</v>
      </c>
      <c r="Q18" s="998"/>
      <c r="R18" s="998" t="s">
        <v>373</v>
      </c>
      <c r="S18" s="998"/>
      <c r="T18" s="998" t="s">
        <v>373</v>
      </c>
      <c r="U18" s="1000"/>
      <c r="V18" s="974" t="s">
        <v>373</v>
      </c>
      <c r="W18" s="975"/>
      <c r="X18" s="975" t="s">
        <v>373</v>
      </c>
      <c r="Y18" s="975"/>
      <c r="Z18" s="975" t="s">
        <v>373</v>
      </c>
      <c r="AA18" s="977"/>
      <c r="AB18" s="974" t="s">
        <v>373</v>
      </c>
      <c r="AC18" s="975"/>
      <c r="AD18" s="975" t="s">
        <v>373</v>
      </c>
      <c r="AE18" s="975"/>
      <c r="AF18" s="975" t="s">
        <v>373</v>
      </c>
      <c r="AG18" s="977"/>
      <c r="AH18" s="980" t="s">
        <v>373</v>
      </c>
      <c r="AI18" s="981"/>
      <c r="AJ18" s="981" t="s">
        <v>373</v>
      </c>
      <c r="AK18" s="981"/>
      <c r="AL18" s="981" t="s">
        <v>373</v>
      </c>
      <c r="AM18" s="983"/>
      <c r="AN18" s="182"/>
      <c r="AO18" s="1008"/>
      <c r="AP18" s="1009"/>
      <c r="AQ18" s="1009"/>
      <c r="AR18" s="1009"/>
      <c r="AS18" s="1009"/>
      <c r="AT18" s="1010"/>
      <c r="AW18" s="1058"/>
      <c r="AX18" s="1058"/>
      <c r="AY18" s="1059"/>
      <c r="AZ18" s="1052"/>
      <c r="BA18" s="1050"/>
      <c r="BB18" s="1050"/>
      <c r="BC18" s="1050"/>
      <c r="BD18" s="1050"/>
      <c r="BE18" s="205" t="s">
        <v>373</v>
      </c>
      <c r="BF18" s="206" t="s">
        <v>373</v>
      </c>
      <c r="BG18" s="206" t="s">
        <v>373</v>
      </c>
      <c r="BH18" s="206" t="s">
        <v>373</v>
      </c>
      <c r="BI18" s="206" t="s">
        <v>373</v>
      </c>
      <c r="BJ18" s="207" t="s">
        <v>373</v>
      </c>
      <c r="BK18" s="205" t="s">
        <v>373</v>
      </c>
      <c r="BL18" s="206" t="s">
        <v>373</v>
      </c>
      <c r="BM18" s="206" t="s">
        <v>373</v>
      </c>
      <c r="BN18" s="206" t="s">
        <v>373</v>
      </c>
      <c r="BO18" s="206" t="s">
        <v>373</v>
      </c>
      <c r="BP18" s="207" t="s">
        <v>373</v>
      </c>
      <c r="BQ18" s="190" t="s">
        <v>373</v>
      </c>
      <c r="BR18" s="191" t="s">
        <v>373</v>
      </c>
      <c r="BS18" s="191" t="s">
        <v>373</v>
      </c>
      <c r="BT18" s="191" t="s">
        <v>373</v>
      </c>
      <c r="BU18" s="191" t="s">
        <v>373</v>
      </c>
      <c r="BV18" s="192" t="s">
        <v>373</v>
      </c>
      <c r="BW18" s="190" t="s">
        <v>373</v>
      </c>
      <c r="BX18" s="191" t="s">
        <v>373</v>
      </c>
      <c r="BY18" s="191" t="s">
        <v>373</v>
      </c>
      <c r="BZ18" s="191" t="s">
        <v>373</v>
      </c>
      <c r="CA18" s="191" t="s">
        <v>373</v>
      </c>
      <c r="CB18" s="192" t="s">
        <v>373</v>
      </c>
      <c r="CC18" s="193" t="s">
        <v>373</v>
      </c>
      <c r="CD18" s="194" t="s">
        <v>373</v>
      </c>
      <c r="CE18" s="194" t="s">
        <v>373</v>
      </c>
      <c r="CF18" s="194" t="s">
        <v>373</v>
      </c>
      <c r="CG18" s="194" t="s">
        <v>373</v>
      </c>
      <c r="CH18" s="195" t="s">
        <v>373</v>
      </c>
      <c r="CI18" s="181"/>
      <c r="CJ18" s="1072"/>
      <c r="CK18" s="1073"/>
      <c r="CL18" s="1073"/>
      <c r="CM18" s="1073"/>
      <c r="CN18" s="1073"/>
      <c r="CO18" s="1074"/>
    </row>
    <row r="19" spans="2:93" ht="9" customHeight="1" x14ac:dyDescent="0.35">
      <c r="B19" s="961"/>
      <c r="C19" s="961"/>
      <c r="D19" s="962"/>
      <c r="E19" s="966"/>
      <c r="F19" s="967"/>
      <c r="G19" s="967"/>
      <c r="H19" s="967"/>
      <c r="I19" s="967"/>
      <c r="J19" s="997"/>
      <c r="K19" s="998"/>
      <c r="L19" s="998"/>
      <c r="M19" s="998"/>
      <c r="N19" s="998"/>
      <c r="O19" s="1000"/>
      <c r="P19" s="997"/>
      <c r="Q19" s="998"/>
      <c r="R19" s="998"/>
      <c r="S19" s="998"/>
      <c r="T19" s="998"/>
      <c r="U19" s="1000"/>
      <c r="V19" s="974"/>
      <c r="W19" s="975"/>
      <c r="X19" s="975"/>
      <c r="Y19" s="975"/>
      <c r="Z19" s="975"/>
      <c r="AA19" s="977"/>
      <c r="AB19" s="974"/>
      <c r="AC19" s="975"/>
      <c r="AD19" s="975"/>
      <c r="AE19" s="975"/>
      <c r="AF19" s="975"/>
      <c r="AG19" s="977"/>
      <c r="AH19" s="980"/>
      <c r="AI19" s="981"/>
      <c r="AJ19" s="981"/>
      <c r="AK19" s="981"/>
      <c r="AL19" s="981"/>
      <c r="AM19" s="983"/>
      <c r="AN19" s="182"/>
      <c r="AO19" s="1008"/>
      <c r="AP19" s="1009"/>
      <c r="AQ19" s="1009"/>
      <c r="AR19" s="1009"/>
      <c r="AS19" s="1009"/>
      <c r="AT19" s="1010"/>
      <c r="AW19" s="1058"/>
      <c r="AX19" s="1058"/>
      <c r="AY19" s="1059"/>
      <c r="AZ19" s="1052"/>
      <c r="BA19" s="1050"/>
      <c r="BB19" s="1050"/>
      <c r="BC19" s="1050"/>
      <c r="BD19" s="1050"/>
      <c r="BE19" s="205" t="s">
        <v>373</v>
      </c>
      <c r="BF19" s="206" t="s">
        <v>373</v>
      </c>
      <c r="BG19" s="206" t="s">
        <v>373</v>
      </c>
      <c r="BH19" s="206" t="s">
        <v>373</v>
      </c>
      <c r="BI19" s="206" t="s">
        <v>373</v>
      </c>
      <c r="BJ19" s="207" t="s">
        <v>373</v>
      </c>
      <c r="BK19" s="205" t="s">
        <v>373</v>
      </c>
      <c r="BL19" s="206" t="s">
        <v>373</v>
      </c>
      <c r="BM19" s="206" t="s">
        <v>373</v>
      </c>
      <c r="BN19" s="206" t="s">
        <v>373</v>
      </c>
      <c r="BO19" s="206" t="s">
        <v>373</v>
      </c>
      <c r="BP19" s="207" t="s">
        <v>373</v>
      </c>
      <c r="BQ19" s="190" t="s">
        <v>373</v>
      </c>
      <c r="BR19" s="191" t="s">
        <v>373</v>
      </c>
      <c r="BS19" s="191" t="s">
        <v>373</v>
      </c>
      <c r="BT19" s="191" t="s">
        <v>373</v>
      </c>
      <c r="BU19" s="191" t="s">
        <v>373</v>
      </c>
      <c r="BV19" s="192" t="s">
        <v>373</v>
      </c>
      <c r="BW19" s="190" t="s">
        <v>373</v>
      </c>
      <c r="BX19" s="191" t="s">
        <v>373</v>
      </c>
      <c r="BY19" s="191" t="s">
        <v>373</v>
      </c>
      <c r="BZ19" s="191" t="s">
        <v>373</v>
      </c>
      <c r="CA19" s="191" t="s">
        <v>373</v>
      </c>
      <c r="CB19" s="192" t="s">
        <v>373</v>
      </c>
      <c r="CC19" s="193" t="s">
        <v>373</v>
      </c>
      <c r="CD19" s="194" t="s">
        <v>373</v>
      </c>
      <c r="CE19" s="194" t="s">
        <v>373</v>
      </c>
      <c r="CF19" s="194" t="s">
        <v>373</v>
      </c>
      <c r="CG19" s="194" t="s">
        <v>373</v>
      </c>
      <c r="CH19" s="195" t="s">
        <v>373</v>
      </c>
      <c r="CI19" s="181"/>
      <c r="CJ19" s="1072"/>
      <c r="CK19" s="1073"/>
      <c r="CL19" s="1073"/>
      <c r="CM19" s="1073"/>
      <c r="CN19" s="1073"/>
      <c r="CO19" s="1074"/>
    </row>
    <row r="20" spans="2:93" ht="9" customHeight="1" x14ac:dyDescent="0.35">
      <c r="B20" s="961"/>
      <c r="C20" s="961"/>
      <c r="D20" s="962"/>
      <c r="E20" s="966"/>
      <c r="F20" s="967"/>
      <c r="G20" s="967"/>
      <c r="H20" s="967"/>
      <c r="I20" s="967"/>
      <c r="J20" s="997" t="s">
        <v>373</v>
      </c>
      <c r="K20" s="998"/>
      <c r="L20" s="998" t="s">
        <v>373</v>
      </c>
      <c r="M20" s="998"/>
      <c r="N20" s="998" t="s">
        <v>373</v>
      </c>
      <c r="O20" s="1000"/>
      <c r="P20" s="997" t="s">
        <v>373</v>
      </c>
      <c r="Q20" s="998"/>
      <c r="R20" s="998" t="s">
        <v>373</v>
      </c>
      <c r="S20" s="998"/>
      <c r="T20" s="998" t="s">
        <v>373</v>
      </c>
      <c r="U20" s="1000"/>
      <c r="V20" s="974" t="s">
        <v>373</v>
      </c>
      <c r="W20" s="975"/>
      <c r="X20" s="975" t="s">
        <v>373</v>
      </c>
      <c r="Y20" s="975"/>
      <c r="Z20" s="975" t="s">
        <v>373</v>
      </c>
      <c r="AA20" s="977"/>
      <c r="AB20" s="974" t="s">
        <v>373</v>
      </c>
      <c r="AC20" s="975"/>
      <c r="AD20" s="975" t="s">
        <v>373</v>
      </c>
      <c r="AE20" s="975"/>
      <c r="AF20" s="975" t="s">
        <v>373</v>
      </c>
      <c r="AG20" s="977"/>
      <c r="AH20" s="980" t="s">
        <v>373</v>
      </c>
      <c r="AI20" s="981"/>
      <c r="AJ20" s="981" t="s">
        <v>373</v>
      </c>
      <c r="AK20" s="981"/>
      <c r="AL20" s="981" t="s">
        <v>373</v>
      </c>
      <c r="AM20" s="983"/>
      <c r="AN20" s="182"/>
      <c r="AO20" s="1008"/>
      <c r="AP20" s="1009"/>
      <c r="AQ20" s="1009"/>
      <c r="AR20" s="1009"/>
      <c r="AS20" s="1009"/>
      <c r="AT20" s="1010"/>
      <c r="AW20" s="1058"/>
      <c r="AX20" s="1058"/>
      <c r="AY20" s="1059"/>
      <c r="AZ20" s="1052"/>
      <c r="BA20" s="1050"/>
      <c r="BB20" s="1050"/>
      <c r="BC20" s="1050"/>
      <c r="BD20" s="1050"/>
      <c r="BE20" s="205" t="s">
        <v>373</v>
      </c>
      <c r="BF20" s="206" t="s">
        <v>373</v>
      </c>
      <c r="BG20" s="206" t="s">
        <v>373</v>
      </c>
      <c r="BH20" s="206" t="s">
        <v>373</v>
      </c>
      <c r="BI20" s="206" t="s">
        <v>373</v>
      </c>
      <c r="BJ20" s="207" t="s">
        <v>373</v>
      </c>
      <c r="BK20" s="205" t="s">
        <v>373</v>
      </c>
      <c r="BL20" s="206" t="s">
        <v>373</v>
      </c>
      <c r="BM20" s="206" t="s">
        <v>373</v>
      </c>
      <c r="BN20" s="206" t="s">
        <v>373</v>
      </c>
      <c r="BO20" s="206" t="s">
        <v>373</v>
      </c>
      <c r="BP20" s="207" t="s">
        <v>373</v>
      </c>
      <c r="BQ20" s="190" t="s">
        <v>373</v>
      </c>
      <c r="BR20" s="191" t="s">
        <v>373</v>
      </c>
      <c r="BS20" s="191" t="s">
        <v>373</v>
      </c>
      <c r="BT20" s="191" t="s">
        <v>373</v>
      </c>
      <c r="BU20" s="191" t="s">
        <v>373</v>
      </c>
      <c r="BV20" s="192" t="s">
        <v>373</v>
      </c>
      <c r="BW20" s="190" t="s">
        <v>373</v>
      </c>
      <c r="BX20" s="191" t="s">
        <v>373</v>
      </c>
      <c r="BY20" s="191" t="s">
        <v>373</v>
      </c>
      <c r="BZ20" s="191" t="s">
        <v>373</v>
      </c>
      <c r="CA20" s="191" t="s">
        <v>373</v>
      </c>
      <c r="CB20" s="192" t="s">
        <v>373</v>
      </c>
      <c r="CC20" s="193" t="s">
        <v>373</v>
      </c>
      <c r="CD20" s="194" t="s">
        <v>373</v>
      </c>
      <c r="CE20" s="194" t="s">
        <v>373</v>
      </c>
      <c r="CF20" s="194" t="s">
        <v>373</v>
      </c>
      <c r="CG20" s="194" t="s">
        <v>373</v>
      </c>
      <c r="CH20" s="195" t="s">
        <v>373</v>
      </c>
      <c r="CI20" s="181"/>
      <c r="CJ20" s="1072"/>
      <c r="CK20" s="1073"/>
      <c r="CL20" s="1073"/>
      <c r="CM20" s="1073"/>
      <c r="CN20" s="1073"/>
      <c r="CO20" s="1074"/>
    </row>
    <row r="21" spans="2:93" ht="9" customHeight="1" thickBot="1" x14ac:dyDescent="0.4">
      <c r="B21" s="961"/>
      <c r="C21" s="961"/>
      <c r="D21" s="962"/>
      <c r="E21" s="969"/>
      <c r="F21" s="970"/>
      <c r="G21" s="970"/>
      <c r="H21" s="970"/>
      <c r="I21" s="970"/>
      <c r="J21" s="1014"/>
      <c r="K21" s="1015"/>
      <c r="L21" s="1015"/>
      <c r="M21" s="1015"/>
      <c r="N21" s="1015"/>
      <c r="O21" s="1016"/>
      <c r="P21" s="1014"/>
      <c r="Q21" s="1015"/>
      <c r="R21" s="1015"/>
      <c r="S21" s="1015"/>
      <c r="T21" s="1015"/>
      <c r="U21" s="1016"/>
      <c r="V21" s="1003"/>
      <c r="W21" s="1001"/>
      <c r="X21" s="1001"/>
      <c r="Y21" s="1001"/>
      <c r="Z21" s="1001"/>
      <c r="AA21" s="1002"/>
      <c r="AB21" s="1003"/>
      <c r="AC21" s="1001"/>
      <c r="AD21" s="1001"/>
      <c r="AE21" s="1001"/>
      <c r="AF21" s="1001"/>
      <c r="AG21" s="1002"/>
      <c r="AH21" s="1004"/>
      <c r="AI21" s="993"/>
      <c r="AJ21" s="993"/>
      <c r="AK21" s="993"/>
      <c r="AL21" s="993"/>
      <c r="AM21" s="994"/>
      <c r="AN21" s="182"/>
      <c r="AO21" s="1011"/>
      <c r="AP21" s="1012"/>
      <c r="AQ21" s="1012"/>
      <c r="AR21" s="1012"/>
      <c r="AS21" s="1012"/>
      <c r="AT21" s="1013"/>
      <c r="AW21" s="1058"/>
      <c r="AX21" s="1058"/>
      <c r="AY21" s="1059"/>
      <c r="AZ21" s="1052"/>
      <c r="BA21" s="1050"/>
      <c r="BB21" s="1050"/>
      <c r="BC21" s="1050"/>
      <c r="BD21" s="1050"/>
      <c r="BE21" s="205" t="s">
        <v>373</v>
      </c>
      <c r="BF21" s="206" t="s">
        <v>373</v>
      </c>
      <c r="BG21" s="206" t="s">
        <v>373</v>
      </c>
      <c r="BH21" s="206" t="s">
        <v>373</v>
      </c>
      <c r="BI21" s="206" t="s">
        <v>373</v>
      </c>
      <c r="BJ21" s="207" t="s">
        <v>373</v>
      </c>
      <c r="BK21" s="205" t="s">
        <v>373</v>
      </c>
      <c r="BL21" s="206" t="s">
        <v>373</v>
      </c>
      <c r="BM21" s="206" t="s">
        <v>373</v>
      </c>
      <c r="BN21" s="206" t="s">
        <v>373</v>
      </c>
      <c r="BO21" s="206" t="s">
        <v>373</v>
      </c>
      <c r="BP21" s="207" t="s">
        <v>373</v>
      </c>
      <c r="BQ21" s="190" t="s">
        <v>373</v>
      </c>
      <c r="BR21" s="191" t="s">
        <v>373</v>
      </c>
      <c r="BS21" s="191" t="s">
        <v>373</v>
      </c>
      <c r="BT21" s="191" t="s">
        <v>373</v>
      </c>
      <c r="BU21" s="191" t="s">
        <v>373</v>
      </c>
      <c r="BV21" s="192" t="s">
        <v>373</v>
      </c>
      <c r="BW21" s="190" t="s">
        <v>373</v>
      </c>
      <c r="BX21" s="191" t="s">
        <v>373</v>
      </c>
      <c r="BY21" s="191" t="s">
        <v>373</v>
      </c>
      <c r="BZ21" s="191" t="s">
        <v>373</v>
      </c>
      <c r="CA21" s="191" t="s">
        <v>373</v>
      </c>
      <c r="CB21" s="192" t="s">
        <v>373</v>
      </c>
      <c r="CC21" s="193" t="s">
        <v>373</v>
      </c>
      <c r="CD21" s="194" t="s">
        <v>373</v>
      </c>
      <c r="CE21" s="194" t="s">
        <v>373</v>
      </c>
      <c r="CF21" s="194" t="s">
        <v>373</v>
      </c>
      <c r="CG21" s="194" t="s">
        <v>373</v>
      </c>
      <c r="CH21" s="195" t="s">
        <v>373</v>
      </c>
      <c r="CI21" s="181"/>
      <c r="CJ21" s="1072"/>
      <c r="CK21" s="1073"/>
      <c r="CL21" s="1073"/>
      <c r="CM21" s="1073"/>
      <c r="CN21" s="1073"/>
      <c r="CO21" s="1074"/>
    </row>
    <row r="22" spans="2:93" ht="9" customHeight="1" x14ac:dyDescent="0.35">
      <c r="B22" s="961"/>
      <c r="C22" s="961"/>
      <c r="D22" s="962"/>
      <c r="E22" s="963" t="s">
        <v>117</v>
      </c>
      <c r="F22" s="964"/>
      <c r="G22" s="964"/>
      <c r="H22" s="964"/>
      <c r="I22" s="965"/>
      <c r="J22" s="995" t="s">
        <v>373</v>
      </c>
      <c r="K22" s="996"/>
      <c r="L22" s="996" t="s">
        <v>373</v>
      </c>
      <c r="M22" s="996"/>
      <c r="N22" s="996" t="s">
        <v>373</v>
      </c>
      <c r="O22" s="999"/>
      <c r="P22" s="995" t="s">
        <v>373</v>
      </c>
      <c r="Q22" s="996"/>
      <c r="R22" s="996" t="s">
        <v>373</v>
      </c>
      <c r="S22" s="996"/>
      <c r="T22" s="996" t="s">
        <v>373</v>
      </c>
      <c r="U22" s="999"/>
      <c r="V22" s="995" t="s">
        <v>373</v>
      </c>
      <c r="W22" s="996"/>
      <c r="X22" s="996" t="s">
        <v>373</v>
      </c>
      <c r="Y22" s="996"/>
      <c r="Z22" s="996" t="s">
        <v>373</v>
      </c>
      <c r="AA22" s="999"/>
      <c r="AB22" s="972" t="s">
        <v>373</v>
      </c>
      <c r="AC22" s="973"/>
      <c r="AD22" s="973" t="s">
        <v>373</v>
      </c>
      <c r="AE22" s="973"/>
      <c r="AF22" s="973" t="s">
        <v>373</v>
      </c>
      <c r="AG22" s="976"/>
      <c r="AH22" s="978" t="s">
        <v>373</v>
      </c>
      <c r="AI22" s="979"/>
      <c r="AJ22" s="979" t="s">
        <v>373</v>
      </c>
      <c r="AK22" s="979"/>
      <c r="AL22" s="979" t="s">
        <v>373</v>
      </c>
      <c r="AM22" s="982"/>
      <c r="AN22" s="182"/>
      <c r="AO22" s="1017" t="s">
        <v>81</v>
      </c>
      <c r="AP22" s="1018"/>
      <c r="AQ22" s="1018"/>
      <c r="AR22" s="1018"/>
      <c r="AS22" s="1018"/>
      <c r="AT22" s="1019"/>
      <c r="AW22" s="1058"/>
      <c r="AX22" s="1058"/>
      <c r="AY22" s="1059"/>
      <c r="AZ22" s="1052"/>
      <c r="BA22" s="1050"/>
      <c r="BB22" s="1050"/>
      <c r="BC22" s="1050"/>
      <c r="BD22" s="1050"/>
      <c r="BE22" s="205" t="s">
        <v>373</v>
      </c>
      <c r="BF22" s="206" t="s">
        <v>373</v>
      </c>
      <c r="BG22" s="206" t="s">
        <v>373</v>
      </c>
      <c r="BH22" s="206" t="s">
        <v>373</v>
      </c>
      <c r="BI22" s="206" t="s">
        <v>373</v>
      </c>
      <c r="BJ22" s="207" t="s">
        <v>373</v>
      </c>
      <c r="BK22" s="205" t="s">
        <v>373</v>
      </c>
      <c r="BL22" s="206" t="s">
        <v>373</v>
      </c>
      <c r="BM22" s="206" t="s">
        <v>373</v>
      </c>
      <c r="BN22" s="206" t="s">
        <v>373</v>
      </c>
      <c r="BO22" s="206" t="s">
        <v>373</v>
      </c>
      <c r="BP22" s="207" t="s">
        <v>373</v>
      </c>
      <c r="BQ22" s="190" t="s">
        <v>373</v>
      </c>
      <c r="BR22" s="191" t="s">
        <v>373</v>
      </c>
      <c r="BS22" s="191" t="s">
        <v>373</v>
      </c>
      <c r="BT22" s="191" t="s">
        <v>373</v>
      </c>
      <c r="BU22" s="191" t="s">
        <v>373</v>
      </c>
      <c r="BV22" s="192" t="s">
        <v>373</v>
      </c>
      <c r="BW22" s="190" t="s">
        <v>373</v>
      </c>
      <c r="BX22" s="191" t="s">
        <v>373</v>
      </c>
      <c r="BY22" s="191" t="s">
        <v>373</v>
      </c>
      <c r="BZ22" s="191" t="s">
        <v>373</v>
      </c>
      <c r="CA22" s="191" t="s">
        <v>373</v>
      </c>
      <c r="CB22" s="192" t="s">
        <v>373</v>
      </c>
      <c r="CC22" s="193" t="s">
        <v>373</v>
      </c>
      <c r="CD22" s="194" t="s">
        <v>373</v>
      </c>
      <c r="CE22" s="194" t="s">
        <v>373</v>
      </c>
      <c r="CF22" s="194" t="s">
        <v>373</v>
      </c>
      <c r="CG22" s="194" t="s">
        <v>373</v>
      </c>
      <c r="CH22" s="195" t="s">
        <v>373</v>
      </c>
      <c r="CI22" s="181"/>
      <c r="CJ22" s="1072"/>
      <c r="CK22" s="1073"/>
      <c r="CL22" s="1073"/>
      <c r="CM22" s="1073"/>
      <c r="CN22" s="1073"/>
      <c r="CO22" s="1074"/>
    </row>
    <row r="23" spans="2:93" ht="9" customHeight="1" x14ac:dyDescent="0.35">
      <c r="B23" s="961"/>
      <c r="C23" s="961"/>
      <c r="D23" s="962"/>
      <c r="E23" s="966"/>
      <c r="F23" s="967"/>
      <c r="G23" s="967"/>
      <c r="H23" s="967"/>
      <c r="I23" s="968"/>
      <c r="J23" s="997"/>
      <c r="K23" s="998"/>
      <c r="L23" s="998"/>
      <c r="M23" s="998"/>
      <c r="N23" s="998"/>
      <c r="O23" s="1000"/>
      <c r="P23" s="997"/>
      <c r="Q23" s="998"/>
      <c r="R23" s="998"/>
      <c r="S23" s="998"/>
      <c r="T23" s="998"/>
      <c r="U23" s="1000"/>
      <c r="V23" s="997"/>
      <c r="W23" s="998"/>
      <c r="X23" s="998"/>
      <c r="Y23" s="998"/>
      <c r="Z23" s="998"/>
      <c r="AA23" s="1000"/>
      <c r="AB23" s="974"/>
      <c r="AC23" s="975"/>
      <c r="AD23" s="975"/>
      <c r="AE23" s="975"/>
      <c r="AF23" s="975"/>
      <c r="AG23" s="977"/>
      <c r="AH23" s="980"/>
      <c r="AI23" s="981"/>
      <c r="AJ23" s="981"/>
      <c r="AK23" s="981"/>
      <c r="AL23" s="981"/>
      <c r="AM23" s="983"/>
      <c r="AN23" s="182"/>
      <c r="AO23" s="1020"/>
      <c r="AP23" s="1021"/>
      <c r="AQ23" s="1021"/>
      <c r="AR23" s="1021"/>
      <c r="AS23" s="1021"/>
      <c r="AT23" s="1022"/>
      <c r="AW23" s="1058"/>
      <c r="AX23" s="1058"/>
      <c r="AY23" s="1059"/>
      <c r="AZ23" s="1052"/>
      <c r="BA23" s="1050"/>
      <c r="BB23" s="1050"/>
      <c r="BC23" s="1050"/>
      <c r="BD23" s="1050"/>
      <c r="BE23" s="205" t="s">
        <v>373</v>
      </c>
      <c r="BF23" s="206" t="s">
        <v>373</v>
      </c>
      <c r="BG23" s="206" t="s">
        <v>373</v>
      </c>
      <c r="BH23" s="206" t="s">
        <v>373</v>
      </c>
      <c r="BI23" s="206" t="s">
        <v>373</v>
      </c>
      <c r="BJ23" s="207" t="s">
        <v>373</v>
      </c>
      <c r="BK23" s="205" t="s">
        <v>373</v>
      </c>
      <c r="BL23" s="206" t="s">
        <v>373</v>
      </c>
      <c r="BM23" s="206" t="s">
        <v>373</v>
      </c>
      <c r="BN23" s="206" t="s">
        <v>373</v>
      </c>
      <c r="BO23" s="206" t="s">
        <v>373</v>
      </c>
      <c r="BP23" s="207" t="s">
        <v>373</v>
      </c>
      <c r="BQ23" s="190" t="s">
        <v>373</v>
      </c>
      <c r="BR23" s="191" t="s">
        <v>373</v>
      </c>
      <c r="BS23" s="191" t="s">
        <v>373</v>
      </c>
      <c r="BT23" s="191" t="s">
        <v>373</v>
      </c>
      <c r="BU23" s="191" t="s">
        <v>373</v>
      </c>
      <c r="BV23" s="192" t="s">
        <v>373</v>
      </c>
      <c r="BW23" s="190" t="s">
        <v>373</v>
      </c>
      <c r="BX23" s="191" t="s">
        <v>373</v>
      </c>
      <c r="BY23" s="191" t="s">
        <v>373</v>
      </c>
      <c r="BZ23" s="191" t="s">
        <v>373</v>
      </c>
      <c r="CA23" s="191" t="s">
        <v>373</v>
      </c>
      <c r="CB23" s="192" t="s">
        <v>373</v>
      </c>
      <c r="CC23" s="193" t="s">
        <v>373</v>
      </c>
      <c r="CD23" s="194" t="s">
        <v>373</v>
      </c>
      <c r="CE23" s="194" t="s">
        <v>373</v>
      </c>
      <c r="CF23" s="194" t="s">
        <v>373</v>
      </c>
      <c r="CG23" s="194" t="s">
        <v>373</v>
      </c>
      <c r="CH23" s="195" t="s">
        <v>373</v>
      </c>
      <c r="CI23" s="181"/>
      <c r="CJ23" s="1072"/>
      <c r="CK23" s="1073"/>
      <c r="CL23" s="1073"/>
      <c r="CM23" s="1073"/>
      <c r="CN23" s="1073"/>
      <c r="CO23" s="1074"/>
    </row>
    <row r="24" spans="2:93" ht="9" customHeight="1" x14ac:dyDescent="0.35">
      <c r="B24" s="961"/>
      <c r="C24" s="961"/>
      <c r="D24" s="962"/>
      <c r="E24" s="966"/>
      <c r="F24" s="967"/>
      <c r="G24" s="967"/>
      <c r="H24" s="967"/>
      <c r="I24" s="968"/>
      <c r="J24" s="997" t="s">
        <v>373</v>
      </c>
      <c r="K24" s="998"/>
      <c r="L24" s="998" t="s">
        <v>373</v>
      </c>
      <c r="M24" s="998"/>
      <c r="N24" s="998" t="s">
        <v>373</v>
      </c>
      <c r="O24" s="1000"/>
      <c r="P24" s="997" t="s">
        <v>373</v>
      </c>
      <c r="Q24" s="998"/>
      <c r="R24" s="998" t="s">
        <v>373</v>
      </c>
      <c r="S24" s="998"/>
      <c r="T24" s="998" t="s">
        <v>373</v>
      </c>
      <c r="U24" s="1000"/>
      <c r="V24" s="997" t="s">
        <v>373</v>
      </c>
      <c r="W24" s="998"/>
      <c r="X24" s="998" t="s">
        <v>373</v>
      </c>
      <c r="Y24" s="998"/>
      <c r="Z24" s="998" t="s">
        <v>373</v>
      </c>
      <c r="AA24" s="1000"/>
      <c r="AB24" s="974" t="s">
        <v>373</v>
      </c>
      <c r="AC24" s="975"/>
      <c r="AD24" s="975" t="s">
        <v>373</v>
      </c>
      <c r="AE24" s="975"/>
      <c r="AF24" s="975" t="s">
        <v>373</v>
      </c>
      <c r="AG24" s="977"/>
      <c r="AH24" s="980" t="s">
        <v>373</v>
      </c>
      <c r="AI24" s="981"/>
      <c r="AJ24" s="981" t="s">
        <v>373</v>
      </c>
      <c r="AK24" s="981"/>
      <c r="AL24" s="981" t="s">
        <v>373</v>
      </c>
      <c r="AM24" s="983"/>
      <c r="AN24" s="182"/>
      <c r="AO24" s="1020"/>
      <c r="AP24" s="1021"/>
      <c r="AQ24" s="1021"/>
      <c r="AR24" s="1021"/>
      <c r="AS24" s="1021"/>
      <c r="AT24" s="1022"/>
      <c r="AW24" s="1058"/>
      <c r="AX24" s="1058"/>
      <c r="AY24" s="1059"/>
      <c r="AZ24" s="1052"/>
      <c r="BA24" s="1050"/>
      <c r="BB24" s="1050"/>
      <c r="BC24" s="1050"/>
      <c r="BD24" s="1050"/>
      <c r="BE24" s="205" t="s">
        <v>373</v>
      </c>
      <c r="BF24" s="206" t="s">
        <v>373</v>
      </c>
      <c r="BG24" s="206" t="s">
        <v>373</v>
      </c>
      <c r="BH24" s="206" t="s">
        <v>373</v>
      </c>
      <c r="BI24" s="206" t="s">
        <v>373</v>
      </c>
      <c r="BJ24" s="207" t="s">
        <v>373</v>
      </c>
      <c r="BK24" s="205" t="s">
        <v>373</v>
      </c>
      <c r="BL24" s="206" t="s">
        <v>373</v>
      </c>
      <c r="BM24" s="206" t="s">
        <v>373</v>
      </c>
      <c r="BN24" s="206" t="s">
        <v>373</v>
      </c>
      <c r="BO24" s="206" t="s">
        <v>373</v>
      </c>
      <c r="BP24" s="207" t="s">
        <v>373</v>
      </c>
      <c r="BQ24" s="190" t="s">
        <v>373</v>
      </c>
      <c r="BR24" s="191" t="s">
        <v>373</v>
      </c>
      <c r="BS24" s="191" t="s">
        <v>373</v>
      </c>
      <c r="BT24" s="191" t="s">
        <v>373</v>
      </c>
      <c r="BU24" s="191" t="s">
        <v>373</v>
      </c>
      <c r="BV24" s="192" t="s">
        <v>373</v>
      </c>
      <c r="BW24" s="190" t="s">
        <v>373</v>
      </c>
      <c r="BX24" s="191" t="s">
        <v>373</v>
      </c>
      <c r="BY24" s="191" t="s">
        <v>373</v>
      </c>
      <c r="BZ24" s="191" t="s">
        <v>373</v>
      </c>
      <c r="CA24" s="191" t="s">
        <v>373</v>
      </c>
      <c r="CB24" s="192" t="s">
        <v>373</v>
      </c>
      <c r="CC24" s="193" t="s">
        <v>373</v>
      </c>
      <c r="CD24" s="194" t="s">
        <v>373</v>
      </c>
      <c r="CE24" s="194" t="s">
        <v>373</v>
      </c>
      <c r="CF24" s="194" t="s">
        <v>373</v>
      </c>
      <c r="CG24" s="194" t="s">
        <v>373</v>
      </c>
      <c r="CH24" s="195" t="s">
        <v>373</v>
      </c>
      <c r="CI24" s="181"/>
      <c r="CJ24" s="1072"/>
      <c r="CK24" s="1073"/>
      <c r="CL24" s="1073"/>
      <c r="CM24" s="1073"/>
      <c r="CN24" s="1073"/>
      <c r="CO24" s="1074"/>
    </row>
    <row r="25" spans="2:93" ht="9" customHeight="1" thickBot="1" x14ac:dyDescent="0.4">
      <c r="B25" s="961"/>
      <c r="C25" s="961"/>
      <c r="D25" s="962"/>
      <c r="E25" s="966"/>
      <c r="F25" s="967"/>
      <c r="G25" s="967"/>
      <c r="H25" s="967"/>
      <c r="I25" s="968"/>
      <c r="J25" s="997"/>
      <c r="K25" s="998"/>
      <c r="L25" s="998"/>
      <c r="M25" s="998"/>
      <c r="N25" s="998"/>
      <c r="O25" s="1000"/>
      <c r="P25" s="997"/>
      <c r="Q25" s="998"/>
      <c r="R25" s="998"/>
      <c r="S25" s="998"/>
      <c r="T25" s="998"/>
      <c r="U25" s="1000"/>
      <c r="V25" s="997"/>
      <c r="W25" s="998"/>
      <c r="X25" s="998"/>
      <c r="Y25" s="998"/>
      <c r="Z25" s="998"/>
      <c r="AA25" s="1000"/>
      <c r="AB25" s="974"/>
      <c r="AC25" s="975"/>
      <c r="AD25" s="975"/>
      <c r="AE25" s="975"/>
      <c r="AF25" s="975"/>
      <c r="AG25" s="977"/>
      <c r="AH25" s="980"/>
      <c r="AI25" s="981"/>
      <c r="AJ25" s="981"/>
      <c r="AK25" s="981"/>
      <c r="AL25" s="981"/>
      <c r="AM25" s="983"/>
      <c r="AN25" s="182"/>
      <c r="AO25" s="1020"/>
      <c r="AP25" s="1021"/>
      <c r="AQ25" s="1021"/>
      <c r="AR25" s="1021"/>
      <c r="AS25" s="1021"/>
      <c r="AT25" s="1022"/>
      <c r="AW25" s="1058"/>
      <c r="AX25" s="1058"/>
      <c r="AY25" s="1059"/>
      <c r="AZ25" s="1053"/>
      <c r="BA25" s="1054"/>
      <c r="BB25" s="1054"/>
      <c r="BC25" s="1054"/>
      <c r="BD25" s="1054"/>
      <c r="BE25" s="208" t="s">
        <v>373</v>
      </c>
      <c r="BF25" s="209" t="s">
        <v>373</v>
      </c>
      <c r="BG25" s="209" t="s">
        <v>373</v>
      </c>
      <c r="BH25" s="209" t="s">
        <v>373</v>
      </c>
      <c r="BI25" s="209" t="s">
        <v>373</v>
      </c>
      <c r="BJ25" s="210" t="s">
        <v>373</v>
      </c>
      <c r="BK25" s="208" t="s">
        <v>373</v>
      </c>
      <c r="BL25" s="209" t="s">
        <v>373</v>
      </c>
      <c r="BM25" s="209" t="s">
        <v>373</v>
      </c>
      <c r="BN25" s="209" t="s">
        <v>373</v>
      </c>
      <c r="BO25" s="209" t="s">
        <v>373</v>
      </c>
      <c r="BP25" s="210" t="s">
        <v>373</v>
      </c>
      <c r="BQ25" s="196" t="s">
        <v>373</v>
      </c>
      <c r="BR25" s="197" t="s">
        <v>373</v>
      </c>
      <c r="BS25" s="197" t="s">
        <v>373</v>
      </c>
      <c r="BT25" s="197" t="s">
        <v>373</v>
      </c>
      <c r="BU25" s="197" t="s">
        <v>373</v>
      </c>
      <c r="BV25" s="198" t="s">
        <v>373</v>
      </c>
      <c r="BW25" s="196" t="s">
        <v>373</v>
      </c>
      <c r="BX25" s="197" t="s">
        <v>373</v>
      </c>
      <c r="BY25" s="197" t="s">
        <v>373</v>
      </c>
      <c r="BZ25" s="197" t="s">
        <v>373</v>
      </c>
      <c r="CA25" s="197" t="s">
        <v>373</v>
      </c>
      <c r="CB25" s="198" t="s">
        <v>373</v>
      </c>
      <c r="CC25" s="199" t="s">
        <v>373</v>
      </c>
      <c r="CD25" s="200" t="s">
        <v>373</v>
      </c>
      <c r="CE25" s="200" t="s">
        <v>373</v>
      </c>
      <c r="CF25" s="200" t="s">
        <v>373</v>
      </c>
      <c r="CG25" s="200" t="s">
        <v>373</v>
      </c>
      <c r="CH25" s="201" t="s">
        <v>373</v>
      </c>
      <c r="CI25" s="181"/>
      <c r="CJ25" s="1075"/>
      <c r="CK25" s="1076"/>
      <c r="CL25" s="1076"/>
      <c r="CM25" s="1076"/>
      <c r="CN25" s="1076"/>
      <c r="CO25" s="1077"/>
    </row>
    <row r="26" spans="2:93" ht="9" customHeight="1" x14ac:dyDescent="0.35">
      <c r="B26" s="961"/>
      <c r="C26" s="961"/>
      <c r="D26" s="962"/>
      <c r="E26" s="966"/>
      <c r="F26" s="967"/>
      <c r="G26" s="967"/>
      <c r="H26" s="967"/>
      <c r="I26" s="968"/>
      <c r="J26" s="997" t="s">
        <v>373</v>
      </c>
      <c r="K26" s="998"/>
      <c r="L26" s="998" t="s">
        <v>373</v>
      </c>
      <c r="M26" s="998"/>
      <c r="N26" s="998" t="s">
        <v>373</v>
      </c>
      <c r="O26" s="1000"/>
      <c r="P26" s="997" t="s">
        <v>373</v>
      </c>
      <c r="Q26" s="998"/>
      <c r="R26" s="998" t="s">
        <v>373</v>
      </c>
      <c r="S26" s="998"/>
      <c r="T26" s="998" t="s">
        <v>373</v>
      </c>
      <c r="U26" s="1000"/>
      <c r="V26" s="997" t="s">
        <v>373</v>
      </c>
      <c r="W26" s="998"/>
      <c r="X26" s="998" t="s">
        <v>373</v>
      </c>
      <c r="Y26" s="998"/>
      <c r="Z26" s="998" t="s">
        <v>373</v>
      </c>
      <c r="AA26" s="1000"/>
      <c r="AB26" s="974" t="s">
        <v>373</v>
      </c>
      <c r="AC26" s="975"/>
      <c r="AD26" s="975" t="s">
        <v>373</v>
      </c>
      <c r="AE26" s="975"/>
      <c r="AF26" s="975" t="s">
        <v>373</v>
      </c>
      <c r="AG26" s="977"/>
      <c r="AH26" s="980" t="s">
        <v>373</v>
      </c>
      <c r="AI26" s="981"/>
      <c r="AJ26" s="981" t="s">
        <v>373</v>
      </c>
      <c r="AK26" s="981"/>
      <c r="AL26" s="981" t="s">
        <v>373</v>
      </c>
      <c r="AM26" s="983"/>
      <c r="AN26" s="182"/>
      <c r="AO26" s="1020"/>
      <c r="AP26" s="1021"/>
      <c r="AQ26" s="1021"/>
      <c r="AR26" s="1021"/>
      <c r="AS26" s="1021"/>
      <c r="AT26" s="1022"/>
      <c r="AW26" s="1058"/>
      <c r="AX26" s="1058"/>
      <c r="AY26" s="1059"/>
      <c r="AZ26" s="1046" t="s">
        <v>117</v>
      </c>
      <c r="BA26" s="1047"/>
      <c r="BB26" s="1047"/>
      <c r="BC26" s="1047"/>
      <c r="BD26" s="1048"/>
      <c r="BE26" s="202" t="s">
        <v>373</v>
      </c>
      <c r="BF26" s="203" t="s">
        <v>373</v>
      </c>
      <c r="BG26" s="203" t="s">
        <v>373</v>
      </c>
      <c r="BH26" s="203" t="s">
        <v>373</v>
      </c>
      <c r="BI26" s="203" t="s">
        <v>373</v>
      </c>
      <c r="BJ26" s="204" t="s">
        <v>373</v>
      </c>
      <c r="BK26" s="202" t="s">
        <v>373</v>
      </c>
      <c r="BL26" s="203" t="s">
        <v>373</v>
      </c>
      <c r="BM26" s="203" t="s">
        <v>373</v>
      </c>
      <c r="BN26" s="203" t="s">
        <v>373</v>
      </c>
      <c r="BO26" s="203" t="s">
        <v>373</v>
      </c>
      <c r="BP26" s="204" t="s">
        <v>373</v>
      </c>
      <c r="BQ26" s="202" t="s">
        <v>373</v>
      </c>
      <c r="BR26" s="203" t="s">
        <v>373</v>
      </c>
      <c r="BS26" s="203" t="s">
        <v>373</v>
      </c>
      <c r="BT26" s="203" t="s">
        <v>373</v>
      </c>
      <c r="BU26" s="203" t="s">
        <v>373</v>
      </c>
      <c r="BV26" s="204" t="s">
        <v>373</v>
      </c>
      <c r="BW26" s="184" t="s">
        <v>373</v>
      </c>
      <c r="BX26" s="185" t="s">
        <v>373</v>
      </c>
      <c r="BY26" s="185" t="s">
        <v>373</v>
      </c>
      <c r="BZ26" s="185" t="s">
        <v>373</v>
      </c>
      <c r="CA26" s="185" t="s">
        <v>373</v>
      </c>
      <c r="CB26" s="186" t="s">
        <v>373</v>
      </c>
      <c r="CC26" s="187" t="s">
        <v>373</v>
      </c>
      <c r="CD26" s="188" t="s">
        <v>373</v>
      </c>
      <c r="CE26" s="188" t="s">
        <v>373</v>
      </c>
      <c r="CF26" s="188" t="s">
        <v>373</v>
      </c>
      <c r="CG26" s="188" t="s">
        <v>373</v>
      </c>
      <c r="CH26" s="189" t="s">
        <v>373</v>
      </c>
      <c r="CI26" s="181"/>
      <c r="CJ26" s="1078" t="s">
        <v>81</v>
      </c>
      <c r="CK26" s="1079"/>
      <c r="CL26" s="1079"/>
      <c r="CM26" s="1079"/>
      <c r="CN26" s="1079"/>
      <c r="CO26" s="1080"/>
    </row>
    <row r="27" spans="2:93" ht="9" customHeight="1" x14ac:dyDescent="0.35">
      <c r="B27" s="961"/>
      <c r="C27" s="961"/>
      <c r="D27" s="962"/>
      <c r="E27" s="966"/>
      <c r="F27" s="967"/>
      <c r="G27" s="967"/>
      <c r="H27" s="967"/>
      <c r="I27" s="968"/>
      <c r="J27" s="997"/>
      <c r="K27" s="998"/>
      <c r="L27" s="998"/>
      <c r="M27" s="998"/>
      <c r="N27" s="998"/>
      <c r="O27" s="1000"/>
      <c r="P27" s="997"/>
      <c r="Q27" s="998"/>
      <c r="R27" s="998"/>
      <c r="S27" s="998"/>
      <c r="T27" s="998"/>
      <c r="U27" s="1000"/>
      <c r="V27" s="997"/>
      <c r="W27" s="998"/>
      <c r="X27" s="998"/>
      <c r="Y27" s="998"/>
      <c r="Z27" s="998"/>
      <c r="AA27" s="1000"/>
      <c r="AB27" s="974"/>
      <c r="AC27" s="975"/>
      <c r="AD27" s="975"/>
      <c r="AE27" s="975"/>
      <c r="AF27" s="975"/>
      <c r="AG27" s="977"/>
      <c r="AH27" s="980"/>
      <c r="AI27" s="981"/>
      <c r="AJ27" s="981"/>
      <c r="AK27" s="981"/>
      <c r="AL27" s="981"/>
      <c r="AM27" s="983"/>
      <c r="AN27" s="182"/>
      <c r="AO27" s="1020"/>
      <c r="AP27" s="1021"/>
      <c r="AQ27" s="1021"/>
      <c r="AR27" s="1021"/>
      <c r="AS27" s="1021"/>
      <c r="AT27" s="1022"/>
      <c r="AW27" s="1058"/>
      <c r="AX27" s="1058"/>
      <c r="AY27" s="1059"/>
      <c r="AZ27" s="1049"/>
      <c r="BA27" s="1050"/>
      <c r="BB27" s="1050"/>
      <c r="BC27" s="1050"/>
      <c r="BD27" s="1051"/>
      <c r="BE27" s="205" t="s">
        <v>373</v>
      </c>
      <c r="BF27" s="206" t="s">
        <v>373</v>
      </c>
      <c r="BG27" s="206" t="s">
        <v>373</v>
      </c>
      <c r="BH27" s="206" t="s">
        <v>373</v>
      </c>
      <c r="BI27" s="206" t="s">
        <v>373</v>
      </c>
      <c r="BJ27" s="207" t="s">
        <v>373</v>
      </c>
      <c r="BK27" s="205" t="s">
        <v>373</v>
      </c>
      <c r="BL27" s="206" t="s">
        <v>373</v>
      </c>
      <c r="BM27" s="206" t="s">
        <v>373</v>
      </c>
      <c r="BN27" s="206" t="s">
        <v>373</v>
      </c>
      <c r="BO27" s="206" t="s">
        <v>373</v>
      </c>
      <c r="BP27" s="207" t="s">
        <v>373</v>
      </c>
      <c r="BQ27" s="205" t="s">
        <v>373</v>
      </c>
      <c r="BR27" s="206" t="s">
        <v>373</v>
      </c>
      <c r="BS27" s="206" t="s">
        <v>373</v>
      </c>
      <c r="BT27" s="206" t="s">
        <v>373</v>
      </c>
      <c r="BU27" s="206" t="s">
        <v>373</v>
      </c>
      <c r="BV27" s="207" t="s">
        <v>373</v>
      </c>
      <c r="BW27" s="190" t="s">
        <v>373</v>
      </c>
      <c r="BX27" s="191" t="s">
        <v>373</v>
      </c>
      <c r="BY27" s="191" t="s">
        <v>373</v>
      </c>
      <c r="BZ27" s="191" t="s">
        <v>373</v>
      </c>
      <c r="CA27" s="191" t="s">
        <v>373</v>
      </c>
      <c r="CB27" s="192" t="s">
        <v>373</v>
      </c>
      <c r="CC27" s="193" t="s">
        <v>373</v>
      </c>
      <c r="CD27" s="194" t="s">
        <v>373</v>
      </c>
      <c r="CE27" s="194" t="s">
        <v>373</v>
      </c>
      <c r="CF27" s="194" t="s">
        <v>373</v>
      </c>
      <c r="CG27" s="194" t="s">
        <v>373</v>
      </c>
      <c r="CH27" s="195" t="s">
        <v>373</v>
      </c>
      <c r="CI27" s="181"/>
      <c r="CJ27" s="1081"/>
      <c r="CK27" s="1082"/>
      <c r="CL27" s="1082"/>
      <c r="CM27" s="1082"/>
      <c r="CN27" s="1082"/>
      <c r="CO27" s="1083"/>
    </row>
    <row r="28" spans="2:93" ht="9" customHeight="1" x14ac:dyDescent="0.35">
      <c r="B28" s="961"/>
      <c r="C28" s="961"/>
      <c r="D28" s="962"/>
      <c r="E28" s="966"/>
      <c r="F28" s="967"/>
      <c r="G28" s="967"/>
      <c r="H28" s="967"/>
      <c r="I28" s="968"/>
      <c r="J28" s="997" t="s">
        <v>373</v>
      </c>
      <c r="K28" s="998"/>
      <c r="L28" s="998" t="s">
        <v>373</v>
      </c>
      <c r="M28" s="998"/>
      <c r="N28" s="998" t="s">
        <v>373</v>
      </c>
      <c r="O28" s="1000"/>
      <c r="P28" s="997" t="s">
        <v>373</v>
      </c>
      <c r="Q28" s="998"/>
      <c r="R28" s="998" t="s">
        <v>373</v>
      </c>
      <c r="S28" s="998"/>
      <c r="T28" s="998" t="s">
        <v>373</v>
      </c>
      <c r="U28" s="1000"/>
      <c r="V28" s="997" t="s">
        <v>373</v>
      </c>
      <c r="W28" s="998"/>
      <c r="X28" s="998" t="s">
        <v>373</v>
      </c>
      <c r="Y28" s="998"/>
      <c r="Z28" s="998" t="s">
        <v>373</v>
      </c>
      <c r="AA28" s="1000"/>
      <c r="AB28" s="974" t="s">
        <v>373</v>
      </c>
      <c r="AC28" s="975"/>
      <c r="AD28" s="975" t="s">
        <v>373</v>
      </c>
      <c r="AE28" s="975"/>
      <c r="AF28" s="975" t="s">
        <v>373</v>
      </c>
      <c r="AG28" s="977"/>
      <c r="AH28" s="980" t="s">
        <v>373</v>
      </c>
      <c r="AI28" s="981"/>
      <c r="AJ28" s="981" t="s">
        <v>373</v>
      </c>
      <c r="AK28" s="981"/>
      <c r="AL28" s="981" t="s">
        <v>373</v>
      </c>
      <c r="AM28" s="983"/>
      <c r="AN28" s="182"/>
      <c r="AO28" s="1020"/>
      <c r="AP28" s="1021"/>
      <c r="AQ28" s="1021"/>
      <c r="AR28" s="1021"/>
      <c r="AS28" s="1021"/>
      <c r="AT28" s="1022"/>
      <c r="AW28" s="1058"/>
      <c r="AX28" s="1058"/>
      <c r="AY28" s="1059"/>
      <c r="AZ28" s="1052"/>
      <c r="BA28" s="1050"/>
      <c r="BB28" s="1050"/>
      <c r="BC28" s="1050"/>
      <c r="BD28" s="1051"/>
      <c r="BE28" s="205" t="s">
        <v>373</v>
      </c>
      <c r="BF28" s="206" t="s">
        <v>373</v>
      </c>
      <c r="BG28" s="206" t="s">
        <v>373</v>
      </c>
      <c r="BH28" s="206" t="s">
        <v>373</v>
      </c>
      <c r="BI28" s="206" t="s">
        <v>373</v>
      </c>
      <c r="BJ28" s="207" t="s">
        <v>373</v>
      </c>
      <c r="BK28" s="205" t="s">
        <v>373</v>
      </c>
      <c r="BL28" s="206" t="s">
        <v>373</v>
      </c>
      <c r="BM28" s="206" t="s">
        <v>373</v>
      </c>
      <c r="BN28" s="206" t="s">
        <v>373</v>
      </c>
      <c r="BO28" s="206" t="s">
        <v>373</v>
      </c>
      <c r="BP28" s="207" t="s">
        <v>373</v>
      </c>
      <c r="BQ28" s="205" t="s">
        <v>373</v>
      </c>
      <c r="BR28" s="206" t="s">
        <v>373</v>
      </c>
      <c r="BS28" s="206" t="s">
        <v>373</v>
      </c>
      <c r="BT28" s="206" t="s">
        <v>373</v>
      </c>
      <c r="BU28" s="206" t="s">
        <v>373</v>
      </c>
      <c r="BV28" s="207" t="s">
        <v>373</v>
      </c>
      <c r="BW28" s="190" t="s">
        <v>373</v>
      </c>
      <c r="BX28" s="191" t="s">
        <v>373</v>
      </c>
      <c r="BY28" s="191" t="s">
        <v>373</v>
      </c>
      <c r="BZ28" s="191" t="s">
        <v>373</v>
      </c>
      <c r="CA28" s="191" t="s">
        <v>373</v>
      </c>
      <c r="CB28" s="192" t="s">
        <v>373</v>
      </c>
      <c r="CC28" s="193" t="s">
        <v>373</v>
      </c>
      <c r="CD28" s="194" t="s">
        <v>373</v>
      </c>
      <c r="CE28" s="194" t="s">
        <v>373</v>
      </c>
      <c r="CF28" s="194" t="s">
        <v>373</v>
      </c>
      <c r="CG28" s="194" t="s">
        <v>373</v>
      </c>
      <c r="CH28" s="195" t="s">
        <v>373</v>
      </c>
      <c r="CI28" s="181"/>
      <c r="CJ28" s="1081"/>
      <c r="CK28" s="1082"/>
      <c r="CL28" s="1082"/>
      <c r="CM28" s="1082"/>
      <c r="CN28" s="1082"/>
      <c r="CO28" s="1083"/>
    </row>
    <row r="29" spans="2:93" ht="9" customHeight="1" thickBot="1" x14ac:dyDescent="0.4">
      <c r="B29" s="961"/>
      <c r="C29" s="961"/>
      <c r="D29" s="962"/>
      <c r="E29" s="969"/>
      <c r="F29" s="970"/>
      <c r="G29" s="970"/>
      <c r="H29" s="970"/>
      <c r="I29" s="971"/>
      <c r="J29" s="997"/>
      <c r="K29" s="998"/>
      <c r="L29" s="998"/>
      <c r="M29" s="998"/>
      <c r="N29" s="998"/>
      <c r="O29" s="1000"/>
      <c r="P29" s="1014"/>
      <c r="Q29" s="1015"/>
      <c r="R29" s="1015"/>
      <c r="S29" s="1015"/>
      <c r="T29" s="1015"/>
      <c r="U29" s="1016"/>
      <c r="V29" s="1014"/>
      <c r="W29" s="1015"/>
      <c r="X29" s="1015"/>
      <c r="Y29" s="1015"/>
      <c r="Z29" s="1015"/>
      <c r="AA29" s="1016"/>
      <c r="AB29" s="1003"/>
      <c r="AC29" s="1001"/>
      <c r="AD29" s="1001"/>
      <c r="AE29" s="1001"/>
      <c r="AF29" s="1001"/>
      <c r="AG29" s="1002"/>
      <c r="AH29" s="1004"/>
      <c r="AI29" s="993"/>
      <c r="AJ29" s="993"/>
      <c r="AK29" s="993"/>
      <c r="AL29" s="993"/>
      <c r="AM29" s="994"/>
      <c r="AN29" s="182"/>
      <c r="AO29" s="1023"/>
      <c r="AP29" s="1024"/>
      <c r="AQ29" s="1024"/>
      <c r="AR29" s="1024"/>
      <c r="AS29" s="1024"/>
      <c r="AT29" s="1025"/>
      <c r="AW29" s="1058"/>
      <c r="AX29" s="1058"/>
      <c r="AY29" s="1059"/>
      <c r="AZ29" s="1052"/>
      <c r="BA29" s="1050"/>
      <c r="BB29" s="1050"/>
      <c r="BC29" s="1050"/>
      <c r="BD29" s="1051"/>
      <c r="BE29" s="205" t="s">
        <v>373</v>
      </c>
      <c r="BF29" s="206" t="s">
        <v>373</v>
      </c>
      <c r="BG29" s="206" t="s">
        <v>373</v>
      </c>
      <c r="BH29" s="206" t="s">
        <v>373</v>
      </c>
      <c r="BI29" s="206" t="s">
        <v>373</v>
      </c>
      <c r="BJ29" s="207" t="s">
        <v>373</v>
      </c>
      <c r="BK29" s="205" t="s">
        <v>373</v>
      </c>
      <c r="BL29" s="206" t="s">
        <v>373</v>
      </c>
      <c r="BM29" s="206" t="s">
        <v>373</v>
      </c>
      <c r="BN29" s="206" t="s">
        <v>373</v>
      </c>
      <c r="BO29" s="206" t="s">
        <v>373</v>
      </c>
      <c r="BP29" s="207" t="s">
        <v>373</v>
      </c>
      <c r="BQ29" s="205" t="s">
        <v>373</v>
      </c>
      <c r="BR29" s="206" t="s">
        <v>373</v>
      </c>
      <c r="BS29" s="206" t="s">
        <v>373</v>
      </c>
      <c r="BT29" s="206" t="s">
        <v>373</v>
      </c>
      <c r="BU29" s="206" t="s">
        <v>373</v>
      </c>
      <c r="BV29" s="207" t="s">
        <v>373</v>
      </c>
      <c r="BW29" s="190" t="s">
        <v>373</v>
      </c>
      <c r="BX29" s="191" t="s">
        <v>373</v>
      </c>
      <c r="BY29" s="191" t="s">
        <v>373</v>
      </c>
      <c r="BZ29" s="191" t="s">
        <v>373</v>
      </c>
      <c r="CA29" s="191" t="s">
        <v>373</v>
      </c>
      <c r="CB29" s="192" t="s">
        <v>373</v>
      </c>
      <c r="CC29" s="193" t="s">
        <v>373</v>
      </c>
      <c r="CD29" s="194" t="s">
        <v>373</v>
      </c>
      <c r="CE29" s="194" t="s">
        <v>373</v>
      </c>
      <c r="CF29" s="194" t="s">
        <v>373</v>
      </c>
      <c r="CG29" s="194" t="s">
        <v>373</v>
      </c>
      <c r="CH29" s="195" t="s">
        <v>373</v>
      </c>
      <c r="CI29" s="181"/>
      <c r="CJ29" s="1081"/>
      <c r="CK29" s="1082"/>
      <c r="CL29" s="1082"/>
      <c r="CM29" s="1082"/>
      <c r="CN29" s="1082"/>
      <c r="CO29" s="1083"/>
    </row>
    <row r="30" spans="2:93" ht="9" customHeight="1" x14ac:dyDescent="0.35">
      <c r="B30" s="961"/>
      <c r="C30" s="961"/>
      <c r="D30" s="962"/>
      <c r="E30" s="963" t="s">
        <v>114</v>
      </c>
      <c r="F30" s="964"/>
      <c r="G30" s="964"/>
      <c r="H30" s="964"/>
      <c r="I30" s="964"/>
      <c r="J30" s="1026" t="s">
        <v>373</v>
      </c>
      <c r="K30" s="1027"/>
      <c r="L30" s="1027" t="s">
        <v>373</v>
      </c>
      <c r="M30" s="1027"/>
      <c r="N30" s="1027" t="s">
        <v>373</v>
      </c>
      <c r="O30" s="1030"/>
      <c r="P30" s="996" t="s">
        <v>373</v>
      </c>
      <c r="Q30" s="996"/>
      <c r="R30" s="996" t="s">
        <v>373</v>
      </c>
      <c r="S30" s="996"/>
      <c r="T30" s="996" t="s">
        <v>373</v>
      </c>
      <c r="U30" s="999"/>
      <c r="V30" s="995" t="s">
        <v>373</v>
      </c>
      <c r="W30" s="996"/>
      <c r="X30" s="996" t="s">
        <v>373</v>
      </c>
      <c r="Y30" s="996"/>
      <c r="Z30" s="996" t="s">
        <v>373</v>
      </c>
      <c r="AA30" s="999"/>
      <c r="AB30" s="972" t="s">
        <v>373</v>
      </c>
      <c r="AC30" s="973"/>
      <c r="AD30" s="973" t="s">
        <v>373</v>
      </c>
      <c r="AE30" s="973"/>
      <c r="AF30" s="973" t="s">
        <v>373</v>
      </c>
      <c r="AG30" s="976"/>
      <c r="AH30" s="978" t="s">
        <v>373</v>
      </c>
      <c r="AI30" s="979"/>
      <c r="AJ30" s="979" t="s">
        <v>373</v>
      </c>
      <c r="AK30" s="979"/>
      <c r="AL30" s="979" t="s">
        <v>373</v>
      </c>
      <c r="AM30" s="982"/>
      <c r="AN30" s="182"/>
      <c r="AO30" s="1032" t="s">
        <v>82</v>
      </c>
      <c r="AP30" s="1033"/>
      <c r="AQ30" s="1033"/>
      <c r="AR30" s="1033"/>
      <c r="AS30" s="1033"/>
      <c r="AT30" s="1034"/>
      <c r="AW30" s="1058"/>
      <c r="AX30" s="1058"/>
      <c r="AY30" s="1059"/>
      <c r="AZ30" s="1052"/>
      <c r="BA30" s="1050"/>
      <c r="BB30" s="1050"/>
      <c r="BC30" s="1050"/>
      <c r="BD30" s="1051"/>
      <c r="BE30" s="205" t="s">
        <v>373</v>
      </c>
      <c r="BF30" s="206" t="s">
        <v>373</v>
      </c>
      <c r="BG30" s="206" t="s">
        <v>373</v>
      </c>
      <c r="BH30" s="206" t="s">
        <v>373</v>
      </c>
      <c r="BI30" s="206" t="s">
        <v>373</v>
      </c>
      <c r="BJ30" s="207" t="s">
        <v>373</v>
      </c>
      <c r="BK30" s="205" t="s">
        <v>373</v>
      </c>
      <c r="BL30" s="206" t="s">
        <v>373</v>
      </c>
      <c r="BM30" s="206" t="s">
        <v>373</v>
      </c>
      <c r="BN30" s="206" t="s">
        <v>373</v>
      </c>
      <c r="BO30" s="206" t="s">
        <v>373</v>
      </c>
      <c r="BP30" s="207" t="s">
        <v>373</v>
      </c>
      <c r="BQ30" s="205" t="s">
        <v>373</v>
      </c>
      <c r="BR30" s="206" t="s">
        <v>373</v>
      </c>
      <c r="BS30" s="206" t="s">
        <v>373</v>
      </c>
      <c r="BT30" s="206" t="s">
        <v>373</v>
      </c>
      <c r="BU30" s="206" t="s">
        <v>373</v>
      </c>
      <c r="BV30" s="207" t="s">
        <v>373</v>
      </c>
      <c r="BW30" s="190" t="s">
        <v>373</v>
      </c>
      <c r="BX30" s="191" t="s">
        <v>373</v>
      </c>
      <c r="BY30" s="191" t="s">
        <v>373</v>
      </c>
      <c r="BZ30" s="191" t="s">
        <v>373</v>
      </c>
      <c r="CA30" s="191" t="s">
        <v>373</v>
      </c>
      <c r="CB30" s="192" t="s">
        <v>373</v>
      </c>
      <c r="CC30" s="193" t="s">
        <v>373</v>
      </c>
      <c r="CD30" s="194" t="s">
        <v>373</v>
      </c>
      <c r="CE30" s="194" t="s">
        <v>373</v>
      </c>
      <c r="CF30" s="194" t="s">
        <v>373</v>
      </c>
      <c r="CG30" s="194" t="s">
        <v>373</v>
      </c>
      <c r="CH30" s="195" t="s">
        <v>373</v>
      </c>
      <c r="CI30" s="181"/>
      <c r="CJ30" s="1081"/>
      <c r="CK30" s="1082"/>
      <c r="CL30" s="1082"/>
      <c r="CM30" s="1082"/>
      <c r="CN30" s="1082"/>
      <c r="CO30" s="1083"/>
    </row>
    <row r="31" spans="2:93" ht="9" customHeight="1" x14ac:dyDescent="0.35">
      <c r="B31" s="961"/>
      <c r="C31" s="961"/>
      <c r="D31" s="962"/>
      <c r="E31" s="966"/>
      <c r="F31" s="967"/>
      <c r="G31" s="967"/>
      <c r="H31" s="967"/>
      <c r="I31" s="967"/>
      <c r="J31" s="1028"/>
      <c r="K31" s="1029"/>
      <c r="L31" s="1029"/>
      <c r="M31" s="1029"/>
      <c r="N31" s="1029"/>
      <c r="O31" s="1031"/>
      <c r="P31" s="998"/>
      <c r="Q31" s="998"/>
      <c r="R31" s="998"/>
      <c r="S31" s="998"/>
      <c r="T31" s="998"/>
      <c r="U31" s="1000"/>
      <c r="V31" s="997"/>
      <c r="W31" s="998"/>
      <c r="X31" s="998"/>
      <c r="Y31" s="998"/>
      <c r="Z31" s="998"/>
      <c r="AA31" s="1000"/>
      <c r="AB31" s="974"/>
      <c r="AC31" s="975"/>
      <c r="AD31" s="975"/>
      <c r="AE31" s="975"/>
      <c r="AF31" s="975"/>
      <c r="AG31" s="977"/>
      <c r="AH31" s="980"/>
      <c r="AI31" s="981"/>
      <c r="AJ31" s="981"/>
      <c r="AK31" s="981"/>
      <c r="AL31" s="981"/>
      <c r="AM31" s="983"/>
      <c r="AN31" s="182"/>
      <c r="AO31" s="1035"/>
      <c r="AP31" s="1036"/>
      <c r="AQ31" s="1036"/>
      <c r="AR31" s="1036"/>
      <c r="AS31" s="1036"/>
      <c r="AT31" s="1037"/>
      <c r="AW31" s="1058"/>
      <c r="AX31" s="1058"/>
      <c r="AY31" s="1059"/>
      <c r="AZ31" s="1052"/>
      <c r="BA31" s="1050"/>
      <c r="BB31" s="1050"/>
      <c r="BC31" s="1050"/>
      <c r="BD31" s="1051"/>
      <c r="BE31" s="205" t="s">
        <v>373</v>
      </c>
      <c r="BF31" s="206" t="s">
        <v>373</v>
      </c>
      <c r="BG31" s="206" t="s">
        <v>373</v>
      </c>
      <c r="BH31" s="206" t="s">
        <v>373</v>
      </c>
      <c r="BI31" s="206" t="s">
        <v>373</v>
      </c>
      <c r="BJ31" s="207" t="s">
        <v>373</v>
      </c>
      <c r="BK31" s="205" t="s">
        <v>373</v>
      </c>
      <c r="BL31" s="206" t="s">
        <v>373</v>
      </c>
      <c r="BM31" s="206" t="s">
        <v>373</v>
      </c>
      <c r="BN31" s="206" t="s">
        <v>373</v>
      </c>
      <c r="BO31" s="206" t="s">
        <v>373</v>
      </c>
      <c r="BP31" s="207" t="s">
        <v>373</v>
      </c>
      <c r="BQ31" s="205" t="s">
        <v>373</v>
      </c>
      <c r="BR31" s="206" t="s">
        <v>373</v>
      </c>
      <c r="BS31" s="206" t="s">
        <v>373</v>
      </c>
      <c r="BT31" s="206" t="s">
        <v>373</v>
      </c>
      <c r="BU31" s="206" t="s">
        <v>373</v>
      </c>
      <c r="BV31" s="207" t="s">
        <v>373</v>
      </c>
      <c r="BW31" s="190" t="s">
        <v>373</v>
      </c>
      <c r="BX31" s="191" t="s">
        <v>373</v>
      </c>
      <c r="BY31" s="191" t="s">
        <v>373</v>
      </c>
      <c r="BZ31" s="191" t="s">
        <v>373</v>
      </c>
      <c r="CA31" s="191" t="s">
        <v>373</v>
      </c>
      <c r="CB31" s="192" t="s">
        <v>373</v>
      </c>
      <c r="CC31" s="193" t="s">
        <v>373</v>
      </c>
      <c r="CD31" s="194" t="s">
        <v>373</v>
      </c>
      <c r="CE31" s="194" t="s">
        <v>373</v>
      </c>
      <c r="CF31" s="194" t="s">
        <v>373</v>
      </c>
      <c r="CG31" s="194" t="s">
        <v>373</v>
      </c>
      <c r="CH31" s="195" t="s">
        <v>373</v>
      </c>
      <c r="CI31" s="181"/>
      <c r="CJ31" s="1081"/>
      <c r="CK31" s="1082"/>
      <c r="CL31" s="1082"/>
      <c r="CM31" s="1082"/>
      <c r="CN31" s="1082"/>
      <c r="CO31" s="1083"/>
    </row>
    <row r="32" spans="2:93" ht="9" customHeight="1" x14ac:dyDescent="0.35">
      <c r="B32" s="961"/>
      <c r="C32" s="961"/>
      <c r="D32" s="962"/>
      <c r="E32" s="966"/>
      <c r="F32" s="967"/>
      <c r="G32" s="967"/>
      <c r="H32" s="967"/>
      <c r="I32" s="967"/>
      <c r="J32" s="1028" t="s">
        <v>373</v>
      </c>
      <c r="K32" s="1029"/>
      <c r="L32" s="1029" t="s">
        <v>373</v>
      </c>
      <c r="M32" s="1029"/>
      <c r="N32" s="1029" t="s">
        <v>373</v>
      </c>
      <c r="O32" s="1031"/>
      <c r="P32" s="998" t="s">
        <v>373</v>
      </c>
      <c r="Q32" s="998"/>
      <c r="R32" s="998" t="s">
        <v>373</v>
      </c>
      <c r="S32" s="998"/>
      <c r="T32" s="998" t="s">
        <v>373</v>
      </c>
      <c r="U32" s="1000"/>
      <c r="V32" s="997" t="s">
        <v>373</v>
      </c>
      <c r="W32" s="998"/>
      <c r="X32" s="998" t="s">
        <v>373</v>
      </c>
      <c r="Y32" s="998"/>
      <c r="Z32" s="998" t="s">
        <v>373</v>
      </c>
      <c r="AA32" s="1000"/>
      <c r="AB32" s="974" t="s">
        <v>373</v>
      </c>
      <c r="AC32" s="975"/>
      <c r="AD32" s="975" t="s">
        <v>373</v>
      </c>
      <c r="AE32" s="975"/>
      <c r="AF32" s="975" t="s">
        <v>373</v>
      </c>
      <c r="AG32" s="977"/>
      <c r="AH32" s="980" t="s">
        <v>373</v>
      </c>
      <c r="AI32" s="981"/>
      <c r="AJ32" s="981" t="s">
        <v>373</v>
      </c>
      <c r="AK32" s="981"/>
      <c r="AL32" s="981" t="s">
        <v>373</v>
      </c>
      <c r="AM32" s="983"/>
      <c r="AN32" s="182"/>
      <c r="AO32" s="1035"/>
      <c r="AP32" s="1036"/>
      <c r="AQ32" s="1036"/>
      <c r="AR32" s="1036"/>
      <c r="AS32" s="1036"/>
      <c r="AT32" s="1037"/>
      <c r="AW32" s="1058"/>
      <c r="AX32" s="1058"/>
      <c r="AY32" s="1059"/>
      <c r="AZ32" s="1052"/>
      <c r="BA32" s="1050"/>
      <c r="BB32" s="1050"/>
      <c r="BC32" s="1050"/>
      <c r="BD32" s="1051"/>
      <c r="BE32" s="205" t="s">
        <v>373</v>
      </c>
      <c r="BF32" s="206" t="s">
        <v>373</v>
      </c>
      <c r="BG32" s="206" t="s">
        <v>373</v>
      </c>
      <c r="BH32" s="206" t="s">
        <v>373</v>
      </c>
      <c r="BI32" s="206" t="s">
        <v>373</v>
      </c>
      <c r="BJ32" s="207" t="s">
        <v>373</v>
      </c>
      <c r="BK32" s="205" t="s">
        <v>373</v>
      </c>
      <c r="BL32" s="206" t="s">
        <v>373</v>
      </c>
      <c r="BM32" s="206" t="s">
        <v>373</v>
      </c>
      <c r="BN32" s="206" t="s">
        <v>373</v>
      </c>
      <c r="BO32" s="206" t="s">
        <v>373</v>
      </c>
      <c r="BP32" s="207" t="s">
        <v>373</v>
      </c>
      <c r="BQ32" s="205" t="s">
        <v>373</v>
      </c>
      <c r="BR32" s="206" t="s">
        <v>373</v>
      </c>
      <c r="BS32" s="206" t="s">
        <v>373</v>
      </c>
      <c r="BT32" s="206" t="s">
        <v>373</v>
      </c>
      <c r="BU32" s="206" t="s">
        <v>373</v>
      </c>
      <c r="BV32" s="207" t="s">
        <v>373</v>
      </c>
      <c r="BW32" s="190" t="s">
        <v>373</v>
      </c>
      <c r="BX32" s="191" t="s">
        <v>373</v>
      </c>
      <c r="BY32" s="191" t="s">
        <v>373</v>
      </c>
      <c r="BZ32" s="191" t="s">
        <v>373</v>
      </c>
      <c r="CA32" s="191" t="s">
        <v>373</v>
      </c>
      <c r="CB32" s="192" t="s">
        <v>373</v>
      </c>
      <c r="CC32" s="193" t="s">
        <v>373</v>
      </c>
      <c r="CD32" s="194" t="s">
        <v>373</v>
      </c>
      <c r="CE32" s="194" t="s">
        <v>373</v>
      </c>
      <c r="CF32" s="194" t="s">
        <v>373</v>
      </c>
      <c r="CG32" s="194" t="s">
        <v>373</v>
      </c>
      <c r="CH32" s="195" t="s">
        <v>373</v>
      </c>
      <c r="CI32" s="181"/>
      <c r="CJ32" s="1081"/>
      <c r="CK32" s="1082"/>
      <c r="CL32" s="1082"/>
      <c r="CM32" s="1082"/>
      <c r="CN32" s="1082"/>
      <c r="CO32" s="1083"/>
    </row>
    <row r="33" spans="2:93" ht="9" customHeight="1" x14ac:dyDescent="0.35">
      <c r="B33" s="961"/>
      <c r="C33" s="961"/>
      <c r="D33" s="962"/>
      <c r="E33" s="966"/>
      <c r="F33" s="967"/>
      <c r="G33" s="967"/>
      <c r="H33" s="967"/>
      <c r="I33" s="967"/>
      <c r="J33" s="1028"/>
      <c r="K33" s="1029"/>
      <c r="L33" s="1029"/>
      <c r="M33" s="1029"/>
      <c r="N33" s="1029"/>
      <c r="O33" s="1031"/>
      <c r="P33" s="998"/>
      <c r="Q33" s="998"/>
      <c r="R33" s="998"/>
      <c r="S33" s="998"/>
      <c r="T33" s="998"/>
      <c r="U33" s="1000"/>
      <c r="V33" s="997"/>
      <c r="W33" s="998"/>
      <c r="X33" s="998"/>
      <c r="Y33" s="998"/>
      <c r="Z33" s="998"/>
      <c r="AA33" s="1000"/>
      <c r="AB33" s="974"/>
      <c r="AC33" s="975"/>
      <c r="AD33" s="975"/>
      <c r="AE33" s="975"/>
      <c r="AF33" s="975"/>
      <c r="AG33" s="977"/>
      <c r="AH33" s="980"/>
      <c r="AI33" s="981"/>
      <c r="AJ33" s="981"/>
      <c r="AK33" s="981"/>
      <c r="AL33" s="981"/>
      <c r="AM33" s="983"/>
      <c r="AN33" s="182"/>
      <c r="AO33" s="1035"/>
      <c r="AP33" s="1036"/>
      <c r="AQ33" s="1036"/>
      <c r="AR33" s="1036"/>
      <c r="AS33" s="1036"/>
      <c r="AT33" s="1037"/>
      <c r="AW33" s="1058"/>
      <c r="AX33" s="1058"/>
      <c r="AY33" s="1059"/>
      <c r="AZ33" s="1052"/>
      <c r="BA33" s="1050"/>
      <c r="BB33" s="1050"/>
      <c r="BC33" s="1050"/>
      <c r="BD33" s="1051"/>
      <c r="BE33" s="205" t="s">
        <v>373</v>
      </c>
      <c r="BF33" s="206" t="s">
        <v>373</v>
      </c>
      <c r="BG33" s="206" t="s">
        <v>373</v>
      </c>
      <c r="BH33" s="206" t="s">
        <v>373</v>
      </c>
      <c r="BI33" s="206" t="s">
        <v>373</v>
      </c>
      <c r="BJ33" s="207" t="s">
        <v>373</v>
      </c>
      <c r="BK33" s="205" t="s">
        <v>373</v>
      </c>
      <c r="BL33" s="206" t="s">
        <v>373</v>
      </c>
      <c r="BM33" s="206" t="s">
        <v>373</v>
      </c>
      <c r="BN33" s="206" t="s">
        <v>373</v>
      </c>
      <c r="BO33" s="206" t="s">
        <v>373</v>
      </c>
      <c r="BP33" s="207" t="s">
        <v>373</v>
      </c>
      <c r="BQ33" s="205" t="s">
        <v>373</v>
      </c>
      <c r="BR33" s="206" t="s">
        <v>373</v>
      </c>
      <c r="BS33" s="206" t="s">
        <v>373</v>
      </c>
      <c r="BT33" s="206" t="s">
        <v>373</v>
      </c>
      <c r="BU33" s="206" t="s">
        <v>373</v>
      </c>
      <c r="BV33" s="207" t="s">
        <v>373</v>
      </c>
      <c r="BW33" s="190" t="s">
        <v>373</v>
      </c>
      <c r="BX33" s="191" t="s">
        <v>373</v>
      </c>
      <c r="BY33" s="191" t="s">
        <v>373</v>
      </c>
      <c r="BZ33" s="191" t="s">
        <v>373</v>
      </c>
      <c r="CA33" s="191" t="s">
        <v>373</v>
      </c>
      <c r="CB33" s="192" t="s">
        <v>373</v>
      </c>
      <c r="CC33" s="193" t="s">
        <v>373</v>
      </c>
      <c r="CD33" s="194" t="s">
        <v>373</v>
      </c>
      <c r="CE33" s="194" t="s">
        <v>373</v>
      </c>
      <c r="CF33" s="194" t="s">
        <v>373</v>
      </c>
      <c r="CG33" s="194" t="s">
        <v>373</v>
      </c>
      <c r="CH33" s="195" t="s">
        <v>373</v>
      </c>
      <c r="CI33" s="181"/>
      <c r="CJ33" s="1081"/>
      <c r="CK33" s="1082"/>
      <c r="CL33" s="1082"/>
      <c r="CM33" s="1082"/>
      <c r="CN33" s="1082"/>
      <c r="CO33" s="1083"/>
    </row>
    <row r="34" spans="2:93" ht="9" customHeight="1" x14ac:dyDescent="0.35">
      <c r="B34" s="961"/>
      <c r="C34" s="961"/>
      <c r="D34" s="962"/>
      <c r="E34" s="966"/>
      <c r="F34" s="967"/>
      <c r="G34" s="967"/>
      <c r="H34" s="967"/>
      <c r="I34" s="967"/>
      <c r="J34" s="1028" t="s">
        <v>373</v>
      </c>
      <c r="K34" s="1029"/>
      <c r="L34" s="1029" t="s">
        <v>373</v>
      </c>
      <c r="M34" s="1029"/>
      <c r="N34" s="1029" t="s">
        <v>373</v>
      </c>
      <c r="O34" s="1031"/>
      <c r="P34" s="998" t="s">
        <v>373</v>
      </c>
      <c r="Q34" s="998"/>
      <c r="R34" s="998" t="s">
        <v>373</v>
      </c>
      <c r="S34" s="998"/>
      <c r="T34" s="998" t="s">
        <v>373</v>
      </c>
      <c r="U34" s="1000"/>
      <c r="V34" s="997" t="s">
        <v>373</v>
      </c>
      <c r="W34" s="998"/>
      <c r="X34" s="998" t="s">
        <v>373</v>
      </c>
      <c r="Y34" s="998"/>
      <c r="Z34" s="998" t="s">
        <v>373</v>
      </c>
      <c r="AA34" s="1000"/>
      <c r="AB34" s="974" t="s">
        <v>373</v>
      </c>
      <c r="AC34" s="975"/>
      <c r="AD34" s="975" t="s">
        <v>373</v>
      </c>
      <c r="AE34" s="975"/>
      <c r="AF34" s="975" t="s">
        <v>373</v>
      </c>
      <c r="AG34" s="977"/>
      <c r="AH34" s="980" t="s">
        <v>373</v>
      </c>
      <c r="AI34" s="981"/>
      <c r="AJ34" s="981" t="s">
        <v>373</v>
      </c>
      <c r="AK34" s="981"/>
      <c r="AL34" s="981" t="s">
        <v>373</v>
      </c>
      <c r="AM34" s="983"/>
      <c r="AN34" s="182"/>
      <c r="AO34" s="1035"/>
      <c r="AP34" s="1036"/>
      <c r="AQ34" s="1036"/>
      <c r="AR34" s="1036"/>
      <c r="AS34" s="1036"/>
      <c r="AT34" s="1037"/>
      <c r="AW34" s="1058"/>
      <c r="AX34" s="1058"/>
      <c r="AY34" s="1059"/>
      <c r="AZ34" s="1052"/>
      <c r="BA34" s="1050"/>
      <c r="BB34" s="1050"/>
      <c r="BC34" s="1050"/>
      <c r="BD34" s="1051"/>
      <c r="BE34" s="205" t="s">
        <v>373</v>
      </c>
      <c r="BF34" s="206" t="s">
        <v>373</v>
      </c>
      <c r="BG34" s="206" t="s">
        <v>373</v>
      </c>
      <c r="BH34" s="206" t="s">
        <v>373</v>
      </c>
      <c r="BI34" s="206" t="s">
        <v>373</v>
      </c>
      <c r="BJ34" s="207" t="s">
        <v>373</v>
      </c>
      <c r="BK34" s="205" t="s">
        <v>373</v>
      </c>
      <c r="BL34" s="206" t="s">
        <v>373</v>
      </c>
      <c r="BM34" s="206" t="s">
        <v>373</v>
      </c>
      <c r="BN34" s="206" t="s">
        <v>373</v>
      </c>
      <c r="BO34" s="206" t="s">
        <v>373</v>
      </c>
      <c r="BP34" s="207" t="s">
        <v>373</v>
      </c>
      <c r="BQ34" s="205" t="s">
        <v>373</v>
      </c>
      <c r="BR34" s="206" t="s">
        <v>373</v>
      </c>
      <c r="BS34" s="206" t="s">
        <v>373</v>
      </c>
      <c r="BT34" s="206" t="s">
        <v>373</v>
      </c>
      <c r="BU34" s="206" t="s">
        <v>373</v>
      </c>
      <c r="BV34" s="207" t="s">
        <v>373</v>
      </c>
      <c r="BW34" s="190" t="s">
        <v>373</v>
      </c>
      <c r="BX34" s="191" t="s">
        <v>373</v>
      </c>
      <c r="BY34" s="191" t="s">
        <v>373</v>
      </c>
      <c r="BZ34" s="191" t="s">
        <v>373</v>
      </c>
      <c r="CA34" s="191" t="s">
        <v>373</v>
      </c>
      <c r="CB34" s="192" t="s">
        <v>373</v>
      </c>
      <c r="CC34" s="193" t="s">
        <v>373</v>
      </c>
      <c r="CD34" s="194" t="s">
        <v>373</v>
      </c>
      <c r="CE34" s="194" t="s">
        <v>373</v>
      </c>
      <c r="CF34" s="194" t="s">
        <v>373</v>
      </c>
      <c r="CG34" s="194" t="s">
        <v>373</v>
      </c>
      <c r="CH34" s="195" t="s">
        <v>373</v>
      </c>
      <c r="CI34" s="181"/>
      <c r="CJ34" s="1081"/>
      <c r="CK34" s="1082"/>
      <c r="CL34" s="1082"/>
      <c r="CM34" s="1082"/>
      <c r="CN34" s="1082"/>
      <c r="CO34" s="1083"/>
    </row>
    <row r="35" spans="2:93" ht="9" customHeight="1" thickBot="1" x14ac:dyDescent="0.4">
      <c r="B35" s="961"/>
      <c r="C35" s="961"/>
      <c r="D35" s="962"/>
      <c r="E35" s="966"/>
      <c r="F35" s="967"/>
      <c r="G35" s="967"/>
      <c r="H35" s="967"/>
      <c r="I35" s="967"/>
      <c r="J35" s="1028"/>
      <c r="K35" s="1029"/>
      <c r="L35" s="1029"/>
      <c r="M35" s="1029"/>
      <c r="N35" s="1029"/>
      <c r="O35" s="1031"/>
      <c r="P35" s="998"/>
      <c r="Q35" s="998"/>
      <c r="R35" s="998"/>
      <c r="S35" s="998"/>
      <c r="T35" s="998"/>
      <c r="U35" s="1000"/>
      <c r="V35" s="997"/>
      <c r="W35" s="998"/>
      <c r="X35" s="998"/>
      <c r="Y35" s="998"/>
      <c r="Z35" s="998"/>
      <c r="AA35" s="1000"/>
      <c r="AB35" s="974"/>
      <c r="AC35" s="975"/>
      <c r="AD35" s="975"/>
      <c r="AE35" s="975"/>
      <c r="AF35" s="975"/>
      <c r="AG35" s="977"/>
      <c r="AH35" s="980"/>
      <c r="AI35" s="981"/>
      <c r="AJ35" s="981"/>
      <c r="AK35" s="981"/>
      <c r="AL35" s="981"/>
      <c r="AM35" s="983"/>
      <c r="AN35" s="182"/>
      <c r="AO35" s="1035"/>
      <c r="AP35" s="1036"/>
      <c r="AQ35" s="1036"/>
      <c r="AR35" s="1036"/>
      <c r="AS35" s="1036"/>
      <c r="AT35" s="1037"/>
      <c r="AW35" s="1058"/>
      <c r="AX35" s="1058"/>
      <c r="AY35" s="1059"/>
      <c r="AZ35" s="1053"/>
      <c r="BA35" s="1054"/>
      <c r="BB35" s="1054"/>
      <c r="BC35" s="1054"/>
      <c r="BD35" s="1055"/>
      <c r="BE35" s="205" t="s">
        <v>373</v>
      </c>
      <c r="BF35" s="206" t="s">
        <v>373</v>
      </c>
      <c r="BG35" s="206" t="s">
        <v>373</v>
      </c>
      <c r="BH35" s="206" t="s">
        <v>373</v>
      </c>
      <c r="BI35" s="206" t="s">
        <v>373</v>
      </c>
      <c r="BJ35" s="207" t="s">
        <v>373</v>
      </c>
      <c r="BK35" s="205" t="s">
        <v>373</v>
      </c>
      <c r="BL35" s="206" t="s">
        <v>373</v>
      </c>
      <c r="BM35" s="206" t="s">
        <v>373</v>
      </c>
      <c r="BN35" s="206" t="s">
        <v>373</v>
      </c>
      <c r="BO35" s="206" t="s">
        <v>373</v>
      </c>
      <c r="BP35" s="207" t="s">
        <v>373</v>
      </c>
      <c r="BQ35" s="205" t="s">
        <v>373</v>
      </c>
      <c r="BR35" s="206" t="s">
        <v>373</v>
      </c>
      <c r="BS35" s="206" t="s">
        <v>373</v>
      </c>
      <c r="BT35" s="206" t="s">
        <v>373</v>
      </c>
      <c r="BU35" s="206" t="s">
        <v>373</v>
      </c>
      <c r="BV35" s="207" t="s">
        <v>373</v>
      </c>
      <c r="BW35" s="196" t="s">
        <v>373</v>
      </c>
      <c r="BX35" s="197" t="s">
        <v>373</v>
      </c>
      <c r="BY35" s="197" t="s">
        <v>373</v>
      </c>
      <c r="BZ35" s="197" t="s">
        <v>373</v>
      </c>
      <c r="CA35" s="197" t="s">
        <v>373</v>
      </c>
      <c r="CB35" s="198" t="s">
        <v>373</v>
      </c>
      <c r="CC35" s="199" t="s">
        <v>373</v>
      </c>
      <c r="CD35" s="200" t="s">
        <v>373</v>
      </c>
      <c r="CE35" s="200" t="s">
        <v>373</v>
      </c>
      <c r="CF35" s="200" t="s">
        <v>373</v>
      </c>
      <c r="CG35" s="200" t="s">
        <v>373</v>
      </c>
      <c r="CH35" s="201" t="s">
        <v>373</v>
      </c>
      <c r="CI35" s="181"/>
      <c r="CJ35" s="1084"/>
      <c r="CK35" s="1085"/>
      <c r="CL35" s="1085"/>
      <c r="CM35" s="1085"/>
      <c r="CN35" s="1085"/>
      <c r="CO35" s="1086"/>
    </row>
    <row r="36" spans="2:93" ht="9" customHeight="1" x14ac:dyDescent="0.35">
      <c r="B36" s="961"/>
      <c r="C36" s="961"/>
      <c r="D36" s="962"/>
      <c r="E36" s="966"/>
      <c r="F36" s="967"/>
      <c r="G36" s="967"/>
      <c r="H36" s="967"/>
      <c r="I36" s="967"/>
      <c r="J36" s="1028" t="s">
        <v>373</v>
      </c>
      <c r="K36" s="1029"/>
      <c r="L36" s="1029" t="s">
        <v>373</v>
      </c>
      <c r="M36" s="1029"/>
      <c r="N36" s="1029" t="s">
        <v>373</v>
      </c>
      <c r="O36" s="1031"/>
      <c r="P36" s="998" t="s">
        <v>373</v>
      </c>
      <c r="Q36" s="998"/>
      <c r="R36" s="998" t="s">
        <v>373</v>
      </c>
      <c r="S36" s="998"/>
      <c r="T36" s="998" t="s">
        <v>373</v>
      </c>
      <c r="U36" s="1000"/>
      <c r="V36" s="997" t="s">
        <v>373</v>
      </c>
      <c r="W36" s="998"/>
      <c r="X36" s="998" t="s">
        <v>373</v>
      </c>
      <c r="Y36" s="998"/>
      <c r="Z36" s="998" t="s">
        <v>373</v>
      </c>
      <c r="AA36" s="1000"/>
      <c r="AB36" s="974" t="s">
        <v>373</v>
      </c>
      <c r="AC36" s="975"/>
      <c r="AD36" s="975" t="s">
        <v>373</v>
      </c>
      <c r="AE36" s="975"/>
      <c r="AF36" s="975" t="s">
        <v>373</v>
      </c>
      <c r="AG36" s="977"/>
      <c r="AH36" s="980" t="s">
        <v>373</v>
      </c>
      <c r="AI36" s="981"/>
      <c r="AJ36" s="981" t="s">
        <v>373</v>
      </c>
      <c r="AK36" s="981"/>
      <c r="AL36" s="981" t="s">
        <v>373</v>
      </c>
      <c r="AM36" s="983"/>
      <c r="AN36" s="182"/>
      <c r="AO36" s="1035"/>
      <c r="AP36" s="1036"/>
      <c r="AQ36" s="1036"/>
      <c r="AR36" s="1036"/>
      <c r="AS36" s="1036"/>
      <c r="AT36" s="1037"/>
      <c r="AW36" s="1058"/>
      <c r="AX36" s="1058"/>
      <c r="AY36" s="1059"/>
      <c r="AZ36" s="1046" t="s">
        <v>114</v>
      </c>
      <c r="BA36" s="1047"/>
      <c r="BB36" s="1047"/>
      <c r="BC36" s="1047"/>
      <c r="BD36" s="1047"/>
      <c r="BE36" s="211" t="s">
        <v>373</v>
      </c>
      <c r="BF36" s="212" t="s">
        <v>373</v>
      </c>
      <c r="BG36" s="212" t="s">
        <v>373</v>
      </c>
      <c r="BH36" s="212" t="s">
        <v>373</v>
      </c>
      <c r="BI36" s="212" t="s">
        <v>373</v>
      </c>
      <c r="BJ36" s="213" t="s">
        <v>373</v>
      </c>
      <c r="BK36" s="202" t="s">
        <v>373</v>
      </c>
      <c r="BL36" s="203" t="s">
        <v>373</v>
      </c>
      <c r="BM36" s="203" t="s">
        <v>373</v>
      </c>
      <c r="BN36" s="203" t="s">
        <v>373</v>
      </c>
      <c r="BO36" s="203" t="s">
        <v>373</v>
      </c>
      <c r="BP36" s="204" t="s">
        <v>373</v>
      </c>
      <c r="BQ36" s="202" t="s">
        <v>373</v>
      </c>
      <c r="BR36" s="203" t="s">
        <v>373</v>
      </c>
      <c r="BS36" s="203" t="s">
        <v>373</v>
      </c>
      <c r="BT36" s="203" t="s">
        <v>373</v>
      </c>
      <c r="BU36" s="203" t="s">
        <v>373</v>
      </c>
      <c r="BV36" s="204" t="s">
        <v>373</v>
      </c>
      <c r="BW36" s="184" t="s">
        <v>373</v>
      </c>
      <c r="BX36" s="185" t="s">
        <v>373</v>
      </c>
      <c r="BY36" s="185" t="s">
        <v>373</v>
      </c>
      <c r="BZ36" s="185" t="s">
        <v>373</v>
      </c>
      <c r="CA36" s="185" t="s">
        <v>373</v>
      </c>
      <c r="CB36" s="186" t="s">
        <v>373</v>
      </c>
      <c r="CC36" s="187" t="s">
        <v>373</v>
      </c>
      <c r="CD36" s="188" t="s">
        <v>373</v>
      </c>
      <c r="CE36" s="188" t="s">
        <v>373</v>
      </c>
      <c r="CF36" s="188" t="s">
        <v>373</v>
      </c>
      <c r="CG36" s="188" t="s">
        <v>373</v>
      </c>
      <c r="CH36" s="189" t="s">
        <v>373</v>
      </c>
      <c r="CI36" s="181"/>
      <c r="CJ36" s="1087" t="s">
        <v>82</v>
      </c>
      <c r="CK36" s="1088"/>
      <c r="CL36" s="1088"/>
      <c r="CM36" s="1088"/>
      <c r="CN36" s="1088"/>
      <c r="CO36" s="1089"/>
    </row>
    <row r="37" spans="2:93" ht="9" customHeight="1" thickBot="1" x14ac:dyDescent="0.4">
      <c r="B37" s="961"/>
      <c r="C37" s="961"/>
      <c r="D37" s="962"/>
      <c r="E37" s="969"/>
      <c r="F37" s="970"/>
      <c r="G37" s="970"/>
      <c r="H37" s="970"/>
      <c r="I37" s="970"/>
      <c r="J37" s="1041"/>
      <c r="K37" s="1042"/>
      <c r="L37" s="1042"/>
      <c r="M37" s="1042"/>
      <c r="N37" s="1042"/>
      <c r="O37" s="1043"/>
      <c r="P37" s="1015"/>
      <c r="Q37" s="1015"/>
      <c r="R37" s="1015"/>
      <c r="S37" s="1015"/>
      <c r="T37" s="1015"/>
      <c r="U37" s="1016"/>
      <c r="V37" s="1014"/>
      <c r="W37" s="1015"/>
      <c r="X37" s="1015"/>
      <c r="Y37" s="1015"/>
      <c r="Z37" s="1015"/>
      <c r="AA37" s="1016"/>
      <c r="AB37" s="1003"/>
      <c r="AC37" s="1001"/>
      <c r="AD37" s="1001"/>
      <c r="AE37" s="1001"/>
      <c r="AF37" s="1001"/>
      <c r="AG37" s="1002"/>
      <c r="AH37" s="1004"/>
      <c r="AI37" s="993"/>
      <c r="AJ37" s="993"/>
      <c r="AK37" s="993"/>
      <c r="AL37" s="993"/>
      <c r="AM37" s="994"/>
      <c r="AN37" s="182"/>
      <c r="AO37" s="1038"/>
      <c r="AP37" s="1039"/>
      <c r="AQ37" s="1039"/>
      <c r="AR37" s="1039"/>
      <c r="AS37" s="1039"/>
      <c r="AT37" s="1040"/>
      <c r="AW37" s="1058"/>
      <c r="AX37" s="1058"/>
      <c r="AY37" s="1059"/>
      <c r="AZ37" s="1049"/>
      <c r="BA37" s="1050"/>
      <c r="BB37" s="1050"/>
      <c r="BC37" s="1050"/>
      <c r="BD37" s="1050"/>
      <c r="BE37" s="214" t="s">
        <v>373</v>
      </c>
      <c r="BF37" s="215" t="s">
        <v>373</v>
      </c>
      <c r="BG37" s="215" t="s">
        <v>373</v>
      </c>
      <c r="BH37" s="215" t="s">
        <v>373</v>
      </c>
      <c r="BI37" s="215" t="s">
        <v>373</v>
      </c>
      <c r="BJ37" s="216" t="s">
        <v>373</v>
      </c>
      <c r="BK37" s="205" t="s">
        <v>373</v>
      </c>
      <c r="BL37" s="206" t="s">
        <v>373</v>
      </c>
      <c r="BM37" s="206" t="s">
        <v>373</v>
      </c>
      <c r="BN37" s="206" t="s">
        <v>373</v>
      </c>
      <c r="BO37" s="206" t="s">
        <v>373</v>
      </c>
      <c r="BP37" s="207" t="s">
        <v>373</v>
      </c>
      <c r="BQ37" s="205" t="s">
        <v>373</v>
      </c>
      <c r="BR37" s="206" t="s">
        <v>373</v>
      </c>
      <c r="BS37" s="206" t="s">
        <v>373</v>
      </c>
      <c r="BT37" s="206" t="s">
        <v>373</v>
      </c>
      <c r="BU37" s="206" t="s">
        <v>373</v>
      </c>
      <c r="BV37" s="207" t="s">
        <v>373</v>
      </c>
      <c r="BW37" s="190" t="s">
        <v>373</v>
      </c>
      <c r="BX37" s="191" t="s">
        <v>373</v>
      </c>
      <c r="BY37" s="191" t="s">
        <v>373</v>
      </c>
      <c r="BZ37" s="191" t="s">
        <v>373</v>
      </c>
      <c r="CA37" s="191" t="s">
        <v>373</v>
      </c>
      <c r="CB37" s="192" t="s">
        <v>373</v>
      </c>
      <c r="CC37" s="193" t="s">
        <v>373</v>
      </c>
      <c r="CD37" s="194" t="s">
        <v>373</v>
      </c>
      <c r="CE37" s="194" t="s">
        <v>373</v>
      </c>
      <c r="CF37" s="194" t="s">
        <v>373</v>
      </c>
      <c r="CG37" s="194" t="s">
        <v>373</v>
      </c>
      <c r="CH37" s="195" t="s">
        <v>373</v>
      </c>
      <c r="CI37" s="181"/>
      <c r="CJ37" s="1090"/>
      <c r="CK37" s="1091"/>
      <c r="CL37" s="1091"/>
      <c r="CM37" s="1091"/>
      <c r="CN37" s="1091"/>
      <c r="CO37" s="1092"/>
    </row>
    <row r="38" spans="2:93" ht="9" customHeight="1" x14ac:dyDescent="0.35">
      <c r="B38" s="961"/>
      <c r="C38" s="961"/>
      <c r="D38" s="962"/>
      <c r="E38" s="963" t="s">
        <v>113</v>
      </c>
      <c r="F38" s="964"/>
      <c r="G38" s="964"/>
      <c r="H38" s="964"/>
      <c r="I38" s="965"/>
      <c r="J38" s="1026" t="s">
        <v>373</v>
      </c>
      <c r="K38" s="1027"/>
      <c r="L38" s="1027" t="s">
        <v>373</v>
      </c>
      <c r="M38" s="1027"/>
      <c r="N38" s="1027" t="s">
        <v>373</v>
      </c>
      <c r="O38" s="1030"/>
      <c r="P38" s="1026" t="s">
        <v>373</v>
      </c>
      <c r="Q38" s="1027"/>
      <c r="R38" s="1027" t="s">
        <v>373</v>
      </c>
      <c r="S38" s="1027"/>
      <c r="T38" s="1027" t="s">
        <v>373</v>
      </c>
      <c r="U38" s="1030"/>
      <c r="V38" s="995" t="s">
        <v>373</v>
      </c>
      <c r="W38" s="996"/>
      <c r="X38" s="996" t="s">
        <v>373</v>
      </c>
      <c r="Y38" s="996"/>
      <c r="Z38" s="996" t="s">
        <v>373</v>
      </c>
      <c r="AA38" s="999"/>
      <c r="AB38" s="972" t="s">
        <v>373</v>
      </c>
      <c r="AC38" s="973"/>
      <c r="AD38" s="973" t="s">
        <v>373</v>
      </c>
      <c r="AE38" s="973"/>
      <c r="AF38" s="973" t="s">
        <v>373</v>
      </c>
      <c r="AG38" s="976"/>
      <c r="AH38" s="978" t="s">
        <v>374</v>
      </c>
      <c r="AI38" s="979"/>
      <c r="AJ38" s="979" t="s">
        <v>373</v>
      </c>
      <c r="AK38" s="979"/>
      <c r="AL38" s="979" t="s">
        <v>373</v>
      </c>
      <c r="AM38" s="982"/>
      <c r="AN38" s="182"/>
      <c r="AO38" s="182"/>
      <c r="AP38" s="182"/>
      <c r="AQ38" s="182"/>
      <c r="AR38" s="182"/>
      <c r="AS38" s="182"/>
      <c r="AT38" s="182"/>
      <c r="AW38" s="1058"/>
      <c r="AX38" s="1058"/>
      <c r="AY38" s="1059"/>
      <c r="AZ38" s="1052"/>
      <c r="BA38" s="1050"/>
      <c r="BB38" s="1050"/>
      <c r="BC38" s="1050"/>
      <c r="BD38" s="1050"/>
      <c r="BE38" s="214" t="s">
        <v>373</v>
      </c>
      <c r="BF38" s="215" t="s">
        <v>373</v>
      </c>
      <c r="BG38" s="215" t="s">
        <v>373</v>
      </c>
      <c r="BH38" s="215" t="s">
        <v>373</v>
      </c>
      <c r="BI38" s="215" t="s">
        <v>373</v>
      </c>
      <c r="BJ38" s="216" t="s">
        <v>373</v>
      </c>
      <c r="BK38" s="205" t="s">
        <v>373</v>
      </c>
      <c r="BL38" s="206" t="s">
        <v>373</v>
      </c>
      <c r="BM38" s="206" t="s">
        <v>373</v>
      </c>
      <c r="BN38" s="206" t="s">
        <v>373</v>
      </c>
      <c r="BO38" s="206" t="s">
        <v>373</v>
      </c>
      <c r="BP38" s="207" t="s">
        <v>373</v>
      </c>
      <c r="BQ38" s="205" t="s">
        <v>373</v>
      </c>
      <c r="BR38" s="206" t="s">
        <v>373</v>
      </c>
      <c r="BS38" s="206" t="s">
        <v>373</v>
      </c>
      <c r="BT38" s="206" t="s">
        <v>373</v>
      </c>
      <c r="BU38" s="206" t="s">
        <v>373</v>
      </c>
      <c r="BV38" s="207" t="s">
        <v>373</v>
      </c>
      <c r="BW38" s="190" t="s">
        <v>373</v>
      </c>
      <c r="BX38" s="191" t="s">
        <v>373</v>
      </c>
      <c r="BY38" s="191" t="s">
        <v>373</v>
      </c>
      <c r="BZ38" s="191" t="s">
        <v>373</v>
      </c>
      <c r="CA38" s="191" t="s">
        <v>373</v>
      </c>
      <c r="CB38" s="192" t="s">
        <v>373</v>
      </c>
      <c r="CC38" s="193" t="s">
        <v>373</v>
      </c>
      <c r="CD38" s="194" t="s">
        <v>373</v>
      </c>
      <c r="CE38" s="194" t="s">
        <v>373</v>
      </c>
      <c r="CF38" s="194" t="s">
        <v>373</v>
      </c>
      <c r="CG38" s="194" t="s">
        <v>373</v>
      </c>
      <c r="CH38" s="195" t="s">
        <v>373</v>
      </c>
      <c r="CI38" s="181"/>
      <c r="CJ38" s="1090"/>
      <c r="CK38" s="1091"/>
      <c r="CL38" s="1091"/>
      <c r="CM38" s="1091"/>
      <c r="CN38" s="1091"/>
      <c r="CO38" s="1092"/>
    </row>
    <row r="39" spans="2:93" ht="9" customHeight="1" x14ac:dyDescent="0.35">
      <c r="B39" s="961"/>
      <c r="C39" s="961"/>
      <c r="D39" s="962"/>
      <c r="E39" s="966"/>
      <c r="F39" s="967"/>
      <c r="G39" s="967"/>
      <c r="H39" s="967"/>
      <c r="I39" s="968"/>
      <c r="J39" s="1028"/>
      <c r="K39" s="1029"/>
      <c r="L39" s="1029"/>
      <c r="M39" s="1029"/>
      <c r="N39" s="1029"/>
      <c r="O39" s="1031"/>
      <c r="P39" s="1028"/>
      <c r="Q39" s="1029"/>
      <c r="R39" s="1029"/>
      <c r="S39" s="1029"/>
      <c r="T39" s="1029"/>
      <c r="U39" s="1031"/>
      <c r="V39" s="997"/>
      <c r="W39" s="998"/>
      <c r="X39" s="998"/>
      <c r="Y39" s="998"/>
      <c r="Z39" s="998"/>
      <c r="AA39" s="1000"/>
      <c r="AB39" s="974"/>
      <c r="AC39" s="975"/>
      <c r="AD39" s="975"/>
      <c r="AE39" s="975"/>
      <c r="AF39" s="975"/>
      <c r="AG39" s="977"/>
      <c r="AH39" s="980"/>
      <c r="AI39" s="981"/>
      <c r="AJ39" s="981"/>
      <c r="AK39" s="981"/>
      <c r="AL39" s="981"/>
      <c r="AM39" s="983"/>
      <c r="AN39" s="182"/>
      <c r="AO39" s="182"/>
      <c r="AP39" s="182"/>
      <c r="AQ39" s="182"/>
      <c r="AR39" s="182"/>
      <c r="AS39" s="182"/>
      <c r="AT39" s="182"/>
      <c r="AW39" s="1058"/>
      <c r="AX39" s="1058"/>
      <c r="AY39" s="1059"/>
      <c r="AZ39" s="1052"/>
      <c r="BA39" s="1050"/>
      <c r="BB39" s="1050"/>
      <c r="BC39" s="1050"/>
      <c r="BD39" s="1050"/>
      <c r="BE39" s="214" t="s">
        <v>373</v>
      </c>
      <c r="BF39" s="215" t="s">
        <v>373</v>
      </c>
      <c r="BG39" s="215" t="s">
        <v>373</v>
      </c>
      <c r="BH39" s="215" t="s">
        <v>373</v>
      </c>
      <c r="BI39" s="215" t="s">
        <v>373</v>
      </c>
      <c r="BJ39" s="216" t="s">
        <v>373</v>
      </c>
      <c r="BK39" s="205" t="s">
        <v>373</v>
      </c>
      <c r="BL39" s="206" t="s">
        <v>373</v>
      </c>
      <c r="BM39" s="206" t="s">
        <v>373</v>
      </c>
      <c r="BN39" s="206" t="s">
        <v>373</v>
      </c>
      <c r="BO39" s="206" t="s">
        <v>373</v>
      </c>
      <c r="BP39" s="207" t="s">
        <v>373</v>
      </c>
      <c r="BQ39" s="205" t="s">
        <v>373</v>
      </c>
      <c r="BR39" s="206" t="s">
        <v>373</v>
      </c>
      <c r="BS39" s="206" t="s">
        <v>373</v>
      </c>
      <c r="BT39" s="206" t="s">
        <v>373</v>
      </c>
      <c r="BU39" s="206" t="s">
        <v>373</v>
      </c>
      <c r="BV39" s="207" t="s">
        <v>373</v>
      </c>
      <c r="BW39" s="190" t="s">
        <v>373</v>
      </c>
      <c r="BX39" s="191" t="s">
        <v>373</v>
      </c>
      <c r="BY39" s="191" t="s">
        <v>373</v>
      </c>
      <c r="BZ39" s="191" t="s">
        <v>373</v>
      </c>
      <c r="CA39" s="191" t="s">
        <v>373</v>
      </c>
      <c r="CB39" s="192" t="s">
        <v>373</v>
      </c>
      <c r="CC39" s="193" t="s">
        <v>373</v>
      </c>
      <c r="CD39" s="194" t="s">
        <v>373</v>
      </c>
      <c r="CE39" s="194" t="s">
        <v>373</v>
      </c>
      <c r="CF39" s="194" t="s">
        <v>373</v>
      </c>
      <c r="CG39" s="194" t="s">
        <v>373</v>
      </c>
      <c r="CH39" s="195" t="s">
        <v>373</v>
      </c>
      <c r="CI39" s="181"/>
      <c r="CJ39" s="1090"/>
      <c r="CK39" s="1091"/>
      <c r="CL39" s="1091"/>
      <c r="CM39" s="1091"/>
      <c r="CN39" s="1091"/>
      <c r="CO39" s="1092"/>
    </row>
    <row r="40" spans="2:93" ht="9" customHeight="1" x14ac:dyDescent="0.35">
      <c r="B40" s="961"/>
      <c r="C40" s="961"/>
      <c r="D40" s="962"/>
      <c r="E40" s="966"/>
      <c r="F40" s="967"/>
      <c r="G40" s="967"/>
      <c r="H40" s="967"/>
      <c r="I40" s="968"/>
      <c r="J40" s="1028" t="s">
        <v>373</v>
      </c>
      <c r="K40" s="1029"/>
      <c r="L40" s="1029" t="s">
        <v>373</v>
      </c>
      <c r="M40" s="1029"/>
      <c r="N40" s="1029" t="s">
        <v>373</v>
      </c>
      <c r="O40" s="1031"/>
      <c r="P40" s="1028" t="s">
        <v>373</v>
      </c>
      <c r="Q40" s="1029"/>
      <c r="R40" s="1029" t="s">
        <v>373</v>
      </c>
      <c r="S40" s="1029"/>
      <c r="T40" s="1029" t="s">
        <v>373</v>
      </c>
      <c r="U40" s="1031"/>
      <c r="V40" s="997" t="s">
        <v>373</v>
      </c>
      <c r="W40" s="998"/>
      <c r="X40" s="998" t="s">
        <v>373</v>
      </c>
      <c r="Y40" s="998"/>
      <c r="Z40" s="998" t="s">
        <v>373</v>
      </c>
      <c r="AA40" s="1000"/>
      <c r="AB40" s="974" t="s">
        <v>373</v>
      </c>
      <c r="AC40" s="975"/>
      <c r="AD40" s="975" t="s">
        <v>373</v>
      </c>
      <c r="AE40" s="975"/>
      <c r="AF40" s="975" t="s">
        <v>373</v>
      </c>
      <c r="AG40" s="977"/>
      <c r="AH40" s="980" t="s">
        <v>373</v>
      </c>
      <c r="AI40" s="981"/>
      <c r="AJ40" s="981" t="s">
        <v>373</v>
      </c>
      <c r="AK40" s="981"/>
      <c r="AL40" s="981" t="s">
        <v>373</v>
      </c>
      <c r="AM40" s="983"/>
      <c r="AN40" s="182"/>
      <c r="AO40" s="182"/>
      <c r="AP40" s="182"/>
      <c r="AQ40" s="182"/>
      <c r="AR40" s="182"/>
      <c r="AS40" s="182"/>
      <c r="AT40" s="182"/>
      <c r="AW40" s="1058"/>
      <c r="AX40" s="1058"/>
      <c r="AY40" s="1059"/>
      <c r="AZ40" s="1052"/>
      <c r="BA40" s="1050"/>
      <c r="BB40" s="1050"/>
      <c r="BC40" s="1050"/>
      <c r="BD40" s="1050"/>
      <c r="BE40" s="214" t="s">
        <v>373</v>
      </c>
      <c r="BF40" s="215" t="s">
        <v>373</v>
      </c>
      <c r="BG40" s="215" t="s">
        <v>373</v>
      </c>
      <c r="BH40" s="215" t="s">
        <v>373</v>
      </c>
      <c r="BI40" s="215" t="s">
        <v>373</v>
      </c>
      <c r="BJ40" s="216" t="s">
        <v>373</v>
      </c>
      <c r="BK40" s="205" t="s">
        <v>373</v>
      </c>
      <c r="BL40" s="206" t="s">
        <v>373</v>
      </c>
      <c r="BM40" s="206" t="s">
        <v>373</v>
      </c>
      <c r="BN40" s="206" t="s">
        <v>373</v>
      </c>
      <c r="BO40" s="206" t="s">
        <v>373</v>
      </c>
      <c r="BP40" s="207" t="s">
        <v>373</v>
      </c>
      <c r="BQ40" s="205" t="s">
        <v>373</v>
      </c>
      <c r="BR40" s="206" t="s">
        <v>373</v>
      </c>
      <c r="BS40" s="206" t="s">
        <v>373</v>
      </c>
      <c r="BT40" s="206" t="s">
        <v>373</v>
      </c>
      <c r="BU40" s="206" t="s">
        <v>373</v>
      </c>
      <c r="BV40" s="207" t="s">
        <v>373</v>
      </c>
      <c r="BW40" s="190" t="s">
        <v>373</v>
      </c>
      <c r="BX40" s="191" t="s">
        <v>373</v>
      </c>
      <c r="BY40" s="191" t="s">
        <v>373</v>
      </c>
      <c r="BZ40" s="191" t="s">
        <v>373</v>
      </c>
      <c r="CA40" s="191" t="s">
        <v>373</v>
      </c>
      <c r="CB40" s="192" t="s">
        <v>373</v>
      </c>
      <c r="CC40" s="193" t="s">
        <v>373</v>
      </c>
      <c r="CD40" s="194" t="s">
        <v>373</v>
      </c>
      <c r="CE40" s="194" t="s">
        <v>373</v>
      </c>
      <c r="CF40" s="194" t="s">
        <v>373</v>
      </c>
      <c r="CG40" s="194" t="s">
        <v>373</v>
      </c>
      <c r="CH40" s="195" t="s">
        <v>373</v>
      </c>
      <c r="CI40" s="181"/>
      <c r="CJ40" s="1090"/>
      <c r="CK40" s="1091"/>
      <c r="CL40" s="1091"/>
      <c r="CM40" s="1091"/>
      <c r="CN40" s="1091"/>
      <c r="CO40" s="1092"/>
    </row>
    <row r="41" spans="2:93" ht="9" customHeight="1" x14ac:dyDescent="0.35">
      <c r="B41" s="961"/>
      <c r="C41" s="961"/>
      <c r="D41" s="962"/>
      <c r="E41" s="966"/>
      <c r="F41" s="967"/>
      <c r="G41" s="967"/>
      <c r="H41" s="967"/>
      <c r="I41" s="968"/>
      <c r="J41" s="1028"/>
      <c r="K41" s="1029"/>
      <c r="L41" s="1029"/>
      <c r="M41" s="1029"/>
      <c r="N41" s="1029"/>
      <c r="O41" s="1031"/>
      <c r="P41" s="1028"/>
      <c r="Q41" s="1029"/>
      <c r="R41" s="1029"/>
      <c r="S41" s="1029"/>
      <c r="T41" s="1029"/>
      <c r="U41" s="1031"/>
      <c r="V41" s="997"/>
      <c r="W41" s="998"/>
      <c r="X41" s="998"/>
      <c r="Y41" s="998"/>
      <c r="Z41" s="998"/>
      <c r="AA41" s="1000"/>
      <c r="AB41" s="974"/>
      <c r="AC41" s="975"/>
      <c r="AD41" s="975"/>
      <c r="AE41" s="975"/>
      <c r="AF41" s="975"/>
      <c r="AG41" s="977"/>
      <c r="AH41" s="980"/>
      <c r="AI41" s="981"/>
      <c r="AJ41" s="981"/>
      <c r="AK41" s="981"/>
      <c r="AL41" s="981"/>
      <c r="AM41" s="983"/>
      <c r="AN41" s="182"/>
      <c r="AO41" s="182"/>
      <c r="AP41" s="182"/>
      <c r="AQ41" s="182"/>
      <c r="AR41" s="182"/>
      <c r="AS41" s="182"/>
      <c r="AT41" s="182"/>
      <c r="AW41" s="1058"/>
      <c r="AX41" s="1058"/>
      <c r="AY41" s="1059"/>
      <c r="AZ41" s="1052"/>
      <c r="BA41" s="1050"/>
      <c r="BB41" s="1050"/>
      <c r="BC41" s="1050"/>
      <c r="BD41" s="1050"/>
      <c r="BE41" s="214" t="s">
        <v>373</v>
      </c>
      <c r="BF41" s="215" t="s">
        <v>373</v>
      </c>
      <c r="BG41" s="215" t="s">
        <v>373</v>
      </c>
      <c r="BH41" s="215" t="s">
        <v>373</v>
      </c>
      <c r="BI41" s="215" t="s">
        <v>373</v>
      </c>
      <c r="BJ41" s="216" t="s">
        <v>373</v>
      </c>
      <c r="BK41" s="205" t="s">
        <v>373</v>
      </c>
      <c r="BL41" s="206" t="s">
        <v>373</v>
      </c>
      <c r="BM41" s="206" t="s">
        <v>373</v>
      </c>
      <c r="BN41" s="206" t="s">
        <v>373</v>
      </c>
      <c r="BO41" s="206" t="s">
        <v>373</v>
      </c>
      <c r="BP41" s="207" t="s">
        <v>373</v>
      </c>
      <c r="BQ41" s="205" t="s">
        <v>373</v>
      </c>
      <c r="BR41" s="206" t="s">
        <v>373</v>
      </c>
      <c r="BS41" s="206" t="s">
        <v>373</v>
      </c>
      <c r="BT41" s="206" t="s">
        <v>373</v>
      </c>
      <c r="BU41" s="206" t="s">
        <v>373</v>
      </c>
      <c r="BV41" s="207" t="s">
        <v>373</v>
      </c>
      <c r="BW41" s="190" t="s">
        <v>373</v>
      </c>
      <c r="BX41" s="191" t="s">
        <v>373</v>
      </c>
      <c r="BY41" s="191" t="s">
        <v>373</v>
      </c>
      <c r="BZ41" s="191" t="s">
        <v>373</v>
      </c>
      <c r="CA41" s="191" t="s">
        <v>373</v>
      </c>
      <c r="CB41" s="192" t="s">
        <v>373</v>
      </c>
      <c r="CC41" s="193" t="s">
        <v>373</v>
      </c>
      <c r="CD41" s="194" t="s">
        <v>373</v>
      </c>
      <c r="CE41" s="194" t="s">
        <v>373</v>
      </c>
      <c r="CF41" s="194" t="s">
        <v>373</v>
      </c>
      <c r="CG41" s="194" t="s">
        <v>373</v>
      </c>
      <c r="CH41" s="195" t="s">
        <v>373</v>
      </c>
      <c r="CI41" s="181"/>
      <c r="CJ41" s="1090"/>
      <c r="CK41" s="1091"/>
      <c r="CL41" s="1091"/>
      <c r="CM41" s="1091"/>
      <c r="CN41" s="1091"/>
      <c r="CO41" s="1092"/>
    </row>
    <row r="42" spans="2:93" ht="9" customHeight="1" x14ac:dyDescent="0.35">
      <c r="B42" s="961"/>
      <c r="C42" s="961"/>
      <c r="D42" s="962"/>
      <c r="E42" s="966"/>
      <c r="F42" s="967"/>
      <c r="G42" s="967"/>
      <c r="H42" s="967"/>
      <c r="I42" s="968"/>
      <c r="J42" s="1028" t="s">
        <v>373</v>
      </c>
      <c r="K42" s="1029"/>
      <c r="L42" s="1029" t="s">
        <v>373</v>
      </c>
      <c r="M42" s="1029"/>
      <c r="N42" s="1029" t="s">
        <v>373</v>
      </c>
      <c r="O42" s="1031"/>
      <c r="P42" s="1028" t="s">
        <v>373</v>
      </c>
      <c r="Q42" s="1029"/>
      <c r="R42" s="1029" t="s">
        <v>373</v>
      </c>
      <c r="S42" s="1029"/>
      <c r="T42" s="1029" t="s">
        <v>373</v>
      </c>
      <c r="U42" s="1031"/>
      <c r="V42" s="997" t="s">
        <v>373</v>
      </c>
      <c r="W42" s="998"/>
      <c r="X42" s="998" t="s">
        <v>373</v>
      </c>
      <c r="Y42" s="998"/>
      <c r="Z42" s="998" t="s">
        <v>373</v>
      </c>
      <c r="AA42" s="1000"/>
      <c r="AB42" s="974" t="s">
        <v>373</v>
      </c>
      <c r="AC42" s="975"/>
      <c r="AD42" s="975" t="s">
        <v>373</v>
      </c>
      <c r="AE42" s="975"/>
      <c r="AF42" s="975" t="s">
        <v>373</v>
      </c>
      <c r="AG42" s="977"/>
      <c r="AH42" s="980" t="s">
        <v>373</v>
      </c>
      <c r="AI42" s="981"/>
      <c r="AJ42" s="981" t="s">
        <v>373</v>
      </c>
      <c r="AK42" s="981"/>
      <c r="AL42" s="981" t="s">
        <v>373</v>
      </c>
      <c r="AM42" s="983"/>
      <c r="AN42" s="182"/>
      <c r="AO42" s="182"/>
      <c r="AP42" s="182"/>
      <c r="AQ42" s="182"/>
      <c r="AR42" s="182"/>
      <c r="AS42" s="182"/>
      <c r="AT42" s="182"/>
      <c r="AW42" s="1058"/>
      <c r="AX42" s="1058"/>
      <c r="AY42" s="1059"/>
      <c r="AZ42" s="1052"/>
      <c r="BA42" s="1050"/>
      <c r="BB42" s="1050"/>
      <c r="BC42" s="1050"/>
      <c r="BD42" s="1050"/>
      <c r="BE42" s="214" t="s">
        <v>373</v>
      </c>
      <c r="BF42" s="215" t="s">
        <v>373</v>
      </c>
      <c r="BG42" s="215" t="s">
        <v>373</v>
      </c>
      <c r="BH42" s="215" t="s">
        <v>373</v>
      </c>
      <c r="BI42" s="215" t="s">
        <v>373</v>
      </c>
      <c r="BJ42" s="216" t="s">
        <v>373</v>
      </c>
      <c r="BK42" s="205" t="s">
        <v>373</v>
      </c>
      <c r="BL42" s="206" t="s">
        <v>373</v>
      </c>
      <c r="BM42" s="206" t="s">
        <v>373</v>
      </c>
      <c r="BN42" s="206" t="s">
        <v>373</v>
      </c>
      <c r="BO42" s="206" t="s">
        <v>373</v>
      </c>
      <c r="BP42" s="207" t="s">
        <v>373</v>
      </c>
      <c r="BQ42" s="205" t="s">
        <v>373</v>
      </c>
      <c r="BR42" s="206" t="s">
        <v>373</v>
      </c>
      <c r="BS42" s="206" t="s">
        <v>373</v>
      </c>
      <c r="BT42" s="206" t="s">
        <v>373</v>
      </c>
      <c r="BU42" s="206" t="s">
        <v>373</v>
      </c>
      <c r="BV42" s="207" t="s">
        <v>373</v>
      </c>
      <c r="BW42" s="190" t="s">
        <v>373</v>
      </c>
      <c r="BX42" s="191" t="s">
        <v>373</v>
      </c>
      <c r="BY42" s="191" t="s">
        <v>373</v>
      </c>
      <c r="BZ42" s="191" t="s">
        <v>373</v>
      </c>
      <c r="CA42" s="191" t="s">
        <v>373</v>
      </c>
      <c r="CB42" s="192" t="s">
        <v>373</v>
      </c>
      <c r="CC42" s="193" t="s">
        <v>373</v>
      </c>
      <c r="CD42" s="194" t="s">
        <v>373</v>
      </c>
      <c r="CE42" s="194" t="s">
        <v>373</v>
      </c>
      <c r="CF42" s="194" t="s">
        <v>373</v>
      </c>
      <c r="CG42" s="194" t="s">
        <v>373</v>
      </c>
      <c r="CH42" s="195" t="s">
        <v>373</v>
      </c>
      <c r="CI42" s="181"/>
      <c r="CJ42" s="1090"/>
      <c r="CK42" s="1091"/>
      <c r="CL42" s="1091"/>
      <c r="CM42" s="1091"/>
      <c r="CN42" s="1091"/>
      <c r="CO42" s="1092"/>
    </row>
    <row r="43" spans="2:93" ht="9" customHeight="1" x14ac:dyDescent="0.35">
      <c r="B43" s="961"/>
      <c r="C43" s="961"/>
      <c r="D43" s="962"/>
      <c r="E43" s="966"/>
      <c r="F43" s="967"/>
      <c r="G43" s="967"/>
      <c r="H43" s="967"/>
      <c r="I43" s="968"/>
      <c r="J43" s="1028"/>
      <c r="K43" s="1029"/>
      <c r="L43" s="1029"/>
      <c r="M43" s="1029"/>
      <c r="N43" s="1029"/>
      <c r="O43" s="1031"/>
      <c r="P43" s="1028"/>
      <c r="Q43" s="1029"/>
      <c r="R43" s="1029"/>
      <c r="S43" s="1029"/>
      <c r="T43" s="1029"/>
      <c r="U43" s="1031"/>
      <c r="V43" s="997"/>
      <c r="W43" s="998"/>
      <c r="X43" s="998"/>
      <c r="Y43" s="998"/>
      <c r="Z43" s="998"/>
      <c r="AA43" s="1000"/>
      <c r="AB43" s="974"/>
      <c r="AC43" s="975"/>
      <c r="AD43" s="975"/>
      <c r="AE43" s="975"/>
      <c r="AF43" s="975"/>
      <c r="AG43" s="977"/>
      <c r="AH43" s="980"/>
      <c r="AI43" s="981"/>
      <c r="AJ43" s="981"/>
      <c r="AK43" s="981"/>
      <c r="AL43" s="981"/>
      <c r="AM43" s="983"/>
      <c r="AN43" s="182"/>
      <c r="AO43" s="182"/>
      <c r="AP43" s="182"/>
      <c r="AQ43" s="182"/>
      <c r="AR43" s="182"/>
      <c r="AS43" s="182"/>
      <c r="AT43" s="182"/>
      <c r="AW43" s="1058"/>
      <c r="AX43" s="1058"/>
      <c r="AY43" s="1059"/>
      <c r="AZ43" s="1052"/>
      <c r="BA43" s="1050"/>
      <c r="BB43" s="1050"/>
      <c r="BC43" s="1050"/>
      <c r="BD43" s="1050"/>
      <c r="BE43" s="214" t="s">
        <v>373</v>
      </c>
      <c r="BF43" s="215" t="s">
        <v>373</v>
      </c>
      <c r="BG43" s="215" t="s">
        <v>373</v>
      </c>
      <c r="BH43" s="215" t="s">
        <v>373</v>
      </c>
      <c r="BI43" s="215" t="s">
        <v>373</v>
      </c>
      <c r="BJ43" s="216" t="s">
        <v>373</v>
      </c>
      <c r="BK43" s="205" t="s">
        <v>373</v>
      </c>
      <c r="BL43" s="206" t="s">
        <v>373</v>
      </c>
      <c r="BM43" s="206" t="s">
        <v>373</v>
      </c>
      <c r="BN43" s="206" t="s">
        <v>373</v>
      </c>
      <c r="BO43" s="206" t="s">
        <v>373</v>
      </c>
      <c r="BP43" s="207" t="s">
        <v>373</v>
      </c>
      <c r="BQ43" s="205" t="s">
        <v>373</v>
      </c>
      <c r="BR43" s="206" t="s">
        <v>373</v>
      </c>
      <c r="BS43" s="206" t="s">
        <v>373</v>
      </c>
      <c r="BT43" s="206" t="s">
        <v>373</v>
      </c>
      <c r="BU43" s="206" t="s">
        <v>373</v>
      </c>
      <c r="BV43" s="207" t="s">
        <v>373</v>
      </c>
      <c r="BW43" s="190" t="s">
        <v>373</v>
      </c>
      <c r="BX43" s="191" t="s">
        <v>373</v>
      </c>
      <c r="BY43" s="191" t="s">
        <v>373</v>
      </c>
      <c r="BZ43" s="191" t="s">
        <v>373</v>
      </c>
      <c r="CA43" s="191" t="s">
        <v>373</v>
      </c>
      <c r="CB43" s="192" t="s">
        <v>373</v>
      </c>
      <c r="CC43" s="193" t="s">
        <v>373</v>
      </c>
      <c r="CD43" s="194" t="s">
        <v>373</v>
      </c>
      <c r="CE43" s="194" t="s">
        <v>373</v>
      </c>
      <c r="CF43" s="194" t="s">
        <v>373</v>
      </c>
      <c r="CG43" s="194" t="s">
        <v>373</v>
      </c>
      <c r="CH43" s="195" t="s">
        <v>373</v>
      </c>
      <c r="CI43" s="181"/>
      <c r="CJ43" s="1090"/>
      <c r="CK43" s="1091"/>
      <c r="CL43" s="1091"/>
      <c r="CM43" s="1091"/>
      <c r="CN43" s="1091"/>
      <c r="CO43" s="1092"/>
    </row>
    <row r="44" spans="2:93" ht="9" customHeight="1" x14ac:dyDescent="0.35">
      <c r="B44" s="961"/>
      <c r="C44" s="961"/>
      <c r="D44" s="962"/>
      <c r="E44" s="966"/>
      <c r="F44" s="967"/>
      <c r="G44" s="967"/>
      <c r="H44" s="967"/>
      <c r="I44" s="968"/>
      <c r="J44" s="1028" t="s">
        <v>373</v>
      </c>
      <c r="K44" s="1029"/>
      <c r="L44" s="1029" t="s">
        <v>373</v>
      </c>
      <c r="M44" s="1029"/>
      <c r="N44" s="1029" t="s">
        <v>373</v>
      </c>
      <c r="O44" s="1031"/>
      <c r="P44" s="1028" t="s">
        <v>373</v>
      </c>
      <c r="Q44" s="1029"/>
      <c r="R44" s="1029" t="s">
        <v>373</v>
      </c>
      <c r="S44" s="1029"/>
      <c r="T44" s="1029" t="s">
        <v>373</v>
      </c>
      <c r="U44" s="1031"/>
      <c r="V44" s="997" t="s">
        <v>373</v>
      </c>
      <c r="W44" s="998"/>
      <c r="X44" s="998" t="s">
        <v>373</v>
      </c>
      <c r="Y44" s="998"/>
      <c r="Z44" s="998" t="s">
        <v>373</v>
      </c>
      <c r="AA44" s="1000"/>
      <c r="AB44" s="974" t="s">
        <v>373</v>
      </c>
      <c r="AC44" s="975"/>
      <c r="AD44" s="975" t="s">
        <v>373</v>
      </c>
      <c r="AE44" s="975"/>
      <c r="AF44" s="975" t="s">
        <v>373</v>
      </c>
      <c r="AG44" s="977"/>
      <c r="AH44" s="980" t="s">
        <v>373</v>
      </c>
      <c r="AI44" s="981"/>
      <c r="AJ44" s="981" t="s">
        <v>373</v>
      </c>
      <c r="AK44" s="981"/>
      <c r="AL44" s="981" t="s">
        <v>373</v>
      </c>
      <c r="AM44" s="983"/>
      <c r="AN44" s="182"/>
      <c r="AO44" s="182"/>
      <c r="AP44" s="182"/>
      <c r="AQ44" s="182"/>
      <c r="AR44" s="182"/>
      <c r="AS44" s="182"/>
      <c r="AT44" s="182"/>
      <c r="AW44" s="1058"/>
      <c r="AX44" s="1058"/>
      <c r="AY44" s="1059"/>
      <c r="AZ44" s="1052"/>
      <c r="BA44" s="1050"/>
      <c r="BB44" s="1050"/>
      <c r="BC44" s="1050"/>
      <c r="BD44" s="1050"/>
      <c r="BE44" s="214" t="s">
        <v>373</v>
      </c>
      <c r="BF44" s="215" t="s">
        <v>373</v>
      </c>
      <c r="BG44" s="215" t="s">
        <v>373</v>
      </c>
      <c r="BH44" s="215" t="s">
        <v>373</v>
      </c>
      <c r="BI44" s="215" t="s">
        <v>373</v>
      </c>
      <c r="BJ44" s="216" t="s">
        <v>373</v>
      </c>
      <c r="BK44" s="205" t="s">
        <v>373</v>
      </c>
      <c r="BL44" s="206" t="s">
        <v>373</v>
      </c>
      <c r="BM44" s="206" t="s">
        <v>373</v>
      </c>
      <c r="BN44" s="206" t="s">
        <v>373</v>
      </c>
      <c r="BO44" s="206" t="s">
        <v>373</v>
      </c>
      <c r="BP44" s="207" t="s">
        <v>373</v>
      </c>
      <c r="BQ44" s="205" t="s">
        <v>373</v>
      </c>
      <c r="BR44" s="206" t="s">
        <v>373</v>
      </c>
      <c r="BS44" s="206" t="s">
        <v>373</v>
      </c>
      <c r="BT44" s="206" t="s">
        <v>373</v>
      </c>
      <c r="BU44" s="206" t="s">
        <v>373</v>
      </c>
      <c r="BV44" s="207" t="s">
        <v>373</v>
      </c>
      <c r="BW44" s="190" t="s">
        <v>373</v>
      </c>
      <c r="BX44" s="191" t="s">
        <v>373</v>
      </c>
      <c r="BY44" s="191" t="s">
        <v>373</v>
      </c>
      <c r="BZ44" s="191" t="s">
        <v>373</v>
      </c>
      <c r="CA44" s="191" t="s">
        <v>373</v>
      </c>
      <c r="CB44" s="192" t="s">
        <v>373</v>
      </c>
      <c r="CC44" s="193" t="s">
        <v>373</v>
      </c>
      <c r="CD44" s="194" t="s">
        <v>373</v>
      </c>
      <c r="CE44" s="194" t="s">
        <v>373</v>
      </c>
      <c r="CF44" s="194" t="s">
        <v>373</v>
      </c>
      <c r="CG44" s="194" t="s">
        <v>373</v>
      </c>
      <c r="CH44" s="195" t="s">
        <v>373</v>
      </c>
      <c r="CI44" s="181"/>
      <c r="CJ44" s="1090"/>
      <c r="CK44" s="1091"/>
      <c r="CL44" s="1091"/>
      <c r="CM44" s="1091"/>
      <c r="CN44" s="1091"/>
      <c r="CO44" s="1092"/>
    </row>
    <row r="45" spans="2:93" ht="9" customHeight="1" thickBot="1" x14ac:dyDescent="0.4">
      <c r="B45" s="961"/>
      <c r="C45" s="961"/>
      <c r="D45" s="962"/>
      <c r="E45" s="969"/>
      <c r="F45" s="970"/>
      <c r="G45" s="970"/>
      <c r="H45" s="970"/>
      <c r="I45" s="971"/>
      <c r="J45" s="1041"/>
      <c r="K45" s="1042"/>
      <c r="L45" s="1042"/>
      <c r="M45" s="1042"/>
      <c r="N45" s="1042"/>
      <c r="O45" s="1043"/>
      <c r="P45" s="1041"/>
      <c r="Q45" s="1042"/>
      <c r="R45" s="1042"/>
      <c r="S45" s="1042"/>
      <c r="T45" s="1042"/>
      <c r="U45" s="1043"/>
      <c r="V45" s="1014"/>
      <c r="W45" s="1015"/>
      <c r="X45" s="1015"/>
      <c r="Y45" s="1015"/>
      <c r="Z45" s="1015"/>
      <c r="AA45" s="1016"/>
      <c r="AB45" s="1003"/>
      <c r="AC45" s="1001"/>
      <c r="AD45" s="1001"/>
      <c r="AE45" s="1001"/>
      <c r="AF45" s="1001"/>
      <c r="AG45" s="1002"/>
      <c r="AH45" s="1004"/>
      <c r="AI45" s="993"/>
      <c r="AJ45" s="993"/>
      <c r="AK45" s="993"/>
      <c r="AL45" s="993"/>
      <c r="AM45" s="994"/>
      <c r="AN45" s="182"/>
      <c r="AO45" s="182"/>
      <c r="AP45" s="182"/>
      <c r="AQ45" s="182"/>
      <c r="AR45" s="182"/>
      <c r="AS45" s="182"/>
      <c r="AT45" s="182"/>
      <c r="AW45" s="1058"/>
      <c r="AX45" s="1058"/>
      <c r="AY45" s="1059"/>
      <c r="AZ45" s="1053"/>
      <c r="BA45" s="1054"/>
      <c r="BB45" s="1054"/>
      <c r="BC45" s="1054"/>
      <c r="BD45" s="1054"/>
      <c r="BE45" s="217" t="s">
        <v>373</v>
      </c>
      <c r="BF45" s="218" t="s">
        <v>373</v>
      </c>
      <c r="BG45" s="218" t="s">
        <v>373</v>
      </c>
      <c r="BH45" s="218" t="s">
        <v>373</v>
      </c>
      <c r="BI45" s="218" t="s">
        <v>373</v>
      </c>
      <c r="BJ45" s="219" t="s">
        <v>373</v>
      </c>
      <c r="BK45" s="205" t="s">
        <v>373</v>
      </c>
      <c r="BL45" s="206" t="s">
        <v>373</v>
      </c>
      <c r="BM45" s="206" t="s">
        <v>373</v>
      </c>
      <c r="BN45" s="206" t="s">
        <v>373</v>
      </c>
      <c r="BO45" s="206" t="s">
        <v>373</v>
      </c>
      <c r="BP45" s="207" t="s">
        <v>373</v>
      </c>
      <c r="BQ45" s="208" t="s">
        <v>373</v>
      </c>
      <c r="BR45" s="209" t="s">
        <v>373</v>
      </c>
      <c r="BS45" s="209" t="s">
        <v>373</v>
      </c>
      <c r="BT45" s="209" t="s">
        <v>373</v>
      </c>
      <c r="BU45" s="209" t="s">
        <v>373</v>
      </c>
      <c r="BV45" s="210" t="s">
        <v>373</v>
      </c>
      <c r="BW45" s="196" t="s">
        <v>373</v>
      </c>
      <c r="BX45" s="197" t="s">
        <v>373</v>
      </c>
      <c r="BY45" s="197" t="s">
        <v>373</v>
      </c>
      <c r="BZ45" s="197" t="s">
        <v>373</v>
      </c>
      <c r="CA45" s="197" t="s">
        <v>373</v>
      </c>
      <c r="CB45" s="198" t="s">
        <v>373</v>
      </c>
      <c r="CC45" s="199" t="s">
        <v>373</v>
      </c>
      <c r="CD45" s="200" t="s">
        <v>373</v>
      </c>
      <c r="CE45" s="200" t="s">
        <v>373</v>
      </c>
      <c r="CF45" s="200" t="s">
        <v>373</v>
      </c>
      <c r="CG45" s="200" t="s">
        <v>373</v>
      </c>
      <c r="CH45" s="201" t="s">
        <v>373</v>
      </c>
      <c r="CI45" s="181"/>
      <c r="CJ45" s="1093"/>
      <c r="CK45" s="1094"/>
      <c r="CL45" s="1094"/>
      <c r="CM45" s="1094"/>
      <c r="CN45" s="1094"/>
      <c r="CO45" s="1095"/>
    </row>
    <row r="46" spans="2:93" ht="9" customHeight="1" x14ac:dyDescent="0.35">
      <c r="B46" s="182"/>
      <c r="C46" s="182"/>
      <c r="D46" s="182"/>
      <c r="E46" s="182"/>
      <c r="F46" s="182"/>
      <c r="G46" s="182"/>
      <c r="H46" s="182"/>
      <c r="I46" s="182"/>
      <c r="J46" s="963" t="s">
        <v>112</v>
      </c>
      <c r="K46" s="964"/>
      <c r="L46" s="964"/>
      <c r="M46" s="964"/>
      <c r="N46" s="964"/>
      <c r="O46" s="965"/>
      <c r="P46" s="963" t="s">
        <v>111</v>
      </c>
      <c r="Q46" s="964"/>
      <c r="R46" s="964"/>
      <c r="S46" s="964"/>
      <c r="T46" s="964"/>
      <c r="U46" s="965"/>
      <c r="V46" s="963" t="s">
        <v>110</v>
      </c>
      <c r="W46" s="964"/>
      <c r="X46" s="964"/>
      <c r="Y46" s="964"/>
      <c r="Z46" s="964"/>
      <c r="AA46" s="965"/>
      <c r="AB46" s="963" t="s">
        <v>109</v>
      </c>
      <c r="AC46" s="1044"/>
      <c r="AD46" s="964"/>
      <c r="AE46" s="964"/>
      <c r="AF46" s="964"/>
      <c r="AG46" s="965"/>
      <c r="AH46" s="963" t="s">
        <v>108</v>
      </c>
      <c r="AI46" s="964"/>
      <c r="AJ46" s="964"/>
      <c r="AK46" s="964"/>
      <c r="AL46" s="964"/>
      <c r="AM46" s="965"/>
      <c r="AN46" s="182"/>
      <c r="AO46" s="182"/>
      <c r="AP46" s="182"/>
      <c r="AQ46" s="182"/>
      <c r="AR46" s="182"/>
      <c r="AS46" s="182"/>
      <c r="AT46" s="182"/>
      <c r="AW46" s="1058"/>
      <c r="AX46" s="1058"/>
      <c r="AY46" s="1059"/>
      <c r="AZ46" s="1046" t="s">
        <v>113</v>
      </c>
      <c r="BA46" s="1047"/>
      <c r="BB46" s="1047"/>
      <c r="BC46" s="1047"/>
      <c r="BD46" s="1048"/>
      <c r="BE46" s="211" t="s">
        <v>373</v>
      </c>
      <c r="BF46" s="212" t="s">
        <v>373</v>
      </c>
      <c r="BG46" s="212" t="s">
        <v>373</v>
      </c>
      <c r="BH46" s="212" t="s">
        <v>373</v>
      </c>
      <c r="BI46" s="212" t="s">
        <v>373</v>
      </c>
      <c r="BJ46" s="213" t="s">
        <v>373</v>
      </c>
      <c r="BK46" s="211" t="s">
        <v>373</v>
      </c>
      <c r="BL46" s="212" t="s">
        <v>373</v>
      </c>
      <c r="BM46" s="212" t="s">
        <v>373</v>
      </c>
      <c r="BN46" s="212" t="s">
        <v>373</v>
      </c>
      <c r="BO46" s="212" t="s">
        <v>373</v>
      </c>
      <c r="BP46" s="213" t="s">
        <v>373</v>
      </c>
      <c r="BQ46" s="202" t="s">
        <v>373</v>
      </c>
      <c r="BR46" s="203" t="s">
        <v>373</v>
      </c>
      <c r="BS46" s="203" t="s">
        <v>373</v>
      </c>
      <c r="BT46" s="203" t="s">
        <v>373</v>
      </c>
      <c r="BU46" s="203" t="s">
        <v>373</v>
      </c>
      <c r="BV46" s="204" t="s">
        <v>373</v>
      </c>
      <c r="BW46" s="184" t="s">
        <v>373</v>
      </c>
      <c r="BX46" s="185" t="s">
        <v>373</v>
      </c>
      <c r="BY46" s="185" t="s">
        <v>373</v>
      </c>
      <c r="BZ46" s="185" t="s">
        <v>373</v>
      </c>
      <c r="CA46" s="185" t="s">
        <v>373</v>
      </c>
      <c r="CB46" s="186" t="s">
        <v>373</v>
      </c>
      <c r="CC46" s="187" t="s">
        <v>375</v>
      </c>
      <c r="CD46" s="188" t="s">
        <v>373</v>
      </c>
      <c r="CE46" s="188" t="s">
        <v>373</v>
      </c>
      <c r="CF46" s="188" t="s">
        <v>373</v>
      </c>
      <c r="CG46" s="188" t="s">
        <v>373</v>
      </c>
      <c r="CH46" s="189" t="s">
        <v>373</v>
      </c>
      <c r="CI46" s="181"/>
      <c r="CJ46" s="181"/>
      <c r="CK46" s="181"/>
      <c r="CL46" s="181"/>
      <c r="CM46" s="181"/>
      <c r="CN46" s="181"/>
      <c r="CO46" s="181"/>
    </row>
    <row r="47" spans="2:93" ht="9" customHeight="1" x14ac:dyDescent="0.35">
      <c r="B47" s="182"/>
      <c r="C47" s="182"/>
      <c r="D47" s="182"/>
      <c r="E47" s="182"/>
      <c r="F47" s="182"/>
      <c r="G47" s="182"/>
      <c r="H47" s="182"/>
      <c r="I47" s="182"/>
      <c r="J47" s="966"/>
      <c r="K47" s="967"/>
      <c r="L47" s="967"/>
      <c r="M47" s="967"/>
      <c r="N47" s="967"/>
      <c r="O47" s="968"/>
      <c r="P47" s="966"/>
      <c r="Q47" s="967"/>
      <c r="R47" s="967"/>
      <c r="S47" s="967"/>
      <c r="T47" s="967"/>
      <c r="U47" s="968"/>
      <c r="V47" s="966"/>
      <c r="W47" s="967"/>
      <c r="X47" s="967"/>
      <c r="Y47" s="967"/>
      <c r="Z47" s="967"/>
      <c r="AA47" s="968"/>
      <c r="AB47" s="966"/>
      <c r="AC47" s="967"/>
      <c r="AD47" s="967"/>
      <c r="AE47" s="967"/>
      <c r="AF47" s="967"/>
      <c r="AG47" s="968"/>
      <c r="AH47" s="966"/>
      <c r="AI47" s="967"/>
      <c r="AJ47" s="967"/>
      <c r="AK47" s="967"/>
      <c r="AL47" s="967"/>
      <c r="AM47" s="968"/>
      <c r="AN47" s="182"/>
      <c r="AO47" s="182"/>
      <c r="AP47" s="182"/>
      <c r="AQ47" s="182"/>
      <c r="AR47" s="182"/>
      <c r="AS47" s="182"/>
      <c r="AT47" s="182"/>
      <c r="AW47" s="1058"/>
      <c r="AX47" s="1058"/>
      <c r="AY47" s="1059"/>
      <c r="AZ47" s="1049"/>
      <c r="BA47" s="1050"/>
      <c r="BB47" s="1050"/>
      <c r="BC47" s="1050"/>
      <c r="BD47" s="1051"/>
      <c r="BE47" s="214" t="s">
        <v>373</v>
      </c>
      <c r="BF47" s="215" t="s">
        <v>373</v>
      </c>
      <c r="BG47" s="215" t="s">
        <v>373</v>
      </c>
      <c r="BH47" s="215" t="s">
        <v>373</v>
      </c>
      <c r="BI47" s="215" t="s">
        <v>373</v>
      </c>
      <c r="BJ47" s="216" t="s">
        <v>373</v>
      </c>
      <c r="BK47" s="214" t="s">
        <v>373</v>
      </c>
      <c r="BL47" s="215" t="s">
        <v>373</v>
      </c>
      <c r="BM47" s="215" t="s">
        <v>373</v>
      </c>
      <c r="BN47" s="215" t="s">
        <v>373</v>
      </c>
      <c r="BO47" s="215" t="s">
        <v>373</v>
      </c>
      <c r="BP47" s="216" t="s">
        <v>373</v>
      </c>
      <c r="BQ47" s="205" t="s">
        <v>373</v>
      </c>
      <c r="BR47" s="206" t="s">
        <v>373</v>
      </c>
      <c r="BS47" s="206" t="s">
        <v>373</v>
      </c>
      <c r="BT47" s="206" t="s">
        <v>373</v>
      </c>
      <c r="BU47" s="206" t="s">
        <v>373</v>
      </c>
      <c r="BV47" s="207" t="s">
        <v>373</v>
      </c>
      <c r="BW47" s="190" t="s">
        <v>373</v>
      </c>
      <c r="BX47" s="191" t="s">
        <v>373</v>
      </c>
      <c r="BY47" s="191" t="s">
        <v>373</v>
      </c>
      <c r="BZ47" s="191" t="s">
        <v>373</v>
      </c>
      <c r="CA47" s="191" t="s">
        <v>373</v>
      </c>
      <c r="CB47" s="192" t="s">
        <v>373</v>
      </c>
      <c r="CC47" s="193" t="s">
        <v>373</v>
      </c>
      <c r="CD47" s="194" t="s">
        <v>373</v>
      </c>
      <c r="CE47" s="194" t="s">
        <v>373</v>
      </c>
      <c r="CF47" s="194" t="s">
        <v>373</v>
      </c>
      <c r="CG47" s="194" t="s">
        <v>373</v>
      </c>
      <c r="CH47" s="195" t="s">
        <v>373</v>
      </c>
      <c r="CI47" s="181"/>
      <c r="CJ47" s="181"/>
      <c r="CK47" s="181"/>
      <c r="CL47" s="181"/>
      <c r="CM47" s="181"/>
      <c r="CN47" s="181"/>
      <c r="CO47" s="181"/>
    </row>
    <row r="48" spans="2:93" ht="9" customHeight="1" x14ac:dyDescent="0.35">
      <c r="B48" s="182"/>
      <c r="C48" s="182"/>
      <c r="D48" s="182"/>
      <c r="E48" s="182"/>
      <c r="F48" s="182"/>
      <c r="G48" s="182"/>
      <c r="H48" s="182"/>
      <c r="I48" s="182"/>
      <c r="J48" s="966"/>
      <c r="K48" s="967"/>
      <c r="L48" s="967"/>
      <c r="M48" s="967"/>
      <c r="N48" s="967"/>
      <c r="O48" s="968"/>
      <c r="P48" s="966"/>
      <c r="Q48" s="967"/>
      <c r="R48" s="967"/>
      <c r="S48" s="967"/>
      <c r="T48" s="967"/>
      <c r="U48" s="968"/>
      <c r="V48" s="966"/>
      <c r="W48" s="967"/>
      <c r="X48" s="967"/>
      <c r="Y48" s="967"/>
      <c r="Z48" s="967"/>
      <c r="AA48" s="968"/>
      <c r="AB48" s="966"/>
      <c r="AC48" s="967"/>
      <c r="AD48" s="967"/>
      <c r="AE48" s="967"/>
      <c r="AF48" s="967"/>
      <c r="AG48" s="968"/>
      <c r="AH48" s="966"/>
      <c r="AI48" s="967"/>
      <c r="AJ48" s="967"/>
      <c r="AK48" s="967"/>
      <c r="AL48" s="967"/>
      <c r="AM48" s="968"/>
      <c r="AN48" s="182"/>
      <c r="AO48" s="182"/>
      <c r="AP48" s="182"/>
      <c r="AQ48" s="182"/>
      <c r="AR48" s="182"/>
      <c r="AS48" s="182"/>
      <c r="AT48" s="182"/>
      <c r="AW48" s="1058"/>
      <c r="AX48" s="1058"/>
      <c r="AY48" s="1059"/>
      <c r="AZ48" s="1049"/>
      <c r="BA48" s="1050"/>
      <c r="BB48" s="1050"/>
      <c r="BC48" s="1050"/>
      <c r="BD48" s="1051"/>
      <c r="BE48" s="214" t="s">
        <v>373</v>
      </c>
      <c r="BF48" s="215" t="s">
        <v>373</v>
      </c>
      <c r="BG48" s="215" t="s">
        <v>373</v>
      </c>
      <c r="BH48" s="215" t="s">
        <v>373</v>
      </c>
      <c r="BI48" s="215" t="s">
        <v>373</v>
      </c>
      <c r="BJ48" s="216" t="s">
        <v>373</v>
      </c>
      <c r="BK48" s="214" t="s">
        <v>373</v>
      </c>
      <c r="BL48" s="215" t="s">
        <v>373</v>
      </c>
      <c r="BM48" s="215" t="s">
        <v>373</v>
      </c>
      <c r="BN48" s="215" t="s">
        <v>373</v>
      </c>
      <c r="BO48" s="215" t="s">
        <v>373</v>
      </c>
      <c r="BP48" s="216" t="s">
        <v>373</v>
      </c>
      <c r="BQ48" s="205" t="s">
        <v>373</v>
      </c>
      <c r="BR48" s="206" t="s">
        <v>373</v>
      </c>
      <c r="BS48" s="206" t="s">
        <v>373</v>
      </c>
      <c r="BT48" s="206" t="s">
        <v>373</v>
      </c>
      <c r="BU48" s="206" t="s">
        <v>373</v>
      </c>
      <c r="BV48" s="207" t="s">
        <v>373</v>
      </c>
      <c r="BW48" s="190" t="s">
        <v>373</v>
      </c>
      <c r="BX48" s="191" t="s">
        <v>373</v>
      </c>
      <c r="BY48" s="191" t="s">
        <v>373</v>
      </c>
      <c r="BZ48" s="191" t="s">
        <v>373</v>
      </c>
      <c r="CA48" s="191" t="s">
        <v>373</v>
      </c>
      <c r="CB48" s="192" t="s">
        <v>373</v>
      </c>
      <c r="CC48" s="193" t="s">
        <v>373</v>
      </c>
      <c r="CD48" s="194" t="s">
        <v>373</v>
      </c>
      <c r="CE48" s="194" t="s">
        <v>373</v>
      </c>
      <c r="CF48" s="194" t="s">
        <v>373</v>
      </c>
      <c r="CG48" s="194" t="s">
        <v>373</v>
      </c>
      <c r="CH48" s="195" t="s">
        <v>373</v>
      </c>
      <c r="CI48" s="181"/>
      <c r="CJ48" s="181"/>
      <c r="CK48" s="181"/>
      <c r="CL48" s="181"/>
      <c r="CM48" s="181"/>
      <c r="CN48" s="181"/>
      <c r="CO48" s="181"/>
    </row>
    <row r="49" spans="2:93" ht="9" customHeight="1" x14ac:dyDescent="0.35">
      <c r="B49" s="182"/>
      <c r="C49" s="182"/>
      <c r="D49" s="182"/>
      <c r="E49" s="182"/>
      <c r="F49" s="182"/>
      <c r="G49" s="182"/>
      <c r="H49" s="182"/>
      <c r="I49" s="182"/>
      <c r="J49" s="966"/>
      <c r="K49" s="967"/>
      <c r="L49" s="967"/>
      <c r="M49" s="967"/>
      <c r="N49" s="967"/>
      <c r="O49" s="968"/>
      <c r="P49" s="966"/>
      <c r="Q49" s="967"/>
      <c r="R49" s="967"/>
      <c r="S49" s="967"/>
      <c r="T49" s="967"/>
      <c r="U49" s="968"/>
      <c r="V49" s="966"/>
      <c r="W49" s="967"/>
      <c r="X49" s="967"/>
      <c r="Y49" s="967"/>
      <c r="Z49" s="967"/>
      <c r="AA49" s="968"/>
      <c r="AB49" s="966"/>
      <c r="AC49" s="967"/>
      <c r="AD49" s="967"/>
      <c r="AE49" s="967"/>
      <c r="AF49" s="967"/>
      <c r="AG49" s="968"/>
      <c r="AH49" s="966"/>
      <c r="AI49" s="967"/>
      <c r="AJ49" s="967"/>
      <c r="AK49" s="967"/>
      <c r="AL49" s="967"/>
      <c r="AM49" s="968"/>
      <c r="AN49" s="182"/>
      <c r="AO49" s="182"/>
      <c r="AP49" s="182"/>
      <c r="AQ49" s="182"/>
      <c r="AR49" s="182"/>
      <c r="AS49" s="182"/>
      <c r="AT49" s="182"/>
      <c r="AW49" s="1058"/>
      <c r="AX49" s="1058"/>
      <c r="AY49" s="1059"/>
      <c r="AZ49" s="1052"/>
      <c r="BA49" s="1050"/>
      <c r="BB49" s="1050"/>
      <c r="BC49" s="1050"/>
      <c r="BD49" s="1051"/>
      <c r="BE49" s="214" t="s">
        <v>373</v>
      </c>
      <c r="BF49" s="215" t="s">
        <v>373</v>
      </c>
      <c r="BG49" s="215" t="s">
        <v>373</v>
      </c>
      <c r="BH49" s="215" t="s">
        <v>373</v>
      </c>
      <c r="BI49" s="215" t="s">
        <v>373</v>
      </c>
      <c r="BJ49" s="216" t="s">
        <v>373</v>
      </c>
      <c r="BK49" s="214" t="s">
        <v>373</v>
      </c>
      <c r="BL49" s="215" t="s">
        <v>373</v>
      </c>
      <c r="BM49" s="215" t="s">
        <v>373</v>
      </c>
      <c r="BN49" s="215" t="s">
        <v>373</v>
      </c>
      <c r="BO49" s="215" t="s">
        <v>373</v>
      </c>
      <c r="BP49" s="216" t="s">
        <v>373</v>
      </c>
      <c r="BQ49" s="205" t="s">
        <v>373</v>
      </c>
      <c r="BR49" s="206" t="s">
        <v>373</v>
      </c>
      <c r="BS49" s="206" t="s">
        <v>373</v>
      </c>
      <c r="BT49" s="206" t="s">
        <v>373</v>
      </c>
      <c r="BU49" s="206" t="s">
        <v>373</v>
      </c>
      <c r="BV49" s="207" t="s">
        <v>373</v>
      </c>
      <c r="BW49" s="190" t="s">
        <v>373</v>
      </c>
      <c r="BX49" s="191" t="s">
        <v>373</v>
      </c>
      <c r="BY49" s="191" t="s">
        <v>373</v>
      </c>
      <c r="BZ49" s="191" t="s">
        <v>373</v>
      </c>
      <c r="CA49" s="191" t="s">
        <v>373</v>
      </c>
      <c r="CB49" s="192" t="s">
        <v>373</v>
      </c>
      <c r="CC49" s="193" t="s">
        <v>373</v>
      </c>
      <c r="CD49" s="194" t="s">
        <v>373</v>
      </c>
      <c r="CE49" s="194" t="s">
        <v>373</v>
      </c>
      <c r="CF49" s="194" t="s">
        <v>373</v>
      </c>
      <c r="CG49" s="194" t="s">
        <v>373</v>
      </c>
      <c r="CH49" s="195" t="s">
        <v>373</v>
      </c>
      <c r="CI49" s="181"/>
      <c r="CJ49" s="181"/>
      <c r="CK49" s="181"/>
      <c r="CL49" s="181"/>
      <c r="CM49" s="181"/>
      <c r="CN49" s="181"/>
      <c r="CO49" s="181"/>
    </row>
    <row r="50" spans="2:93" ht="9" customHeight="1" x14ac:dyDescent="0.35">
      <c r="B50" s="182"/>
      <c r="C50" s="182"/>
      <c r="D50" s="182"/>
      <c r="E50" s="182"/>
      <c r="F50" s="182"/>
      <c r="G50" s="182"/>
      <c r="H50" s="182"/>
      <c r="I50" s="182"/>
      <c r="J50" s="966"/>
      <c r="K50" s="967"/>
      <c r="L50" s="967"/>
      <c r="M50" s="967"/>
      <c r="N50" s="967"/>
      <c r="O50" s="968"/>
      <c r="P50" s="966"/>
      <c r="Q50" s="967"/>
      <c r="R50" s="967"/>
      <c r="S50" s="967"/>
      <c r="T50" s="967"/>
      <c r="U50" s="968"/>
      <c r="V50" s="966"/>
      <c r="W50" s="967"/>
      <c r="X50" s="967"/>
      <c r="Y50" s="967"/>
      <c r="Z50" s="967"/>
      <c r="AA50" s="968"/>
      <c r="AB50" s="966"/>
      <c r="AC50" s="967"/>
      <c r="AD50" s="967"/>
      <c r="AE50" s="967"/>
      <c r="AF50" s="967"/>
      <c r="AG50" s="968"/>
      <c r="AH50" s="966"/>
      <c r="AI50" s="967"/>
      <c r="AJ50" s="967"/>
      <c r="AK50" s="967"/>
      <c r="AL50" s="967"/>
      <c r="AM50" s="968"/>
      <c r="AN50" s="182"/>
      <c r="AO50" s="182"/>
      <c r="AP50" s="182"/>
      <c r="AQ50" s="182"/>
      <c r="AR50" s="182"/>
      <c r="AS50" s="182"/>
      <c r="AT50" s="182"/>
      <c r="AW50" s="1058"/>
      <c r="AX50" s="1058"/>
      <c r="AY50" s="1059"/>
      <c r="AZ50" s="1052"/>
      <c r="BA50" s="1050"/>
      <c r="BB50" s="1050"/>
      <c r="BC50" s="1050"/>
      <c r="BD50" s="1051"/>
      <c r="BE50" s="214" t="s">
        <v>373</v>
      </c>
      <c r="BF50" s="215" t="s">
        <v>373</v>
      </c>
      <c r="BG50" s="215" t="s">
        <v>373</v>
      </c>
      <c r="BH50" s="215" t="s">
        <v>373</v>
      </c>
      <c r="BI50" s="215" t="s">
        <v>373</v>
      </c>
      <c r="BJ50" s="216" t="s">
        <v>373</v>
      </c>
      <c r="BK50" s="214" t="s">
        <v>373</v>
      </c>
      <c r="BL50" s="215" t="s">
        <v>373</v>
      </c>
      <c r="BM50" s="215" t="s">
        <v>373</v>
      </c>
      <c r="BN50" s="215" t="s">
        <v>373</v>
      </c>
      <c r="BO50" s="215" t="s">
        <v>373</v>
      </c>
      <c r="BP50" s="216" t="s">
        <v>373</v>
      </c>
      <c r="BQ50" s="205" t="s">
        <v>373</v>
      </c>
      <c r="BR50" s="206" t="s">
        <v>373</v>
      </c>
      <c r="BS50" s="206" t="s">
        <v>373</v>
      </c>
      <c r="BT50" s="206" t="s">
        <v>373</v>
      </c>
      <c r="BU50" s="206" t="s">
        <v>373</v>
      </c>
      <c r="BV50" s="207" t="s">
        <v>373</v>
      </c>
      <c r="BW50" s="190" t="s">
        <v>373</v>
      </c>
      <c r="BX50" s="191" t="s">
        <v>373</v>
      </c>
      <c r="BY50" s="191" t="s">
        <v>373</v>
      </c>
      <c r="BZ50" s="191" t="s">
        <v>373</v>
      </c>
      <c r="CA50" s="191" t="s">
        <v>373</v>
      </c>
      <c r="CB50" s="192" t="s">
        <v>373</v>
      </c>
      <c r="CC50" s="193" t="s">
        <v>373</v>
      </c>
      <c r="CD50" s="194" t="s">
        <v>373</v>
      </c>
      <c r="CE50" s="194" t="s">
        <v>373</v>
      </c>
      <c r="CF50" s="194" t="s">
        <v>373</v>
      </c>
      <c r="CG50" s="194" t="s">
        <v>373</v>
      </c>
      <c r="CH50" s="195" t="s">
        <v>373</v>
      </c>
      <c r="CI50" s="181"/>
      <c r="CJ50" s="181"/>
      <c r="CK50" s="181"/>
      <c r="CL50" s="181"/>
      <c r="CM50" s="181"/>
      <c r="CN50" s="181"/>
      <c r="CO50" s="181"/>
    </row>
    <row r="51" spans="2:93" ht="9" customHeight="1" thickBot="1" x14ac:dyDescent="0.4">
      <c r="B51" s="182"/>
      <c r="C51" s="182"/>
      <c r="D51" s="182"/>
      <c r="E51" s="182"/>
      <c r="F51" s="182"/>
      <c r="G51" s="182"/>
      <c r="H51" s="182"/>
      <c r="I51" s="182"/>
      <c r="J51" s="969"/>
      <c r="K51" s="970"/>
      <c r="L51" s="970"/>
      <c r="M51" s="970"/>
      <c r="N51" s="970"/>
      <c r="O51" s="971"/>
      <c r="P51" s="969"/>
      <c r="Q51" s="970"/>
      <c r="R51" s="970"/>
      <c r="S51" s="970"/>
      <c r="T51" s="970"/>
      <c r="U51" s="971"/>
      <c r="V51" s="969"/>
      <c r="W51" s="970"/>
      <c r="X51" s="970"/>
      <c r="Y51" s="970"/>
      <c r="Z51" s="970"/>
      <c r="AA51" s="971"/>
      <c r="AB51" s="969"/>
      <c r="AC51" s="970"/>
      <c r="AD51" s="970"/>
      <c r="AE51" s="970"/>
      <c r="AF51" s="970"/>
      <c r="AG51" s="971"/>
      <c r="AH51" s="969"/>
      <c r="AI51" s="970"/>
      <c r="AJ51" s="970"/>
      <c r="AK51" s="970"/>
      <c r="AL51" s="970"/>
      <c r="AM51" s="971"/>
      <c r="AN51" s="182"/>
      <c r="AO51" s="182"/>
      <c r="AP51" s="182"/>
      <c r="AQ51" s="182"/>
      <c r="AR51" s="182"/>
      <c r="AS51" s="182"/>
      <c r="AT51" s="182"/>
      <c r="AW51" s="1058"/>
      <c r="AX51" s="1058"/>
      <c r="AY51" s="1059"/>
      <c r="AZ51" s="1052"/>
      <c r="BA51" s="1050"/>
      <c r="BB51" s="1050"/>
      <c r="BC51" s="1050"/>
      <c r="BD51" s="1051"/>
      <c r="BE51" s="214" t="s">
        <v>373</v>
      </c>
      <c r="BF51" s="215" t="s">
        <v>373</v>
      </c>
      <c r="BG51" s="215" t="s">
        <v>373</v>
      </c>
      <c r="BH51" s="215" t="s">
        <v>373</v>
      </c>
      <c r="BI51" s="215" t="s">
        <v>373</v>
      </c>
      <c r="BJ51" s="216" t="s">
        <v>373</v>
      </c>
      <c r="BK51" s="214" t="s">
        <v>373</v>
      </c>
      <c r="BL51" s="215" t="s">
        <v>373</v>
      </c>
      <c r="BM51" s="215" t="s">
        <v>373</v>
      </c>
      <c r="BN51" s="215" t="s">
        <v>373</v>
      </c>
      <c r="BO51" s="215" t="s">
        <v>373</v>
      </c>
      <c r="BP51" s="216" t="s">
        <v>373</v>
      </c>
      <c r="BQ51" s="205" t="s">
        <v>373</v>
      </c>
      <c r="BR51" s="206" t="s">
        <v>373</v>
      </c>
      <c r="BS51" s="206" t="s">
        <v>373</v>
      </c>
      <c r="BT51" s="206" t="s">
        <v>373</v>
      </c>
      <c r="BU51" s="206" t="s">
        <v>373</v>
      </c>
      <c r="BV51" s="207" t="s">
        <v>373</v>
      </c>
      <c r="BW51" s="190" t="s">
        <v>373</v>
      </c>
      <c r="BX51" s="191" t="s">
        <v>373</v>
      </c>
      <c r="BY51" s="191" t="s">
        <v>373</v>
      </c>
      <c r="BZ51" s="191" t="s">
        <v>373</v>
      </c>
      <c r="CA51" s="191" t="s">
        <v>373</v>
      </c>
      <c r="CB51" s="192" t="s">
        <v>373</v>
      </c>
      <c r="CC51" s="193" t="s">
        <v>373</v>
      </c>
      <c r="CD51" s="194" t="s">
        <v>373</v>
      </c>
      <c r="CE51" s="194" t="s">
        <v>373</v>
      </c>
      <c r="CF51" s="194" t="s">
        <v>373</v>
      </c>
      <c r="CG51" s="194" t="s">
        <v>373</v>
      </c>
      <c r="CH51" s="195" t="s">
        <v>373</v>
      </c>
      <c r="CI51" s="181"/>
      <c r="CJ51" s="181"/>
      <c r="CK51" s="181"/>
      <c r="CL51" s="181"/>
      <c r="CM51" s="181"/>
      <c r="CN51" s="181"/>
      <c r="CO51" s="181"/>
    </row>
    <row r="52" spans="2:93" ht="9" customHeight="1" x14ac:dyDescent="0.35">
      <c r="AW52" s="1058"/>
      <c r="AX52" s="1058"/>
      <c r="AY52" s="1059"/>
      <c r="AZ52" s="1052"/>
      <c r="BA52" s="1050"/>
      <c r="BB52" s="1050"/>
      <c r="BC52" s="1050"/>
      <c r="BD52" s="1051"/>
      <c r="BE52" s="214" t="s">
        <v>373</v>
      </c>
      <c r="BF52" s="215" t="s">
        <v>373</v>
      </c>
      <c r="BG52" s="215" t="s">
        <v>373</v>
      </c>
      <c r="BH52" s="215" t="s">
        <v>373</v>
      </c>
      <c r="BI52" s="215" t="s">
        <v>373</v>
      </c>
      <c r="BJ52" s="216" t="s">
        <v>373</v>
      </c>
      <c r="BK52" s="214" t="s">
        <v>373</v>
      </c>
      <c r="BL52" s="215" t="s">
        <v>373</v>
      </c>
      <c r="BM52" s="215" t="s">
        <v>373</v>
      </c>
      <c r="BN52" s="215" t="s">
        <v>373</v>
      </c>
      <c r="BO52" s="215" t="s">
        <v>373</v>
      </c>
      <c r="BP52" s="216" t="s">
        <v>373</v>
      </c>
      <c r="BQ52" s="205" t="s">
        <v>373</v>
      </c>
      <c r="BR52" s="206" t="s">
        <v>373</v>
      </c>
      <c r="BS52" s="206" t="s">
        <v>373</v>
      </c>
      <c r="BT52" s="206" t="s">
        <v>373</v>
      </c>
      <c r="BU52" s="206" t="s">
        <v>373</v>
      </c>
      <c r="BV52" s="207" t="s">
        <v>373</v>
      </c>
      <c r="BW52" s="190" t="s">
        <v>373</v>
      </c>
      <c r="BX52" s="191" t="s">
        <v>373</v>
      </c>
      <c r="BY52" s="191" t="s">
        <v>373</v>
      </c>
      <c r="BZ52" s="191" t="s">
        <v>373</v>
      </c>
      <c r="CA52" s="191" t="s">
        <v>373</v>
      </c>
      <c r="CB52" s="192" t="s">
        <v>373</v>
      </c>
      <c r="CC52" s="193" t="s">
        <v>373</v>
      </c>
      <c r="CD52" s="194" t="s">
        <v>373</v>
      </c>
      <c r="CE52" s="194" t="s">
        <v>373</v>
      </c>
      <c r="CF52" s="194" t="s">
        <v>373</v>
      </c>
      <c r="CG52" s="194" t="s">
        <v>373</v>
      </c>
      <c r="CH52" s="195" t="s">
        <v>373</v>
      </c>
      <c r="CI52" s="181"/>
      <c r="CJ52" s="181"/>
      <c r="CK52" s="181"/>
      <c r="CL52" s="181"/>
      <c r="CM52" s="181"/>
      <c r="CN52" s="181"/>
      <c r="CO52" s="181"/>
    </row>
    <row r="53" spans="2:93" ht="9" customHeight="1" x14ac:dyDescent="0.35">
      <c r="AW53" s="1058"/>
      <c r="AX53" s="1058"/>
      <c r="AY53" s="1059"/>
      <c r="AZ53" s="1052"/>
      <c r="BA53" s="1050"/>
      <c r="BB53" s="1050"/>
      <c r="BC53" s="1050"/>
      <c r="BD53" s="1051"/>
      <c r="BE53" s="214" t="s">
        <v>373</v>
      </c>
      <c r="BF53" s="215" t="s">
        <v>373</v>
      </c>
      <c r="BG53" s="215" t="s">
        <v>373</v>
      </c>
      <c r="BH53" s="215" t="s">
        <v>373</v>
      </c>
      <c r="BI53" s="215" t="s">
        <v>373</v>
      </c>
      <c r="BJ53" s="216" t="s">
        <v>373</v>
      </c>
      <c r="BK53" s="214" t="s">
        <v>373</v>
      </c>
      <c r="BL53" s="215" t="s">
        <v>373</v>
      </c>
      <c r="BM53" s="215" t="s">
        <v>373</v>
      </c>
      <c r="BN53" s="215" t="s">
        <v>373</v>
      </c>
      <c r="BO53" s="215" t="s">
        <v>373</v>
      </c>
      <c r="BP53" s="216" t="s">
        <v>373</v>
      </c>
      <c r="BQ53" s="205" t="s">
        <v>373</v>
      </c>
      <c r="BR53" s="206" t="s">
        <v>373</v>
      </c>
      <c r="BS53" s="206" t="s">
        <v>373</v>
      </c>
      <c r="BT53" s="206" t="s">
        <v>373</v>
      </c>
      <c r="BU53" s="206" t="s">
        <v>373</v>
      </c>
      <c r="BV53" s="207" t="s">
        <v>373</v>
      </c>
      <c r="BW53" s="190" t="s">
        <v>373</v>
      </c>
      <c r="BX53" s="191" t="s">
        <v>373</v>
      </c>
      <c r="BY53" s="191" t="s">
        <v>373</v>
      </c>
      <c r="BZ53" s="191" t="s">
        <v>373</v>
      </c>
      <c r="CA53" s="191" t="s">
        <v>373</v>
      </c>
      <c r="CB53" s="192" t="s">
        <v>373</v>
      </c>
      <c r="CC53" s="193" t="s">
        <v>373</v>
      </c>
      <c r="CD53" s="194" t="s">
        <v>373</v>
      </c>
      <c r="CE53" s="194" t="s">
        <v>373</v>
      </c>
      <c r="CF53" s="194" t="s">
        <v>373</v>
      </c>
      <c r="CG53" s="194" t="s">
        <v>373</v>
      </c>
      <c r="CH53" s="195" t="s">
        <v>373</v>
      </c>
      <c r="CI53" s="181"/>
      <c r="CJ53" s="181"/>
      <c r="CK53" s="181"/>
      <c r="CL53" s="181"/>
      <c r="CM53" s="181"/>
      <c r="CN53" s="181"/>
      <c r="CO53" s="181"/>
    </row>
    <row r="54" spans="2:93" ht="9" customHeight="1" x14ac:dyDescent="0.35">
      <c r="AW54" s="1058"/>
      <c r="AX54" s="1058"/>
      <c r="AY54" s="1059"/>
      <c r="AZ54" s="1052"/>
      <c r="BA54" s="1050"/>
      <c r="BB54" s="1050"/>
      <c r="BC54" s="1050"/>
      <c r="BD54" s="1051"/>
      <c r="BE54" s="214" t="s">
        <v>373</v>
      </c>
      <c r="BF54" s="215" t="s">
        <v>373</v>
      </c>
      <c r="BG54" s="215" t="s">
        <v>373</v>
      </c>
      <c r="BH54" s="215" t="s">
        <v>373</v>
      </c>
      <c r="BI54" s="215" t="s">
        <v>373</v>
      </c>
      <c r="BJ54" s="216" t="s">
        <v>373</v>
      </c>
      <c r="BK54" s="214" t="s">
        <v>373</v>
      </c>
      <c r="BL54" s="215" t="s">
        <v>373</v>
      </c>
      <c r="BM54" s="215" t="s">
        <v>373</v>
      </c>
      <c r="BN54" s="215" t="s">
        <v>373</v>
      </c>
      <c r="BO54" s="215" t="s">
        <v>373</v>
      </c>
      <c r="BP54" s="216" t="s">
        <v>373</v>
      </c>
      <c r="BQ54" s="205" t="s">
        <v>373</v>
      </c>
      <c r="BR54" s="206" t="s">
        <v>373</v>
      </c>
      <c r="BS54" s="206" t="s">
        <v>373</v>
      </c>
      <c r="BT54" s="206" t="s">
        <v>373</v>
      </c>
      <c r="BU54" s="206" t="s">
        <v>373</v>
      </c>
      <c r="BV54" s="207" t="s">
        <v>373</v>
      </c>
      <c r="BW54" s="190" t="s">
        <v>373</v>
      </c>
      <c r="BX54" s="191" t="s">
        <v>373</v>
      </c>
      <c r="BY54" s="191" t="s">
        <v>373</v>
      </c>
      <c r="BZ54" s="191" t="s">
        <v>373</v>
      </c>
      <c r="CA54" s="191" t="s">
        <v>373</v>
      </c>
      <c r="CB54" s="192" t="s">
        <v>373</v>
      </c>
      <c r="CC54" s="193" t="s">
        <v>373</v>
      </c>
      <c r="CD54" s="194" t="s">
        <v>373</v>
      </c>
      <c r="CE54" s="194" t="s">
        <v>373</v>
      </c>
      <c r="CF54" s="194" t="s">
        <v>373</v>
      </c>
      <c r="CG54" s="194" t="s">
        <v>373</v>
      </c>
      <c r="CH54" s="195" t="s">
        <v>373</v>
      </c>
      <c r="CI54" s="181"/>
      <c r="CJ54" s="181"/>
      <c r="CK54" s="181"/>
      <c r="CL54" s="181"/>
      <c r="CM54" s="181"/>
      <c r="CN54" s="181"/>
      <c r="CO54" s="181"/>
    </row>
    <row r="55" spans="2:93" ht="9" customHeight="1" thickBot="1" x14ac:dyDescent="0.4">
      <c r="AW55" s="1058"/>
      <c r="AX55" s="1058"/>
      <c r="AY55" s="1059"/>
      <c r="AZ55" s="1053"/>
      <c r="BA55" s="1054"/>
      <c r="BB55" s="1054"/>
      <c r="BC55" s="1054"/>
      <c r="BD55" s="1055"/>
      <c r="BE55" s="217" t="s">
        <v>373</v>
      </c>
      <c r="BF55" s="218" t="s">
        <v>373</v>
      </c>
      <c r="BG55" s="218" t="s">
        <v>373</v>
      </c>
      <c r="BH55" s="218" t="s">
        <v>373</v>
      </c>
      <c r="BI55" s="218" t="s">
        <v>373</v>
      </c>
      <c r="BJ55" s="219" t="s">
        <v>373</v>
      </c>
      <c r="BK55" s="217" t="s">
        <v>373</v>
      </c>
      <c r="BL55" s="218" t="s">
        <v>373</v>
      </c>
      <c r="BM55" s="218" t="s">
        <v>373</v>
      </c>
      <c r="BN55" s="218" t="s">
        <v>373</v>
      </c>
      <c r="BO55" s="218" t="s">
        <v>373</v>
      </c>
      <c r="BP55" s="219" t="s">
        <v>373</v>
      </c>
      <c r="BQ55" s="208" t="s">
        <v>373</v>
      </c>
      <c r="BR55" s="209" t="s">
        <v>373</v>
      </c>
      <c r="BS55" s="209" t="s">
        <v>373</v>
      </c>
      <c r="BT55" s="209" t="s">
        <v>373</v>
      </c>
      <c r="BU55" s="209" t="s">
        <v>373</v>
      </c>
      <c r="BV55" s="210" t="s">
        <v>373</v>
      </c>
      <c r="BW55" s="196" t="s">
        <v>373</v>
      </c>
      <c r="BX55" s="197" t="s">
        <v>373</v>
      </c>
      <c r="BY55" s="197" t="s">
        <v>373</v>
      </c>
      <c r="BZ55" s="197" t="s">
        <v>373</v>
      </c>
      <c r="CA55" s="197" t="s">
        <v>373</v>
      </c>
      <c r="CB55" s="198" t="s">
        <v>373</v>
      </c>
      <c r="CC55" s="199" t="s">
        <v>373</v>
      </c>
      <c r="CD55" s="200" t="s">
        <v>373</v>
      </c>
      <c r="CE55" s="200" t="s">
        <v>373</v>
      </c>
      <c r="CF55" s="200" t="s">
        <v>373</v>
      </c>
      <c r="CG55" s="200" t="s">
        <v>373</v>
      </c>
      <c r="CH55" s="201" t="s">
        <v>373</v>
      </c>
      <c r="CI55" s="181"/>
      <c r="CJ55" s="181"/>
      <c r="CK55" s="181"/>
      <c r="CL55" s="181"/>
      <c r="CM55" s="181"/>
      <c r="CN55" s="181"/>
      <c r="CO55" s="181"/>
    </row>
    <row r="56" spans="2:93" ht="8.25" customHeight="1" x14ac:dyDescent="0.35">
      <c r="AW56" s="181"/>
      <c r="AX56" s="181"/>
      <c r="AY56" s="181"/>
      <c r="AZ56" s="181"/>
      <c r="BA56" s="181"/>
      <c r="BB56" s="181"/>
      <c r="BC56" s="181"/>
      <c r="BD56" s="181"/>
      <c r="BE56" s="1046" t="s">
        <v>112</v>
      </c>
      <c r="BF56" s="1047"/>
      <c r="BG56" s="1047"/>
      <c r="BH56" s="1047"/>
      <c r="BI56" s="1047"/>
      <c r="BJ56" s="1048"/>
      <c r="BK56" s="1046" t="s">
        <v>111</v>
      </c>
      <c r="BL56" s="1047"/>
      <c r="BM56" s="1047"/>
      <c r="BN56" s="1047"/>
      <c r="BO56" s="1047"/>
      <c r="BP56" s="1048"/>
      <c r="BQ56" s="1046" t="s">
        <v>110</v>
      </c>
      <c r="BR56" s="1047"/>
      <c r="BS56" s="1047"/>
      <c r="BT56" s="1047"/>
      <c r="BU56" s="1047"/>
      <c r="BV56" s="1048"/>
      <c r="BW56" s="1046" t="s">
        <v>109</v>
      </c>
      <c r="BX56" s="1056"/>
      <c r="BY56" s="1047"/>
      <c r="BZ56" s="1047"/>
      <c r="CA56" s="1047"/>
      <c r="CB56" s="1048"/>
      <c r="CC56" s="1046" t="s">
        <v>108</v>
      </c>
      <c r="CD56" s="1047"/>
      <c r="CE56" s="1047"/>
      <c r="CF56" s="1047"/>
      <c r="CG56" s="1047"/>
      <c r="CH56" s="1048"/>
      <c r="CI56" s="181"/>
      <c r="CJ56" s="181"/>
      <c r="CK56" s="181"/>
      <c r="CL56" s="181"/>
      <c r="CM56" s="181"/>
      <c r="CN56" s="181"/>
      <c r="CO56" s="181"/>
    </row>
    <row r="57" spans="2:93" ht="8.25" customHeight="1" x14ac:dyDescent="0.35">
      <c r="AW57" s="181"/>
      <c r="AX57" s="181"/>
      <c r="AY57" s="181"/>
      <c r="AZ57" s="181"/>
      <c r="BA57" s="181"/>
      <c r="BB57" s="181"/>
      <c r="BC57" s="181"/>
      <c r="BD57" s="181"/>
      <c r="BE57" s="1052"/>
      <c r="BF57" s="1050"/>
      <c r="BG57" s="1050"/>
      <c r="BH57" s="1050"/>
      <c r="BI57" s="1050"/>
      <c r="BJ57" s="1051"/>
      <c r="BK57" s="1052"/>
      <c r="BL57" s="1050"/>
      <c r="BM57" s="1050"/>
      <c r="BN57" s="1050"/>
      <c r="BO57" s="1050"/>
      <c r="BP57" s="1051"/>
      <c r="BQ57" s="1052"/>
      <c r="BR57" s="1050"/>
      <c r="BS57" s="1050"/>
      <c r="BT57" s="1050"/>
      <c r="BU57" s="1050"/>
      <c r="BV57" s="1051"/>
      <c r="BW57" s="1052"/>
      <c r="BX57" s="1050"/>
      <c r="BY57" s="1050"/>
      <c r="BZ57" s="1050"/>
      <c r="CA57" s="1050"/>
      <c r="CB57" s="1051"/>
      <c r="CC57" s="1052"/>
      <c r="CD57" s="1050"/>
      <c r="CE57" s="1050"/>
      <c r="CF57" s="1050"/>
      <c r="CG57" s="1050"/>
      <c r="CH57" s="1051"/>
      <c r="CI57" s="181"/>
      <c r="CJ57" s="181"/>
      <c r="CK57" s="181"/>
      <c r="CL57" s="181"/>
      <c r="CM57" s="181"/>
      <c r="CN57" s="181"/>
      <c r="CO57" s="181"/>
    </row>
    <row r="58" spans="2:93" ht="8.25" customHeight="1" thickBot="1" x14ac:dyDescent="0.4">
      <c r="AW58" s="181"/>
      <c r="AX58" s="181"/>
      <c r="AY58" s="181"/>
      <c r="AZ58" s="181"/>
      <c r="BA58" s="181"/>
      <c r="BB58" s="181"/>
      <c r="BC58" s="181"/>
      <c r="BD58" s="181"/>
      <c r="BE58" s="1052"/>
      <c r="BF58" s="1050"/>
      <c r="BG58" s="1050"/>
      <c r="BH58" s="1050"/>
      <c r="BI58" s="1050"/>
      <c r="BJ58" s="1051"/>
      <c r="BK58" s="1052"/>
      <c r="BL58" s="1050"/>
      <c r="BM58" s="1050"/>
      <c r="BN58" s="1050"/>
      <c r="BO58" s="1050"/>
      <c r="BP58" s="1051"/>
      <c r="BQ58" s="1052"/>
      <c r="BR58" s="1050"/>
      <c r="BS58" s="1050"/>
      <c r="BT58" s="1050"/>
      <c r="BU58" s="1050"/>
      <c r="BV58" s="1051"/>
      <c r="BW58" s="1052"/>
      <c r="BX58" s="1050"/>
      <c r="BY58" s="1050"/>
      <c r="BZ58" s="1050"/>
      <c r="CA58" s="1050"/>
      <c r="CB58" s="1051"/>
      <c r="CC58" s="1052"/>
      <c r="CD58" s="1050"/>
      <c r="CE58" s="1050"/>
      <c r="CF58" s="1050"/>
      <c r="CG58" s="1050"/>
      <c r="CH58" s="1051"/>
      <c r="CI58" s="181"/>
      <c r="CJ58" s="181"/>
      <c r="CK58" s="181"/>
      <c r="CL58" s="181"/>
      <c r="CM58" s="181"/>
      <c r="CN58" s="181"/>
      <c r="CO58" s="181"/>
    </row>
    <row r="59" spans="2:93" ht="13.5" customHeight="1" x14ac:dyDescent="0.35">
      <c r="AW59" s="181"/>
      <c r="AX59" s="181"/>
      <c r="AY59" s="181"/>
      <c r="AZ59" s="181"/>
      <c r="BA59" s="181"/>
      <c r="BB59" s="181"/>
      <c r="BC59" s="181"/>
      <c r="BD59" s="181"/>
      <c r="BE59" s="1052"/>
      <c r="BF59" s="1050"/>
      <c r="BG59" s="1050"/>
      <c r="BH59" s="1050"/>
      <c r="BI59" s="1050"/>
      <c r="BJ59" s="1051"/>
      <c r="BK59" s="1052"/>
      <c r="BL59" s="1050"/>
      <c r="BM59" s="1050"/>
      <c r="BN59" s="1050"/>
      <c r="BO59" s="1050"/>
      <c r="BP59" s="1051"/>
      <c r="BQ59" s="1052"/>
      <c r="BR59" s="1050"/>
      <c r="BS59" s="1050"/>
      <c r="BT59" s="1050"/>
      <c r="BU59" s="1050"/>
      <c r="BV59" s="1051"/>
      <c r="BW59" s="1052"/>
      <c r="BX59" s="1050"/>
      <c r="BY59" s="1050"/>
      <c r="BZ59" s="1050"/>
      <c r="CA59" s="1050"/>
      <c r="CB59" s="1051"/>
      <c r="CC59" s="1052"/>
      <c r="CD59" s="1050"/>
      <c r="CE59" s="1050"/>
      <c r="CF59" s="1050"/>
      <c r="CG59" s="1050"/>
      <c r="CH59" s="1051"/>
      <c r="CI59" s="181"/>
      <c r="CJ59" s="181"/>
      <c r="CK59" s="181"/>
      <c r="CL59" s="181"/>
      <c r="CM59" s="181"/>
      <c r="CN59" s="181"/>
      <c r="CO59" s="181"/>
    </row>
    <row r="60" spans="2:93" ht="8.25" customHeight="1" x14ac:dyDescent="0.35">
      <c r="AW60" s="181"/>
      <c r="AX60" s="181"/>
      <c r="AY60" s="181"/>
      <c r="AZ60" s="181"/>
      <c r="BA60" s="181"/>
      <c r="BB60" s="181"/>
      <c r="BC60" s="181"/>
      <c r="BD60" s="181"/>
      <c r="BE60" s="1052"/>
      <c r="BF60" s="1050"/>
      <c r="BG60" s="1050"/>
      <c r="BH60" s="1050"/>
      <c r="BI60" s="1050"/>
      <c r="BJ60" s="1051"/>
      <c r="BK60" s="1052"/>
      <c r="BL60" s="1050"/>
      <c r="BM60" s="1050"/>
      <c r="BN60" s="1050"/>
      <c r="BO60" s="1050"/>
      <c r="BP60" s="1051"/>
      <c r="BQ60" s="1052"/>
      <c r="BR60" s="1050"/>
      <c r="BS60" s="1050"/>
      <c r="BT60" s="1050"/>
      <c r="BU60" s="1050"/>
      <c r="BV60" s="1051"/>
      <c r="BW60" s="1052"/>
      <c r="BX60" s="1050"/>
      <c r="BY60" s="1050"/>
      <c r="BZ60" s="1050"/>
      <c r="CA60" s="1050"/>
      <c r="CB60" s="1051"/>
      <c r="CC60" s="1052"/>
      <c r="CD60" s="1050"/>
      <c r="CE60" s="1050"/>
      <c r="CF60" s="1050"/>
      <c r="CG60" s="1050"/>
      <c r="CH60" s="1051"/>
      <c r="CI60" s="181"/>
      <c r="CJ60" s="181"/>
      <c r="CK60" s="181"/>
      <c r="CL60" s="181"/>
      <c r="CM60" s="181"/>
      <c r="CN60" s="181"/>
      <c r="CO60" s="181"/>
    </row>
    <row r="61" spans="2:93" ht="8.25" customHeight="1" thickBot="1" x14ac:dyDescent="0.4">
      <c r="AW61" s="181"/>
      <c r="AX61" s="181"/>
      <c r="AY61" s="181"/>
      <c r="AZ61" s="181"/>
      <c r="BA61" s="181"/>
      <c r="BB61" s="181"/>
      <c r="BC61" s="181"/>
      <c r="BD61" s="181"/>
      <c r="BE61" s="1053"/>
      <c r="BF61" s="1054"/>
      <c r="BG61" s="1054"/>
      <c r="BH61" s="1054"/>
      <c r="BI61" s="1054"/>
      <c r="BJ61" s="1055"/>
      <c r="BK61" s="1053"/>
      <c r="BL61" s="1054"/>
      <c r="BM61" s="1054"/>
      <c r="BN61" s="1054"/>
      <c r="BO61" s="1054"/>
      <c r="BP61" s="1055"/>
      <c r="BQ61" s="1053"/>
      <c r="BR61" s="1054"/>
      <c r="BS61" s="1054"/>
      <c r="BT61" s="1054"/>
      <c r="BU61" s="1054"/>
      <c r="BV61" s="1055"/>
      <c r="BW61" s="1053"/>
      <c r="BX61" s="1054"/>
      <c r="BY61" s="1054"/>
      <c r="BZ61" s="1054"/>
      <c r="CA61" s="1054"/>
      <c r="CB61" s="1055"/>
      <c r="CC61" s="1053"/>
      <c r="CD61" s="1054"/>
      <c r="CE61" s="1054"/>
      <c r="CF61" s="1054"/>
      <c r="CG61" s="1054"/>
      <c r="CH61" s="1055"/>
      <c r="CI61" s="181"/>
      <c r="CJ61" s="181"/>
      <c r="CK61" s="181"/>
      <c r="CL61" s="181"/>
      <c r="CM61" s="181"/>
      <c r="CN61" s="181"/>
      <c r="CO61" s="181"/>
    </row>
  </sheetData>
  <mergeCells count="335">
    <mergeCell ref="CR2:CT2"/>
    <mergeCell ref="P12:Q13"/>
    <mergeCell ref="N12:O13"/>
    <mergeCell ref="L12:M13"/>
    <mergeCell ref="J12:K13"/>
    <mergeCell ref="BE56:BJ61"/>
    <mergeCell ref="BK56:BP61"/>
    <mergeCell ref="BQ56:BV61"/>
    <mergeCell ref="BW56:CB61"/>
    <mergeCell ref="CC56:CH61"/>
    <mergeCell ref="X12:Y13"/>
    <mergeCell ref="BE2:CH4"/>
    <mergeCell ref="AW6:AY55"/>
    <mergeCell ref="AZ6:BD15"/>
    <mergeCell ref="CJ6:CO15"/>
    <mergeCell ref="AZ16:BD25"/>
    <mergeCell ref="CJ16:CO25"/>
    <mergeCell ref="AZ26:BD35"/>
    <mergeCell ref="CJ26:CO35"/>
    <mergeCell ref="AZ36:BD45"/>
    <mergeCell ref="CJ36:CO45"/>
    <mergeCell ref="J46:O51"/>
    <mergeCell ref="P46:U51"/>
    <mergeCell ref="V46:AA51"/>
    <mergeCell ref="AB46:AG51"/>
    <mergeCell ref="AH46:AM51"/>
    <mergeCell ref="AW2:BD4"/>
    <mergeCell ref="AZ46:BD55"/>
    <mergeCell ref="V12:W13"/>
    <mergeCell ref="T12:U13"/>
    <mergeCell ref="R12:S13"/>
    <mergeCell ref="AB44:AC45"/>
    <mergeCell ref="AD44:AE45"/>
    <mergeCell ref="AF44:AG45"/>
    <mergeCell ref="AH44:AI45"/>
    <mergeCell ref="AJ44:AK45"/>
    <mergeCell ref="AL44:AM45"/>
    <mergeCell ref="AL42:AM43"/>
    <mergeCell ref="Z42:AA43"/>
    <mergeCell ref="AB42:AC43"/>
    <mergeCell ref="AD42:AE43"/>
    <mergeCell ref="AF42:AG43"/>
    <mergeCell ref="AH42:AI43"/>
    <mergeCell ref="AJ42:AK43"/>
    <mergeCell ref="AJ40:AK41"/>
    <mergeCell ref="AL40:AM41"/>
    <mergeCell ref="Z40:AA41"/>
    <mergeCell ref="AB40:AC41"/>
    <mergeCell ref="J44:K45"/>
    <mergeCell ref="L44:M45"/>
    <mergeCell ref="N44:O45"/>
    <mergeCell ref="P44:Q45"/>
    <mergeCell ref="R44:S45"/>
    <mergeCell ref="T44:U45"/>
    <mergeCell ref="V44:W45"/>
    <mergeCell ref="X44:Y45"/>
    <mergeCell ref="Z44:AA45"/>
    <mergeCell ref="J42:K43"/>
    <mergeCell ref="L42:M43"/>
    <mergeCell ref="N42:O43"/>
    <mergeCell ref="P42:Q43"/>
    <mergeCell ref="R42:S43"/>
    <mergeCell ref="T42:U43"/>
    <mergeCell ref="V42:W43"/>
    <mergeCell ref="X42:Y43"/>
    <mergeCell ref="X40:Y41"/>
    <mergeCell ref="AH40:AI41"/>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D40:AE41"/>
    <mergeCell ref="AF40:AG41"/>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X18:Y19"/>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D8:AE9"/>
    <mergeCell ref="AF8:AG9"/>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AO6:AT13"/>
    <mergeCell ref="J8:K9"/>
    <mergeCell ref="L8:M9"/>
    <mergeCell ref="N8:O9"/>
    <mergeCell ref="P8:Q9"/>
    <mergeCell ref="R8:S9"/>
    <mergeCell ref="T8:U9"/>
    <mergeCell ref="V6:W7"/>
    <mergeCell ref="X6:Y7"/>
    <mergeCell ref="Z6:AA7"/>
    <mergeCell ref="AB6:AC7"/>
    <mergeCell ref="AD6:AE7"/>
    <mergeCell ref="AF6:AG7"/>
    <mergeCell ref="J10:K11"/>
    <mergeCell ref="L10:M11"/>
    <mergeCell ref="N10:O11"/>
    <mergeCell ref="P10:Q11"/>
    <mergeCell ref="R10:S11"/>
    <mergeCell ref="T10:U11"/>
    <mergeCell ref="V10:W11"/>
    <mergeCell ref="V8:W9"/>
    <mergeCell ref="X8:Y9"/>
    <mergeCell ref="AJ10:AK11"/>
    <mergeCell ref="AL10:AM11"/>
    <mergeCell ref="B2:I4"/>
    <mergeCell ref="J2:AM4"/>
    <mergeCell ref="B6:D45"/>
    <mergeCell ref="E6:I13"/>
    <mergeCell ref="J6:K7"/>
    <mergeCell ref="L6:M7"/>
    <mergeCell ref="N6:O7"/>
    <mergeCell ref="P6:Q7"/>
    <mergeCell ref="R6:S7"/>
    <mergeCell ref="T6:U7"/>
    <mergeCell ref="AH6:AI7"/>
    <mergeCell ref="AJ6:AK7"/>
    <mergeCell ref="AL6:AM7"/>
    <mergeCell ref="X10:Y11"/>
    <mergeCell ref="Z10:AA11"/>
    <mergeCell ref="AB10:AC11"/>
    <mergeCell ref="AD10:AE11"/>
    <mergeCell ref="AF10:AG11"/>
    <mergeCell ref="AH10:AI11"/>
    <mergeCell ref="AH8:AI9"/>
    <mergeCell ref="AJ8:AK9"/>
    <mergeCell ref="AL8:AM9"/>
    <mergeCell ref="Z8:AA9"/>
    <mergeCell ref="AB8:AC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U140"/>
  <sheetViews>
    <sheetView zoomScale="50" zoomScaleNormal="50" workbookViewId="0">
      <selection activeCell="B2" sqref="B2:AT51"/>
    </sheetView>
  </sheetViews>
  <sheetFormatPr baseColWidth="10" defaultRowHeight="15" x14ac:dyDescent="0.25"/>
  <cols>
    <col min="2" max="39" width="5.7109375" customWidth="1"/>
    <col min="41" max="46" width="5.7109375" customWidth="1"/>
  </cols>
  <sheetData>
    <row r="1" spans="1:99"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row>
    <row r="2" spans="1:99" ht="18" customHeight="1" x14ac:dyDescent="0.25">
      <c r="A2" s="83"/>
      <c r="B2" s="1096" t="s">
        <v>161</v>
      </c>
      <c r="C2" s="1096"/>
      <c r="D2" s="1096"/>
      <c r="E2" s="1096"/>
      <c r="F2" s="1096"/>
      <c r="G2" s="1096"/>
      <c r="H2" s="1096"/>
      <c r="I2" s="1096"/>
      <c r="J2" s="1133" t="s">
        <v>2</v>
      </c>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row>
    <row r="3" spans="1:99" ht="18.75" customHeight="1" x14ac:dyDescent="0.25">
      <c r="A3" s="83"/>
      <c r="B3" s="1096"/>
      <c r="C3" s="1096"/>
      <c r="D3" s="1096"/>
      <c r="E3" s="1096"/>
      <c r="F3" s="1096"/>
      <c r="G3" s="1096"/>
      <c r="H3" s="1096"/>
      <c r="I3" s="1096"/>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c r="AJ3" s="1133"/>
      <c r="AK3" s="1133"/>
      <c r="AL3" s="1133"/>
      <c r="AM3" s="113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row>
    <row r="4" spans="1:99" ht="15" customHeight="1" x14ac:dyDescent="0.25">
      <c r="A4" s="83"/>
      <c r="B4" s="1096"/>
      <c r="C4" s="1096"/>
      <c r="D4" s="1096"/>
      <c r="E4" s="1096"/>
      <c r="F4" s="1096"/>
      <c r="G4" s="1096"/>
      <c r="H4" s="1096"/>
      <c r="I4" s="1096"/>
      <c r="J4" s="1133"/>
      <c r="K4" s="1133"/>
      <c r="L4" s="1133"/>
      <c r="M4" s="1133"/>
      <c r="N4" s="1133"/>
      <c r="O4" s="1133"/>
      <c r="P4" s="1133"/>
      <c r="Q4" s="1133"/>
      <c r="R4" s="1133"/>
      <c r="S4" s="1133"/>
      <c r="T4" s="1133"/>
      <c r="U4" s="1133"/>
      <c r="V4" s="1133"/>
      <c r="W4" s="1133"/>
      <c r="X4" s="1133"/>
      <c r="Y4" s="1133"/>
      <c r="Z4" s="1133"/>
      <c r="AA4" s="1133"/>
      <c r="AB4" s="1133"/>
      <c r="AC4" s="1133"/>
      <c r="AD4" s="1133"/>
      <c r="AE4" s="1133"/>
      <c r="AF4" s="1133"/>
      <c r="AG4" s="1133"/>
      <c r="AH4" s="1133"/>
      <c r="AI4" s="1133"/>
      <c r="AJ4" s="1133"/>
      <c r="AK4" s="1133"/>
      <c r="AL4" s="1133"/>
      <c r="AM4" s="113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row>
    <row r="5" spans="1:99"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row>
    <row r="6" spans="1:99" ht="15" customHeight="1" x14ac:dyDescent="0.25">
      <c r="A6" s="83"/>
      <c r="B6" s="1144" t="s">
        <v>4</v>
      </c>
      <c r="C6" s="1144"/>
      <c r="D6" s="1145"/>
      <c r="E6" s="1134" t="s">
        <v>116</v>
      </c>
      <c r="F6" s="1135"/>
      <c r="G6" s="1135"/>
      <c r="H6" s="1135"/>
      <c r="I6" s="1136"/>
      <c r="J6" s="1130" t="str">
        <f ca="1">IF(AND('Riesgos de gestión'!$H$10="Muy Alta",'Riesgos de gestión'!$L$10="Leve"),CONCATENATE("R",'Riesgos de gestión'!$A$10),"")</f>
        <v/>
      </c>
      <c r="K6" s="1131"/>
      <c r="L6" s="1131" t="str">
        <f ca="1">IF(AND('Riesgos de gestión'!$H$16="Muy Alta",'Riesgos de gestión'!$L$16="Leve"),CONCATENATE("R",'Riesgos de gestión'!$A$16),"")</f>
        <v/>
      </c>
      <c r="M6" s="1131"/>
      <c r="N6" s="1131" t="str">
        <f ca="1">IF(AND('Riesgos de gestión'!$H$22="Muy Alta",'Riesgos de gestión'!$L$22="Leve"),CONCATENATE("R",'Riesgos de gestión'!$A$22),"")</f>
        <v/>
      </c>
      <c r="O6" s="1132"/>
      <c r="P6" s="1130" t="str">
        <f ca="1">IF(AND('Riesgos de gestión'!$H$10="Muy Alta",'Riesgos de gestión'!$L$10="Menor"),CONCATENATE("R",'Riesgos de gestión'!$A$10),"")</f>
        <v/>
      </c>
      <c r="Q6" s="1131"/>
      <c r="R6" s="1131" t="str">
        <f ca="1">IF(AND('Riesgos de gestión'!$H$16="Muy Alta",'Riesgos de gestión'!$L$16="Menor"),CONCATENATE("R",'Riesgos de gestión'!$A$16),"")</f>
        <v/>
      </c>
      <c r="S6" s="1131"/>
      <c r="T6" s="1131" t="str">
        <f ca="1">IF(AND('Riesgos de gestión'!$H$22="Muy Alta",'Riesgos de gestión'!$L$22="Menor"),CONCATENATE("R",'Riesgos de gestión'!$A$22),"")</f>
        <v/>
      </c>
      <c r="U6" s="1132"/>
      <c r="V6" s="1130" t="str">
        <f ca="1">IF(AND('Riesgos de gestión'!$H$10="Muy Alta",'Riesgos de gestión'!$L$10="Moderado"),CONCATENATE("R",'Riesgos de gestión'!$A$10),"")</f>
        <v/>
      </c>
      <c r="W6" s="1131"/>
      <c r="X6" s="1131" t="str">
        <f ca="1">IF(AND('Riesgos de gestión'!$H$16="Muy Alta",'Riesgos de gestión'!$L$16="Moderado"),CONCATENATE("R",'Riesgos de gestión'!$A$16),"")</f>
        <v/>
      </c>
      <c r="Y6" s="1131"/>
      <c r="Z6" s="1131" t="str">
        <f ca="1">IF(AND('Riesgos de gestión'!$H$22="Muy Alta",'Riesgos de gestión'!$L$22="Moderado"),CONCATENATE("R",'Riesgos de gestión'!$A$22),"")</f>
        <v/>
      </c>
      <c r="AA6" s="1132"/>
      <c r="AB6" s="1130" t="str">
        <f ca="1">IF(AND('Riesgos de gestión'!$H$10="Muy Alta",'Riesgos de gestión'!$L$10="Mayor"),CONCATENATE("R",'Riesgos de gestión'!$A$10),"")</f>
        <v/>
      </c>
      <c r="AC6" s="1131"/>
      <c r="AD6" s="1131" t="str">
        <f ca="1">IF(AND('Riesgos de gestión'!$H$16="Muy Alta",'Riesgos de gestión'!$L$16="Mayor"),CONCATENATE("R",'Riesgos de gestión'!$A$16),"")</f>
        <v/>
      </c>
      <c r="AE6" s="1131"/>
      <c r="AF6" s="1131" t="str">
        <f ca="1">IF(AND('Riesgos de gestión'!$H$22="Muy Alta",'Riesgos de gestión'!$L$22="Mayor"),CONCATENATE("R",'Riesgos de gestión'!$A$22),"")</f>
        <v/>
      </c>
      <c r="AG6" s="1132"/>
      <c r="AH6" s="1121" t="str">
        <f ca="1">IF(AND('Riesgos de gestión'!$H$10="Muy Alta",'Riesgos de gestión'!$L$10="Catastrófico"),CONCATENATE("R",'Riesgos de gestión'!$A$10),"")</f>
        <v/>
      </c>
      <c r="AI6" s="1122"/>
      <c r="AJ6" s="1122" t="str">
        <f ca="1">IF(AND('Riesgos de gestión'!$H$16="Muy Alta",'Riesgos de gestión'!$L$16="Catastrófico"),CONCATENATE("R",'Riesgos de gestión'!$A$16),"")</f>
        <v/>
      </c>
      <c r="AK6" s="1122"/>
      <c r="AL6" s="1122" t="str">
        <f ca="1">IF(AND('Riesgos de gestión'!$H$22="Muy Alta",'Riesgos de gestión'!$L$22="Catastrófico"),CONCATENATE("R",'Riesgos de gestión'!$A$22),"")</f>
        <v/>
      </c>
      <c r="AM6" s="1123"/>
      <c r="AO6" s="1146" t="s">
        <v>79</v>
      </c>
      <c r="AP6" s="1147"/>
      <c r="AQ6" s="1147"/>
      <c r="AR6" s="1147"/>
      <c r="AS6" s="1147"/>
      <c r="AT6" s="1148"/>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row>
    <row r="7" spans="1:99" ht="15" customHeight="1" x14ac:dyDescent="0.25">
      <c r="A7" s="83"/>
      <c r="B7" s="1144"/>
      <c r="C7" s="1144"/>
      <c r="D7" s="1145"/>
      <c r="E7" s="1137"/>
      <c r="F7" s="1138"/>
      <c r="G7" s="1138"/>
      <c r="H7" s="1138"/>
      <c r="I7" s="1139"/>
      <c r="J7" s="1124"/>
      <c r="K7" s="1125"/>
      <c r="L7" s="1125"/>
      <c r="M7" s="1125"/>
      <c r="N7" s="1125"/>
      <c r="O7" s="1126"/>
      <c r="P7" s="1124"/>
      <c r="Q7" s="1125"/>
      <c r="R7" s="1125"/>
      <c r="S7" s="1125"/>
      <c r="T7" s="1125"/>
      <c r="U7" s="1126"/>
      <c r="V7" s="1124"/>
      <c r="W7" s="1125"/>
      <c r="X7" s="1125"/>
      <c r="Y7" s="1125"/>
      <c r="Z7" s="1125"/>
      <c r="AA7" s="1126"/>
      <c r="AB7" s="1124"/>
      <c r="AC7" s="1125"/>
      <c r="AD7" s="1125"/>
      <c r="AE7" s="1125"/>
      <c r="AF7" s="1125"/>
      <c r="AG7" s="1126"/>
      <c r="AH7" s="1115"/>
      <c r="AI7" s="1116"/>
      <c r="AJ7" s="1116"/>
      <c r="AK7" s="1116"/>
      <c r="AL7" s="1116"/>
      <c r="AM7" s="1117"/>
      <c r="AN7" s="83"/>
      <c r="AO7" s="1149"/>
      <c r="AP7" s="1150"/>
      <c r="AQ7" s="1150"/>
      <c r="AR7" s="1150"/>
      <c r="AS7" s="1150"/>
      <c r="AT7" s="1151"/>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row>
    <row r="8" spans="1:99" ht="15" customHeight="1" x14ac:dyDescent="0.25">
      <c r="A8" s="83"/>
      <c r="B8" s="1144"/>
      <c r="C8" s="1144"/>
      <c r="D8" s="1145"/>
      <c r="E8" s="1137"/>
      <c r="F8" s="1138"/>
      <c r="G8" s="1138"/>
      <c r="H8" s="1138"/>
      <c r="I8" s="1139"/>
      <c r="J8" s="1124" t="str">
        <f ca="1">IF(AND('Riesgos de gestión'!$H$28="Muy Alta",'Riesgos de gestión'!$L$28="Leve"),CONCATENATE("R",'Riesgos de gestión'!$A$28),"")</f>
        <v/>
      </c>
      <c r="K8" s="1125"/>
      <c r="L8" s="1125" t="str">
        <f ca="1">IF(AND('Riesgos de gestión'!$H$34="Muy Alta",'Riesgos de gestión'!$L$34="Leve"),CONCATENATE("R",'Riesgos de gestión'!$A$34),"")</f>
        <v/>
      </c>
      <c r="M8" s="1125"/>
      <c r="N8" s="1125" t="str">
        <f ca="1">IF(AND('Riesgos de gestión'!$H$40="Muy Alta",'Riesgos de gestión'!$L$40="Leve"),CONCATENATE("R",'Riesgos de gestión'!$A$40),"")</f>
        <v/>
      </c>
      <c r="O8" s="1126"/>
      <c r="P8" s="1124" t="str">
        <f ca="1">IF(AND('Riesgos de gestión'!$H$28="Muy Alta",'Riesgos de gestión'!$L$28="Menor"),CONCATENATE("R",'Riesgos de gestión'!$A$28),"")</f>
        <v/>
      </c>
      <c r="Q8" s="1125"/>
      <c r="R8" s="1125" t="str">
        <f ca="1">IF(AND('Riesgos de gestión'!$H$34="Muy Alta",'Riesgos de gestión'!$L$34="Menor"),CONCATENATE("R",'Riesgos de gestión'!$A$34),"")</f>
        <v/>
      </c>
      <c r="S8" s="1125"/>
      <c r="T8" s="1125" t="str">
        <f ca="1">IF(AND('Riesgos de gestión'!$H$40="Muy Alta",'Riesgos de gestión'!$L$40="Menor"),CONCATENATE("R",'Riesgos de gestión'!$A$40),"")</f>
        <v/>
      </c>
      <c r="U8" s="1126"/>
      <c r="V8" s="1124" t="str">
        <f ca="1">IF(AND('Riesgos de gestión'!$H$28="Muy Alta",'Riesgos de gestión'!$L$28="Moderado"),CONCATENATE("R",'Riesgos de gestión'!$A$28),"")</f>
        <v/>
      </c>
      <c r="W8" s="1125"/>
      <c r="X8" s="1125" t="str">
        <f ca="1">IF(AND('Riesgos de gestión'!$H$34="Muy Alta",'Riesgos de gestión'!$L$34="Moderado"),CONCATENATE("R",'Riesgos de gestión'!$A$34),"")</f>
        <v/>
      </c>
      <c r="Y8" s="1125"/>
      <c r="Z8" s="1125" t="str">
        <f ca="1">IF(AND('Riesgos de gestión'!$H$40="Muy Alta",'Riesgos de gestión'!$L$40="Moderado"),CONCATENATE("R",'Riesgos de gestión'!$A$40),"")</f>
        <v/>
      </c>
      <c r="AA8" s="1126"/>
      <c r="AB8" s="1124" t="str">
        <f ca="1">IF(AND('Riesgos de gestión'!$H$28="Muy Alta",'Riesgos de gestión'!$L$28="Mayor"),CONCATENATE("R",'Riesgos de gestión'!$A$28),"")</f>
        <v/>
      </c>
      <c r="AC8" s="1125"/>
      <c r="AD8" s="1125" t="str">
        <f ca="1">IF(AND('Riesgos de gestión'!$H$34="Muy Alta",'Riesgos de gestión'!$L$34="Mayor"),CONCATENATE("R",'Riesgos de gestión'!$A$34),"")</f>
        <v/>
      </c>
      <c r="AE8" s="1125"/>
      <c r="AF8" s="1125" t="str">
        <f ca="1">IF(AND('Riesgos de gestión'!$H$40="Muy Alta",'Riesgos de gestión'!$L$40="Mayor"),CONCATENATE("R",'Riesgos de gestión'!$A$40),"")</f>
        <v/>
      </c>
      <c r="AG8" s="1126"/>
      <c r="AH8" s="1115" t="str">
        <f ca="1">IF(AND('Riesgos de gestión'!$H$28="Muy Alta",'Riesgos de gestión'!$L$28="Catastrófico"),CONCATENATE("R",'Riesgos de gestión'!$A$28),"")</f>
        <v/>
      </c>
      <c r="AI8" s="1116"/>
      <c r="AJ8" s="1116" t="str">
        <f ca="1">IF(AND('Riesgos de gestión'!$H$34="Muy Alta",'Riesgos de gestión'!$L$34="Catastrófico"),CONCATENATE("R",'Riesgos de gestión'!$A$34),"")</f>
        <v/>
      </c>
      <c r="AK8" s="1116"/>
      <c r="AL8" s="1116" t="str">
        <f ca="1">IF(AND('Riesgos de gestión'!$H$40="Muy Alta",'Riesgos de gestión'!$L$40="Catastrófico"),CONCATENATE("R",'Riesgos de gestión'!$A$40),"")</f>
        <v/>
      </c>
      <c r="AM8" s="1117"/>
      <c r="AN8" s="83"/>
      <c r="AO8" s="1149"/>
      <c r="AP8" s="1150"/>
      <c r="AQ8" s="1150"/>
      <c r="AR8" s="1150"/>
      <c r="AS8" s="1150"/>
      <c r="AT8" s="1151"/>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row>
    <row r="9" spans="1:99" ht="15" customHeight="1" x14ac:dyDescent="0.25">
      <c r="A9" s="83"/>
      <c r="B9" s="1144"/>
      <c r="C9" s="1144"/>
      <c r="D9" s="1145"/>
      <c r="E9" s="1137"/>
      <c r="F9" s="1138"/>
      <c r="G9" s="1138"/>
      <c r="H9" s="1138"/>
      <c r="I9" s="1139"/>
      <c r="J9" s="1124"/>
      <c r="K9" s="1125"/>
      <c r="L9" s="1125"/>
      <c r="M9" s="1125"/>
      <c r="N9" s="1125"/>
      <c r="O9" s="1126"/>
      <c r="P9" s="1124"/>
      <c r="Q9" s="1125"/>
      <c r="R9" s="1125"/>
      <c r="S9" s="1125"/>
      <c r="T9" s="1125"/>
      <c r="U9" s="1126"/>
      <c r="V9" s="1124"/>
      <c r="W9" s="1125"/>
      <c r="X9" s="1125"/>
      <c r="Y9" s="1125"/>
      <c r="Z9" s="1125"/>
      <c r="AA9" s="1126"/>
      <c r="AB9" s="1124"/>
      <c r="AC9" s="1125"/>
      <c r="AD9" s="1125"/>
      <c r="AE9" s="1125"/>
      <c r="AF9" s="1125"/>
      <c r="AG9" s="1126"/>
      <c r="AH9" s="1115"/>
      <c r="AI9" s="1116"/>
      <c r="AJ9" s="1116"/>
      <c r="AK9" s="1116"/>
      <c r="AL9" s="1116"/>
      <c r="AM9" s="1117"/>
      <c r="AN9" s="83"/>
      <c r="AO9" s="1149"/>
      <c r="AP9" s="1150"/>
      <c r="AQ9" s="1150"/>
      <c r="AR9" s="1150"/>
      <c r="AS9" s="1150"/>
      <c r="AT9" s="1151"/>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row>
    <row r="10" spans="1:99" ht="15" customHeight="1" x14ac:dyDescent="0.25">
      <c r="A10" s="83"/>
      <c r="B10" s="1144"/>
      <c r="C10" s="1144"/>
      <c r="D10" s="1145"/>
      <c r="E10" s="1137"/>
      <c r="F10" s="1138"/>
      <c r="G10" s="1138"/>
      <c r="H10" s="1138"/>
      <c r="I10" s="1139"/>
      <c r="J10" s="1124" t="str">
        <f ca="1">IF(AND('Riesgos de gestión'!$H$46="Muy Alta",'Riesgos de gestión'!$L$46="Leve"),CONCATENATE("R",'Riesgos de gestión'!$A$46),"")</f>
        <v/>
      </c>
      <c r="K10" s="1125"/>
      <c r="L10" s="1125" t="str">
        <f ca="1">IF(AND('Riesgos de gestión'!$H$52="Muy Alta",'Riesgos de gestión'!$L$52="Leve"),CONCATENATE("R",'Riesgos de gestión'!$A$52),"")</f>
        <v/>
      </c>
      <c r="M10" s="1125"/>
      <c r="N10" s="1125" t="str">
        <f ca="1">IF(AND('Riesgos de gestión'!$H$58="Muy Alta",'Riesgos de gestión'!$L$58="Leve"),CONCATENATE("R",'Riesgos de gestión'!$A$58),"")</f>
        <v/>
      </c>
      <c r="O10" s="1126"/>
      <c r="P10" s="1124" t="str">
        <f ca="1">IF(AND('Riesgos de gestión'!$H$46="Muy Alta",'Riesgos de gestión'!$L$46="Menor"),CONCATENATE("R",'Riesgos de gestión'!$A$46),"")</f>
        <v/>
      </c>
      <c r="Q10" s="1125"/>
      <c r="R10" s="1125" t="str">
        <f ca="1">IF(AND('Riesgos de gestión'!$H$52="Muy Alta",'Riesgos de gestión'!$L$52="Menor"),CONCATENATE("R",'Riesgos de gestión'!$A$52),"")</f>
        <v/>
      </c>
      <c r="S10" s="1125"/>
      <c r="T10" s="1125" t="str">
        <f ca="1">IF(AND('Riesgos de gestión'!$H$58="Muy Alta",'Riesgos de gestión'!$L$58="Menor"),CONCATENATE("R",'Riesgos de gestión'!$A$58),"")</f>
        <v/>
      </c>
      <c r="U10" s="1126"/>
      <c r="V10" s="1124" t="str">
        <f ca="1">IF(AND('Riesgos de gestión'!$H$46="Muy Alta",'Riesgos de gestión'!$L$46="Moderado"),CONCATENATE("R",'Riesgos de gestión'!$A$46),"")</f>
        <v/>
      </c>
      <c r="W10" s="1125"/>
      <c r="X10" s="1125" t="str">
        <f ca="1">IF(AND('Riesgos de gestión'!$H$52="Muy Alta",'Riesgos de gestión'!$L$52="Moderado"),CONCATENATE("R",'Riesgos de gestión'!$A$52),"")</f>
        <v/>
      </c>
      <c r="Y10" s="1125"/>
      <c r="Z10" s="1125" t="str">
        <f ca="1">IF(AND('Riesgos de gestión'!$H$58="Muy Alta",'Riesgos de gestión'!$L$58="Moderado"),CONCATENATE("R",'Riesgos de gestión'!$A$58),"")</f>
        <v/>
      </c>
      <c r="AA10" s="1126"/>
      <c r="AB10" s="1124" t="str">
        <f ca="1">IF(AND('Riesgos de gestión'!$H$46="Muy Alta",'Riesgos de gestión'!$L$46="Mayor"),CONCATENATE("R",'Riesgos de gestión'!$A$46),"")</f>
        <v/>
      </c>
      <c r="AC10" s="1125"/>
      <c r="AD10" s="1125" t="str">
        <f ca="1">IF(AND('Riesgos de gestión'!$H$52="Muy Alta",'Riesgos de gestión'!$L$52="Mayor"),CONCATENATE("R",'Riesgos de gestión'!$A$52),"")</f>
        <v/>
      </c>
      <c r="AE10" s="1125"/>
      <c r="AF10" s="1125" t="str">
        <f ca="1">IF(AND('Riesgos de gestión'!$H$58="Muy Alta",'Riesgos de gestión'!$L$58="Mayor"),CONCATENATE("R",'Riesgos de gestión'!$A$58),"")</f>
        <v/>
      </c>
      <c r="AG10" s="1126"/>
      <c r="AH10" s="1115" t="str">
        <f ca="1">IF(AND('Riesgos de gestión'!$H$46="Muy Alta",'Riesgos de gestión'!$L$46="Catastrófico"),CONCATENATE("R",'Riesgos de gestión'!$A$46),"")</f>
        <v/>
      </c>
      <c r="AI10" s="1116"/>
      <c r="AJ10" s="1116" t="str">
        <f ca="1">IF(AND('Riesgos de gestión'!$H$52="Muy Alta",'Riesgos de gestión'!$L$52="Catastrófico"),CONCATENATE("R",'Riesgos de gestión'!$A$52),"")</f>
        <v/>
      </c>
      <c r="AK10" s="1116"/>
      <c r="AL10" s="1116" t="str">
        <f ca="1">IF(AND('Riesgos de gestión'!$H$58="Muy Alta",'Riesgos de gestión'!$L$58="Catastrófico"),CONCATENATE("R",'Riesgos de gestión'!$A$58),"")</f>
        <v/>
      </c>
      <c r="AM10" s="1117"/>
      <c r="AN10" s="83"/>
      <c r="AO10" s="1149"/>
      <c r="AP10" s="1150"/>
      <c r="AQ10" s="1150"/>
      <c r="AR10" s="1150"/>
      <c r="AS10" s="1150"/>
      <c r="AT10" s="1151"/>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row>
    <row r="11" spans="1:99" ht="15" customHeight="1" x14ac:dyDescent="0.25">
      <c r="A11" s="83"/>
      <c r="B11" s="1144"/>
      <c r="C11" s="1144"/>
      <c r="D11" s="1145"/>
      <c r="E11" s="1137"/>
      <c r="F11" s="1138"/>
      <c r="G11" s="1138"/>
      <c r="H11" s="1138"/>
      <c r="I11" s="1139"/>
      <c r="J11" s="1124"/>
      <c r="K11" s="1125"/>
      <c r="L11" s="1125"/>
      <c r="M11" s="1125"/>
      <c r="N11" s="1125"/>
      <c r="O11" s="1126"/>
      <c r="P11" s="1124"/>
      <c r="Q11" s="1125"/>
      <c r="R11" s="1125"/>
      <c r="S11" s="1125"/>
      <c r="T11" s="1125"/>
      <c r="U11" s="1126"/>
      <c r="V11" s="1124"/>
      <c r="W11" s="1125"/>
      <c r="X11" s="1125"/>
      <c r="Y11" s="1125"/>
      <c r="Z11" s="1125"/>
      <c r="AA11" s="1126"/>
      <c r="AB11" s="1124"/>
      <c r="AC11" s="1125"/>
      <c r="AD11" s="1125"/>
      <c r="AE11" s="1125"/>
      <c r="AF11" s="1125"/>
      <c r="AG11" s="1126"/>
      <c r="AH11" s="1115"/>
      <c r="AI11" s="1116"/>
      <c r="AJ11" s="1116"/>
      <c r="AK11" s="1116"/>
      <c r="AL11" s="1116"/>
      <c r="AM11" s="1117"/>
      <c r="AN11" s="83"/>
      <c r="AO11" s="1149"/>
      <c r="AP11" s="1150"/>
      <c r="AQ11" s="1150"/>
      <c r="AR11" s="1150"/>
      <c r="AS11" s="1150"/>
      <c r="AT11" s="1151"/>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row>
    <row r="12" spans="1:99" ht="15" customHeight="1" x14ac:dyDescent="0.25">
      <c r="A12" s="83"/>
      <c r="B12" s="1144"/>
      <c r="C12" s="1144"/>
      <c r="D12" s="1145"/>
      <c r="E12" s="1137"/>
      <c r="F12" s="1138"/>
      <c r="G12" s="1138"/>
      <c r="H12" s="1138"/>
      <c r="I12" s="1139"/>
      <c r="J12" s="1124" t="str">
        <f ca="1">IF(AND('Riesgos de gestión'!$H$64="Muy Alta",'Riesgos de gestión'!$L$64="Leve"),CONCATENATE("R",'Riesgos de gestión'!$A$64),"")</f>
        <v/>
      </c>
      <c r="K12" s="1125"/>
      <c r="L12" s="1125" t="str">
        <f>IF(AND('Riesgos de gestión'!$H$70="Muy Alta",'Riesgos de gestión'!$L$70="Leve"),CONCATENATE("R",'Riesgos de gestión'!$A$70),"")</f>
        <v/>
      </c>
      <c r="M12" s="1125"/>
      <c r="N12" s="1125" t="str">
        <f>IF(AND('Riesgos de gestión'!$H$76="Muy Alta",'Riesgos de gestión'!$L$76="Leve"),CONCATENATE("R",'Riesgos de gestión'!$A$76),"")</f>
        <v/>
      </c>
      <c r="O12" s="1126"/>
      <c r="P12" s="1124" t="str">
        <f ca="1">IF(AND('Riesgos de gestión'!$H$64="Muy Alta",'Riesgos de gestión'!$L$64="Menor"),CONCATENATE("R",'Riesgos de gestión'!$A$64),"")</f>
        <v/>
      </c>
      <c r="Q12" s="1125"/>
      <c r="R12" s="1125" t="str">
        <f>IF(AND('Riesgos de gestión'!$H$70="Muy Alta",'Riesgos de gestión'!$L$70="Menor"),CONCATENATE("R",'Riesgos de gestión'!$A$70),"")</f>
        <v/>
      </c>
      <c r="S12" s="1125"/>
      <c r="T12" s="1125" t="str">
        <f>IF(AND('Riesgos de gestión'!$H$76="Muy Alta",'Riesgos de gestión'!$L$76="Menor"),CONCATENATE("R",'Riesgos de gestión'!$A$76),"")</f>
        <v/>
      </c>
      <c r="U12" s="1126"/>
      <c r="V12" s="1124" t="str">
        <f ca="1">IF(AND('Riesgos de gestión'!$H$64="Muy Alta",'Riesgos de gestión'!$L$64="Moderado"),CONCATENATE("R",'Riesgos de gestión'!$A$64),"")</f>
        <v/>
      </c>
      <c r="W12" s="1125"/>
      <c r="X12" s="1125" t="str">
        <f>IF(AND('Riesgos de gestión'!$H$70="Muy Alta",'Riesgos de gestión'!$L$70="Moderado"),CONCATENATE("R",'Riesgos de gestión'!$A$70),"")</f>
        <v/>
      </c>
      <c r="Y12" s="1125"/>
      <c r="Z12" s="1125" t="str">
        <f>IF(AND('Riesgos de gestión'!$H$76="Muy Alta",'Riesgos de gestión'!$L$76="Moderado"),CONCATENATE("R",'Riesgos de gestión'!$A$76),"")</f>
        <v/>
      </c>
      <c r="AA12" s="1126"/>
      <c r="AB12" s="1124" t="str">
        <f ca="1">IF(AND('Riesgos de gestión'!$H$64="Muy Alta",'Riesgos de gestión'!$L$64="Mayor"),CONCATENATE("R",'Riesgos de gestión'!$A$64),"")</f>
        <v/>
      </c>
      <c r="AC12" s="1125"/>
      <c r="AD12" s="1125" t="str">
        <f>IF(AND('Riesgos de gestión'!$H$70="Muy Alta",'Riesgos de gestión'!$L$70="Mayor"),CONCATENATE("R",'Riesgos de gestión'!$A$70),"")</f>
        <v/>
      </c>
      <c r="AE12" s="1125"/>
      <c r="AF12" s="1125" t="str">
        <f>IF(AND('Riesgos de gestión'!$H$76="Muy Alta",'Riesgos de gestión'!$L$76="Mayor"),CONCATENATE("R",'Riesgos de gestión'!$A$76),"")</f>
        <v/>
      </c>
      <c r="AG12" s="1126"/>
      <c r="AH12" s="1115" t="str">
        <f ca="1">IF(AND('Riesgos de gestión'!$H$64="Muy Alta",'Riesgos de gestión'!$L$64="Catastrófico"),CONCATENATE("R",'Riesgos de gestión'!$A$64),"")</f>
        <v/>
      </c>
      <c r="AI12" s="1116"/>
      <c r="AJ12" s="1116" t="str">
        <f>IF(AND('Riesgos de gestión'!$H$70="Muy Alta",'Riesgos de gestión'!$L$70="Catastrófico"),CONCATENATE("R",'Riesgos de gestión'!$A$70),"")</f>
        <v/>
      </c>
      <c r="AK12" s="1116"/>
      <c r="AL12" s="1116" t="str">
        <f>IF(AND('Riesgos de gestión'!$H$76="Muy Alta",'Riesgos de gestión'!$L$76="Catastrófico"),CONCATENATE("R",'Riesgos de gestión'!$A$76),"")</f>
        <v/>
      </c>
      <c r="AM12" s="1117"/>
      <c r="AN12" s="83"/>
      <c r="AO12" s="1149"/>
      <c r="AP12" s="1150"/>
      <c r="AQ12" s="1150"/>
      <c r="AR12" s="1150"/>
      <c r="AS12" s="1150"/>
      <c r="AT12" s="1151"/>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row>
    <row r="13" spans="1:99" ht="15.75" customHeight="1" thickBot="1" x14ac:dyDescent="0.3">
      <c r="A13" s="83"/>
      <c r="B13" s="1144"/>
      <c r="C13" s="1144"/>
      <c r="D13" s="1145"/>
      <c r="E13" s="1140"/>
      <c r="F13" s="1141"/>
      <c r="G13" s="1141"/>
      <c r="H13" s="1141"/>
      <c r="I13" s="1142"/>
      <c r="J13" s="1124"/>
      <c r="K13" s="1125"/>
      <c r="L13" s="1125"/>
      <c r="M13" s="1125"/>
      <c r="N13" s="1125"/>
      <c r="O13" s="1126"/>
      <c r="P13" s="1124"/>
      <c r="Q13" s="1125"/>
      <c r="R13" s="1125"/>
      <c r="S13" s="1125"/>
      <c r="T13" s="1125"/>
      <c r="U13" s="1126"/>
      <c r="V13" s="1124"/>
      <c r="W13" s="1125"/>
      <c r="X13" s="1125"/>
      <c r="Y13" s="1125"/>
      <c r="Z13" s="1125"/>
      <c r="AA13" s="1126"/>
      <c r="AB13" s="1124"/>
      <c r="AC13" s="1125"/>
      <c r="AD13" s="1125"/>
      <c r="AE13" s="1125"/>
      <c r="AF13" s="1125"/>
      <c r="AG13" s="1126"/>
      <c r="AH13" s="1118"/>
      <c r="AI13" s="1119"/>
      <c r="AJ13" s="1119"/>
      <c r="AK13" s="1119"/>
      <c r="AL13" s="1119"/>
      <c r="AM13" s="1120"/>
      <c r="AN13" s="83"/>
      <c r="AO13" s="1152"/>
      <c r="AP13" s="1153"/>
      <c r="AQ13" s="1153"/>
      <c r="AR13" s="1153"/>
      <c r="AS13" s="1153"/>
      <c r="AT13" s="1154"/>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row>
    <row r="14" spans="1:99" ht="15" customHeight="1" x14ac:dyDescent="0.25">
      <c r="A14" s="83"/>
      <c r="B14" s="1144"/>
      <c r="C14" s="1144"/>
      <c r="D14" s="1145"/>
      <c r="E14" s="1134" t="s">
        <v>115</v>
      </c>
      <c r="F14" s="1135"/>
      <c r="G14" s="1135"/>
      <c r="H14" s="1135"/>
      <c r="I14" s="1135"/>
      <c r="J14" s="1112" t="str">
        <f ca="1">IF(AND('Riesgos de gestión'!$H$10="Alta",'Riesgos de gestión'!$L$10="Leve"),CONCATENATE("R",'Riesgos de gestión'!$A$10),"")</f>
        <v/>
      </c>
      <c r="K14" s="1113"/>
      <c r="L14" s="1113" t="str">
        <f ca="1">IF(AND('Riesgos de gestión'!$H$16="Alta",'Riesgos de gestión'!$L$16="Leve"),CONCATENATE("R",'Riesgos de gestión'!$A$16),"")</f>
        <v/>
      </c>
      <c r="M14" s="1113"/>
      <c r="N14" s="1113" t="str">
        <f ca="1">IF(AND('Riesgos de gestión'!$H$22="Alta",'Riesgos de gestión'!$L$22="Leve"),CONCATENATE("R",'Riesgos de gestión'!$A$22),"")</f>
        <v/>
      </c>
      <c r="O14" s="1114"/>
      <c r="P14" s="1112" t="str">
        <f ca="1">IF(AND('Riesgos de gestión'!$H$10="Alta",'Riesgos de gestión'!$L$10="Menor"),CONCATENATE("R",'Riesgos de gestión'!$A$10),"")</f>
        <v/>
      </c>
      <c r="Q14" s="1113"/>
      <c r="R14" s="1113" t="str">
        <f ca="1">IF(AND('Riesgos de gestión'!$H$16="Alta",'Riesgos de gestión'!$L$16="Menor"),CONCATENATE("R",'Riesgos de gestión'!$A$16),"")</f>
        <v/>
      </c>
      <c r="S14" s="1113"/>
      <c r="T14" s="1113" t="str">
        <f ca="1">IF(AND('Riesgos de gestión'!$H$22="Alta",'Riesgos de gestión'!$L$22="Menor"),CONCATENATE("R",'Riesgos de gestión'!$A$22),"")</f>
        <v/>
      </c>
      <c r="U14" s="1114"/>
      <c r="V14" s="1130" t="str">
        <f ca="1">IF(AND('Riesgos de gestión'!$H$10="Alta",'Riesgos de gestión'!$L$10="Moderado"),CONCATENATE("R",'Riesgos de gestión'!$A$10),"")</f>
        <v/>
      </c>
      <c r="W14" s="1131"/>
      <c r="X14" s="1131" t="str">
        <f ca="1">IF(AND('Riesgos de gestión'!$H$16="Alta",'Riesgos de gestión'!$L$16="Moderado"),CONCATENATE("R",'Riesgos de gestión'!$A$16),"")</f>
        <v/>
      </c>
      <c r="Y14" s="1131"/>
      <c r="Z14" s="1131" t="str">
        <f ca="1">IF(AND('Riesgos de gestión'!$H$22="Alta",'Riesgos de gestión'!$L$22="Moderado"),CONCATENATE("R",'Riesgos de gestión'!$A$22),"")</f>
        <v/>
      </c>
      <c r="AA14" s="1132"/>
      <c r="AB14" s="1130" t="str">
        <f ca="1">IF(AND('Riesgos de gestión'!$H$10="Alta",'Riesgos de gestión'!$L$10="Mayor"),CONCATENATE("R",'Riesgos de gestión'!$A$10),"")</f>
        <v/>
      </c>
      <c r="AC14" s="1131"/>
      <c r="AD14" s="1131" t="str">
        <f ca="1">IF(AND('Riesgos de gestión'!$H$16="Alta",'Riesgos de gestión'!$L$16="Mayor"),CONCATENATE("R",'Riesgos de gestión'!$A$16),"")</f>
        <v/>
      </c>
      <c r="AE14" s="1131"/>
      <c r="AF14" s="1131" t="str">
        <f ca="1">IF(AND('Riesgos de gestión'!$H$22="Alta",'Riesgos de gestión'!$L$22="Mayor"),CONCATENATE("R",'Riesgos de gestión'!$A$22),"")</f>
        <v/>
      </c>
      <c r="AG14" s="1132"/>
      <c r="AH14" s="1121" t="str">
        <f ca="1">IF(AND('Riesgos de gestión'!$H$10="Alta",'Riesgos de gestión'!$L$10="Catastrófico"),CONCATENATE("R",'Riesgos de gestión'!$A$10),"")</f>
        <v/>
      </c>
      <c r="AI14" s="1122"/>
      <c r="AJ14" s="1122" t="str">
        <f ca="1">IF(AND('Riesgos de gestión'!$H$16="Alta",'Riesgos de gestión'!$L$16="Catastrófico"),CONCATENATE("R",'Riesgos de gestión'!$A$16),"")</f>
        <v/>
      </c>
      <c r="AK14" s="1122"/>
      <c r="AL14" s="1122" t="str">
        <f ca="1">IF(AND('Riesgos de gestión'!$H$22="Alta",'Riesgos de gestión'!$L$22="Catastrófico"),CONCATENATE("R",'Riesgos de gestión'!$A$22),"")</f>
        <v/>
      </c>
      <c r="AM14" s="1123"/>
      <c r="AN14" s="83"/>
      <c r="AO14" s="1155" t="s">
        <v>80</v>
      </c>
      <c r="AP14" s="1156"/>
      <c r="AQ14" s="1156"/>
      <c r="AR14" s="1156"/>
      <c r="AS14" s="1156"/>
      <c r="AT14" s="1157"/>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row>
    <row r="15" spans="1:99" ht="15" customHeight="1" x14ac:dyDescent="0.25">
      <c r="A15" s="83"/>
      <c r="B15" s="1144"/>
      <c r="C15" s="1144"/>
      <c r="D15" s="1145"/>
      <c r="E15" s="1137"/>
      <c r="F15" s="1138"/>
      <c r="G15" s="1138"/>
      <c r="H15" s="1138"/>
      <c r="I15" s="1138"/>
      <c r="J15" s="1106"/>
      <c r="K15" s="1107"/>
      <c r="L15" s="1107"/>
      <c r="M15" s="1107"/>
      <c r="N15" s="1107"/>
      <c r="O15" s="1108"/>
      <c r="P15" s="1106"/>
      <c r="Q15" s="1107"/>
      <c r="R15" s="1107"/>
      <c r="S15" s="1107"/>
      <c r="T15" s="1107"/>
      <c r="U15" s="1108"/>
      <c r="V15" s="1124"/>
      <c r="W15" s="1125"/>
      <c r="X15" s="1125"/>
      <c r="Y15" s="1125"/>
      <c r="Z15" s="1125"/>
      <c r="AA15" s="1126"/>
      <c r="AB15" s="1124"/>
      <c r="AC15" s="1125"/>
      <c r="AD15" s="1125"/>
      <c r="AE15" s="1125"/>
      <c r="AF15" s="1125"/>
      <c r="AG15" s="1126"/>
      <c r="AH15" s="1115"/>
      <c r="AI15" s="1116"/>
      <c r="AJ15" s="1116"/>
      <c r="AK15" s="1116"/>
      <c r="AL15" s="1116"/>
      <c r="AM15" s="1117"/>
      <c r="AN15" s="83"/>
      <c r="AO15" s="1158"/>
      <c r="AP15" s="1159"/>
      <c r="AQ15" s="1159"/>
      <c r="AR15" s="1159"/>
      <c r="AS15" s="1159"/>
      <c r="AT15" s="1160"/>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row>
    <row r="16" spans="1:99" ht="15" customHeight="1" x14ac:dyDescent="0.25">
      <c r="A16" s="83"/>
      <c r="B16" s="1144"/>
      <c r="C16" s="1144"/>
      <c r="D16" s="1145"/>
      <c r="E16" s="1137"/>
      <c r="F16" s="1138"/>
      <c r="G16" s="1138"/>
      <c r="H16" s="1138"/>
      <c r="I16" s="1138"/>
      <c r="J16" s="1106" t="str">
        <f ca="1">IF(AND('Riesgos de gestión'!$H$28="Alta",'Riesgos de gestión'!$L$28="Leve"),CONCATENATE("R",'Riesgos de gestión'!$A$28),"")</f>
        <v/>
      </c>
      <c r="K16" s="1107"/>
      <c r="L16" s="1107" t="str">
        <f ca="1">IF(AND('Riesgos de gestión'!$H$34="Alta",'Riesgos de gestión'!$L$34="Leve"),CONCATENATE("R",'Riesgos de gestión'!$A$34),"")</f>
        <v/>
      </c>
      <c r="M16" s="1107"/>
      <c r="N16" s="1107" t="str">
        <f ca="1">IF(AND('Riesgos de gestión'!$H$40="Alta",'Riesgos de gestión'!$L$40="Leve"),CONCATENATE("R",'Riesgos de gestión'!$A$40),"")</f>
        <v/>
      </c>
      <c r="O16" s="1108"/>
      <c r="P16" s="1106" t="str">
        <f ca="1">IF(AND('Riesgos de gestión'!$H$28="Alta",'Riesgos de gestión'!$L$28="Menor"),CONCATENATE("R",'Riesgos de gestión'!$A$28),"")</f>
        <v/>
      </c>
      <c r="Q16" s="1107"/>
      <c r="R16" s="1107" t="str">
        <f ca="1">IF(AND('Riesgos de gestión'!$H$34="Alta",'Riesgos de gestión'!$L$34="Menor"),CONCATENATE("R",'Riesgos de gestión'!$A$34),"")</f>
        <v/>
      </c>
      <c r="S16" s="1107"/>
      <c r="T16" s="1107" t="str">
        <f ca="1">IF(AND('Riesgos de gestión'!$H$40="Alta",'Riesgos de gestión'!$L$40="Menor"),CONCATENATE("R",'Riesgos de gestión'!$A$40),"")</f>
        <v/>
      </c>
      <c r="U16" s="1108"/>
      <c r="V16" s="1124" t="str">
        <f ca="1">IF(AND('Riesgos de gestión'!$H$28="Alta",'Riesgos de gestión'!$L$28="Moderado"),CONCATENATE("R",'Riesgos de gestión'!$A$28),"")</f>
        <v/>
      </c>
      <c r="W16" s="1125"/>
      <c r="X16" s="1125" t="str">
        <f ca="1">IF(AND('Riesgos de gestión'!$H$34="Alta",'Riesgos de gestión'!$L$34="Moderado"),CONCATENATE("R",'Riesgos de gestión'!$A$34),"")</f>
        <v/>
      </c>
      <c r="Y16" s="1125"/>
      <c r="Z16" s="1125" t="str">
        <f ca="1">IF(AND('Riesgos de gestión'!$H$40="Alta",'Riesgos de gestión'!$L$40="Moderado"),CONCATENATE("R",'Riesgos de gestión'!$A$40),"")</f>
        <v/>
      </c>
      <c r="AA16" s="1126"/>
      <c r="AB16" s="1124" t="str">
        <f ca="1">IF(AND('Riesgos de gestión'!$H$28="Alta",'Riesgos de gestión'!$L$28="Mayor"),CONCATENATE("R",'Riesgos de gestión'!$A$28),"")</f>
        <v/>
      </c>
      <c r="AC16" s="1125"/>
      <c r="AD16" s="1125" t="str">
        <f ca="1">IF(AND('Riesgos de gestión'!$H$34="Alta",'Riesgos de gestión'!$L$34="Mayor"),CONCATENATE("R",'Riesgos de gestión'!$A$34),"")</f>
        <v/>
      </c>
      <c r="AE16" s="1125"/>
      <c r="AF16" s="1125" t="str">
        <f ca="1">IF(AND('Riesgos de gestión'!$H$40="Alta",'Riesgos de gestión'!$L$40="Mayor"),CONCATENATE("R",'Riesgos de gestión'!$A$40),"")</f>
        <v/>
      </c>
      <c r="AG16" s="1126"/>
      <c r="AH16" s="1115" t="str">
        <f ca="1">IF(AND('Riesgos de gestión'!$H$28="Alta",'Riesgos de gestión'!$L$28="Catastrófico"),CONCATENATE("R",'Riesgos de gestión'!$A$28),"")</f>
        <v/>
      </c>
      <c r="AI16" s="1116"/>
      <c r="AJ16" s="1116" t="str">
        <f ca="1">IF(AND('Riesgos de gestión'!$H$34="Alta",'Riesgos de gestión'!$L$34="Catastrófico"),CONCATENATE("R",'Riesgos de gestión'!$A$34),"")</f>
        <v/>
      </c>
      <c r="AK16" s="1116"/>
      <c r="AL16" s="1116" t="str">
        <f ca="1">IF(AND('Riesgos de gestión'!$H$40="Alta",'Riesgos de gestión'!$L$40="Catastrófico"),CONCATENATE("R",'Riesgos de gestión'!$A$40),"")</f>
        <v/>
      </c>
      <c r="AM16" s="1117"/>
      <c r="AN16" s="83"/>
      <c r="AO16" s="1158"/>
      <c r="AP16" s="1159"/>
      <c r="AQ16" s="1159"/>
      <c r="AR16" s="1159"/>
      <c r="AS16" s="1159"/>
      <c r="AT16" s="1160"/>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row>
    <row r="17" spans="1:80" ht="15" customHeight="1" x14ac:dyDescent="0.25">
      <c r="A17" s="83"/>
      <c r="B17" s="1144"/>
      <c r="C17" s="1144"/>
      <c r="D17" s="1145"/>
      <c r="E17" s="1137"/>
      <c r="F17" s="1138"/>
      <c r="G17" s="1138"/>
      <c r="H17" s="1138"/>
      <c r="I17" s="1138"/>
      <c r="J17" s="1106"/>
      <c r="K17" s="1107"/>
      <c r="L17" s="1107"/>
      <c r="M17" s="1107"/>
      <c r="N17" s="1107"/>
      <c r="O17" s="1108"/>
      <c r="P17" s="1106"/>
      <c r="Q17" s="1107"/>
      <c r="R17" s="1107"/>
      <c r="S17" s="1107"/>
      <c r="T17" s="1107"/>
      <c r="U17" s="1108"/>
      <c r="V17" s="1124"/>
      <c r="W17" s="1125"/>
      <c r="X17" s="1125"/>
      <c r="Y17" s="1125"/>
      <c r="Z17" s="1125"/>
      <c r="AA17" s="1126"/>
      <c r="AB17" s="1124"/>
      <c r="AC17" s="1125"/>
      <c r="AD17" s="1125"/>
      <c r="AE17" s="1125"/>
      <c r="AF17" s="1125"/>
      <c r="AG17" s="1126"/>
      <c r="AH17" s="1115"/>
      <c r="AI17" s="1116"/>
      <c r="AJ17" s="1116"/>
      <c r="AK17" s="1116"/>
      <c r="AL17" s="1116"/>
      <c r="AM17" s="1117"/>
      <c r="AN17" s="83"/>
      <c r="AO17" s="1158"/>
      <c r="AP17" s="1159"/>
      <c r="AQ17" s="1159"/>
      <c r="AR17" s="1159"/>
      <c r="AS17" s="1159"/>
      <c r="AT17" s="1160"/>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row>
    <row r="18" spans="1:80" ht="15" customHeight="1" x14ac:dyDescent="0.25">
      <c r="A18" s="83"/>
      <c r="B18" s="1144"/>
      <c r="C18" s="1144"/>
      <c r="D18" s="1145"/>
      <c r="E18" s="1137"/>
      <c r="F18" s="1138"/>
      <c r="G18" s="1138"/>
      <c r="H18" s="1138"/>
      <c r="I18" s="1138"/>
      <c r="J18" s="1106" t="str">
        <f ca="1">IF(AND('Riesgos de gestión'!$H$46="Alta",'Riesgos de gestión'!$L$46="Leve"),CONCATENATE("R",'Riesgos de gestión'!$A$46),"")</f>
        <v/>
      </c>
      <c r="K18" s="1107"/>
      <c r="L18" s="1107" t="str">
        <f ca="1">IF(AND('Riesgos de gestión'!$H$52="Alta",'Riesgos de gestión'!$L$52="Leve"),CONCATENATE("R",'Riesgos de gestión'!$A$52),"")</f>
        <v/>
      </c>
      <c r="M18" s="1107"/>
      <c r="N18" s="1107" t="str">
        <f ca="1">IF(AND('Riesgos de gestión'!$H$58="Alta",'Riesgos de gestión'!$L$58="Leve"),CONCATENATE("R",'Riesgos de gestión'!$A$58),"")</f>
        <v/>
      </c>
      <c r="O18" s="1108"/>
      <c r="P18" s="1106" t="str">
        <f ca="1">IF(AND('Riesgos de gestión'!$H$46="Alta",'Riesgos de gestión'!$L$46="Menor"),CONCATENATE("R",'Riesgos de gestión'!$A$46),"")</f>
        <v/>
      </c>
      <c r="Q18" s="1107"/>
      <c r="R18" s="1107" t="str">
        <f ca="1">IF(AND('Riesgos de gestión'!$H$52="Alta",'Riesgos de gestión'!$L$52="Menor"),CONCATENATE("R",'Riesgos de gestión'!$A$52),"")</f>
        <v/>
      </c>
      <c r="S18" s="1107"/>
      <c r="T18" s="1107" t="str">
        <f ca="1">IF(AND('Riesgos de gestión'!$H$58="Alta",'Riesgos de gestión'!$L$58="Menor"),CONCATENATE("R",'Riesgos de gestión'!$A$58),"")</f>
        <v/>
      </c>
      <c r="U18" s="1108"/>
      <c r="V18" s="1124" t="str">
        <f ca="1">IF(AND('Riesgos de gestión'!$H$46="Alta",'Riesgos de gestión'!$L$46="Moderado"),CONCATENATE("R",'Riesgos de gestión'!$A$46),"")</f>
        <v/>
      </c>
      <c r="W18" s="1125"/>
      <c r="X18" s="1125" t="str">
        <f ca="1">IF(AND('Riesgos de gestión'!$H$52="Alta",'Riesgos de gestión'!$L$52="Moderado"),CONCATENATE("R",'Riesgos de gestión'!$A$52),"")</f>
        <v/>
      </c>
      <c r="Y18" s="1125"/>
      <c r="Z18" s="1125" t="str">
        <f ca="1">IF(AND('Riesgos de gestión'!$H$58="Alta",'Riesgos de gestión'!$L$58="Moderado"),CONCATENATE("R",'Riesgos de gestión'!$A$58),"")</f>
        <v/>
      </c>
      <c r="AA18" s="1126"/>
      <c r="AB18" s="1124" t="str">
        <f ca="1">IF(AND('Riesgos de gestión'!$H$46="Alta",'Riesgos de gestión'!$L$46="Mayor"),CONCATENATE("R",'Riesgos de gestión'!$A$46),"")</f>
        <v/>
      </c>
      <c r="AC18" s="1125"/>
      <c r="AD18" s="1125" t="str">
        <f ca="1">IF(AND('Riesgos de gestión'!$H$52="Alta",'Riesgos de gestión'!$L$52="Mayor"),CONCATENATE("R",'Riesgos de gestión'!$A$52),"")</f>
        <v/>
      </c>
      <c r="AE18" s="1125"/>
      <c r="AF18" s="1125" t="str">
        <f ca="1">IF(AND('Riesgos de gestión'!$H$58="Alta",'Riesgos de gestión'!$L$58="Mayor"),CONCATENATE("R",'Riesgos de gestión'!$A$58),"")</f>
        <v/>
      </c>
      <c r="AG18" s="1126"/>
      <c r="AH18" s="1115" t="str">
        <f ca="1">IF(AND('Riesgos de gestión'!$H$46="Alta",'Riesgos de gestión'!$L$46="Catastrófico"),CONCATENATE("R",'Riesgos de gestión'!$A$46),"")</f>
        <v/>
      </c>
      <c r="AI18" s="1116"/>
      <c r="AJ18" s="1116" t="str">
        <f ca="1">IF(AND('Riesgos de gestión'!$H$52="Alta",'Riesgos de gestión'!$L$52="Catastrófico"),CONCATENATE("R",'Riesgos de gestión'!$A$52),"")</f>
        <v/>
      </c>
      <c r="AK18" s="1116"/>
      <c r="AL18" s="1116" t="str">
        <f ca="1">IF(AND('Riesgos de gestión'!$H$58="Alta",'Riesgos de gestión'!$L$58="Catastrófico"),CONCATENATE("R",'Riesgos de gestión'!$A$58),"")</f>
        <v/>
      </c>
      <c r="AM18" s="1117"/>
      <c r="AN18" s="83"/>
      <c r="AO18" s="1158"/>
      <c r="AP18" s="1159"/>
      <c r="AQ18" s="1159"/>
      <c r="AR18" s="1159"/>
      <c r="AS18" s="1159"/>
      <c r="AT18" s="1160"/>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row>
    <row r="19" spans="1:80" ht="15" customHeight="1" x14ac:dyDescent="0.25">
      <c r="A19" s="83"/>
      <c r="B19" s="1144"/>
      <c r="C19" s="1144"/>
      <c r="D19" s="1145"/>
      <c r="E19" s="1137"/>
      <c r="F19" s="1138"/>
      <c r="G19" s="1138"/>
      <c r="H19" s="1138"/>
      <c r="I19" s="1138"/>
      <c r="J19" s="1106"/>
      <c r="K19" s="1107"/>
      <c r="L19" s="1107"/>
      <c r="M19" s="1107"/>
      <c r="N19" s="1107"/>
      <c r="O19" s="1108"/>
      <c r="P19" s="1106"/>
      <c r="Q19" s="1107"/>
      <c r="R19" s="1107"/>
      <c r="S19" s="1107"/>
      <c r="T19" s="1107"/>
      <c r="U19" s="1108"/>
      <c r="V19" s="1124"/>
      <c r="W19" s="1125"/>
      <c r="X19" s="1125"/>
      <c r="Y19" s="1125"/>
      <c r="Z19" s="1125"/>
      <c r="AA19" s="1126"/>
      <c r="AB19" s="1124"/>
      <c r="AC19" s="1125"/>
      <c r="AD19" s="1125"/>
      <c r="AE19" s="1125"/>
      <c r="AF19" s="1125"/>
      <c r="AG19" s="1126"/>
      <c r="AH19" s="1115"/>
      <c r="AI19" s="1116"/>
      <c r="AJ19" s="1116"/>
      <c r="AK19" s="1116"/>
      <c r="AL19" s="1116"/>
      <c r="AM19" s="1117"/>
      <c r="AN19" s="83"/>
      <c r="AO19" s="1158"/>
      <c r="AP19" s="1159"/>
      <c r="AQ19" s="1159"/>
      <c r="AR19" s="1159"/>
      <c r="AS19" s="1159"/>
      <c r="AT19" s="1160"/>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row>
    <row r="20" spans="1:80" ht="15" customHeight="1" x14ac:dyDescent="0.25">
      <c r="A20" s="83"/>
      <c r="B20" s="1144"/>
      <c r="C20" s="1144"/>
      <c r="D20" s="1145"/>
      <c r="E20" s="1137"/>
      <c r="F20" s="1138"/>
      <c r="G20" s="1138"/>
      <c r="H20" s="1138"/>
      <c r="I20" s="1138"/>
      <c r="J20" s="1106" t="str">
        <f ca="1">IF(AND('Riesgos de gestión'!$H$64="Alta",'Riesgos de gestión'!$L$64="Leve"),CONCATENATE("R",'Riesgos de gestión'!$A$64),"")</f>
        <v/>
      </c>
      <c r="K20" s="1107"/>
      <c r="L20" s="1107" t="str">
        <f>IF(AND('Riesgos de gestión'!$H$70="Alta",'Riesgos de gestión'!$L$70="Leve"),CONCATENATE("R",'Riesgos de gestión'!$A$70),"")</f>
        <v/>
      </c>
      <c r="M20" s="1107"/>
      <c r="N20" s="1107" t="str">
        <f>IF(AND('Riesgos de gestión'!$H$76="Alta",'Riesgos de gestión'!$L$76="Leve"),CONCATENATE("R",'Riesgos de gestión'!$A$76),"")</f>
        <v/>
      </c>
      <c r="O20" s="1108"/>
      <c r="P20" s="1106" t="str">
        <f ca="1">IF(AND('Riesgos de gestión'!$H$64="Alta",'Riesgos de gestión'!$L$64="Menor"),CONCATENATE("R",'Riesgos de gestión'!$A$64),"")</f>
        <v/>
      </c>
      <c r="Q20" s="1107"/>
      <c r="R20" s="1107" t="str">
        <f>IF(AND('Riesgos de gestión'!$H$70="Alta",'Riesgos de gestión'!$L$70="Menor"),CONCATENATE("R",'Riesgos de gestión'!$A$70),"")</f>
        <v/>
      </c>
      <c r="S20" s="1107"/>
      <c r="T20" s="1107" t="str">
        <f>IF(AND('Riesgos de gestión'!$H$76="Alta",'Riesgos de gestión'!$L$76="Menor"),CONCATENATE("R",'Riesgos de gestión'!$A$76),"")</f>
        <v/>
      </c>
      <c r="U20" s="1108"/>
      <c r="V20" s="1124" t="str">
        <f ca="1">IF(AND('Riesgos de gestión'!$H$64="Alta",'Riesgos de gestión'!$L$64="Moderado"),CONCATENATE("R",'Riesgos de gestión'!$A$64),"")</f>
        <v/>
      </c>
      <c r="W20" s="1125"/>
      <c r="X20" s="1125" t="str">
        <f>IF(AND('Riesgos de gestión'!$H$70="Alta",'Riesgos de gestión'!$L$70="Moderado"),CONCATENATE("R",'Riesgos de gestión'!$A$70),"")</f>
        <v/>
      </c>
      <c r="Y20" s="1125"/>
      <c r="Z20" s="1125" t="str">
        <f>IF(AND('Riesgos de gestión'!$H$76="Alta",'Riesgos de gestión'!$L$76="Moderado"),CONCATENATE("R",'Riesgos de gestión'!$A$76),"")</f>
        <v/>
      </c>
      <c r="AA20" s="1126"/>
      <c r="AB20" s="1124" t="str">
        <f ca="1">IF(AND('Riesgos de gestión'!$H$64="Alta",'Riesgos de gestión'!$L$64="Mayor"),CONCATENATE("R",'Riesgos de gestión'!$A$64),"")</f>
        <v/>
      </c>
      <c r="AC20" s="1125"/>
      <c r="AD20" s="1125" t="str">
        <f>IF(AND('Riesgos de gestión'!$H$70="Alta",'Riesgos de gestión'!$L$70="Mayor"),CONCATENATE("R",'Riesgos de gestión'!$A$70),"")</f>
        <v/>
      </c>
      <c r="AE20" s="1125"/>
      <c r="AF20" s="1125" t="str">
        <f>IF(AND('Riesgos de gestión'!$H$76="Alta",'Riesgos de gestión'!$L$76="Mayor"),CONCATENATE("R",'Riesgos de gestión'!$A$76),"")</f>
        <v/>
      </c>
      <c r="AG20" s="1126"/>
      <c r="AH20" s="1115" t="str">
        <f ca="1">IF(AND('Riesgos de gestión'!$H$64="Alta",'Riesgos de gestión'!$L$64="Catastrófico"),CONCATENATE("R",'Riesgos de gestión'!$A$64),"")</f>
        <v/>
      </c>
      <c r="AI20" s="1116"/>
      <c r="AJ20" s="1116" t="str">
        <f>IF(AND('Riesgos de gestión'!$H$70="Alta",'Riesgos de gestión'!$L$70="Catastrófico"),CONCATENATE("R",'Riesgos de gestión'!$A$70),"")</f>
        <v/>
      </c>
      <c r="AK20" s="1116"/>
      <c r="AL20" s="1116" t="str">
        <f>IF(AND('Riesgos de gestión'!$H$76="Alta",'Riesgos de gestión'!$L$76="Catastrófico"),CONCATENATE("R",'Riesgos de gestión'!$A$76),"")</f>
        <v/>
      </c>
      <c r="AM20" s="1117"/>
      <c r="AN20" s="83"/>
      <c r="AO20" s="1158"/>
      <c r="AP20" s="1159"/>
      <c r="AQ20" s="1159"/>
      <c r="AR20" s="1159"/>
      <c r="AS20" s="1159"/>
      <c r="AT20" s="1160"/>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row>
    <row r="21" spans="1:80" ht="15.75" customHeight="1" thickBot="1" x14ac:dyDescent="0.3">
      <c r="A21" s="83"/>
      <c r="B21" s="1144"/>
      <c r="C21" s="1144"/>
      <c r="D21" s="1145"/>
      <c r="E21" s="1140"/>
      <c r="F21" s="1141"/>
      <c r="G21" s="1141"/>
      <c r="H21" s="1141"/>
      <c r="I21" s="1141"/>
      <c r="J21" s="1109"/>
      <c r="K21" s="1110"/>
      <c r="L21" s="1110"/>
      <c r="M21" s="1110"/>
      <c r="N21" s="1110"/>
      <c r="O21" s="1111"/>
      <c r="P21" s="1109"/>
      <c r="Q21" s="1110"/>
      <c r="R21" s="1110"/>
      <c r="S21" s="1110"/>
      <c r="T21" s="1110"/>
      <c r="U21" s="1111"/>
      <c r="V21" s="1127"/>
      <c r="W21" s="1128"/>
      <c r="X21" s="1128"/>
      <c r="Y21" s="1128"/>
      <c r="Z21" s="1128"/>
      <c r="AA21" s="1129"/>
      <c r="AB21" s="1127"/>
      <c r="AC21" s="1128"/>
      <c r="AD21" s="1128"/>
      <c r="AE21" s="1128"/>
      <c r="AF21" s="1128"/>
      <c r="AG21" s="1129"/>
      <c r="AH21" s="1118"/>
      <c r="AI21" s="1119"/>
      <c r="AJ21" s="1119"/>
      <c r="AK21" s="1119"/>
      <c r="AL21" s="1119"/>
      <c r="AM21" s="1120"/>
      <c r="AN21" s="83"/>
      <c r="AO21" s="1161"/>
      <c r="AP21" s="1162"/>
      <c r="AQ21" s="1162"/>
      <c r="AR21" s="1162"/>
      <c r="AS21" s="1162"/>
      <c r="AT21" s="116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row>
    <row r="22" spans="1:80" x14ac:dyDescent="0.25">
      <c r="A22" s="83"/>
      <c r="B22" s="1144"/>
      <c r="C22" s="1144"/>
      <c r="D22" s="1145"/>
      <c r="E22" s="1134" t="s">
        <v>117</v>
      </c>
      <c r="F22" s="1135"/>
      <c r="G22" s="1135"/>
      <c r="H22" s="1135"/>
      <c r="I22" s="1136"/>
      <c r="J22" s="1112" t="str">
        <f ca="1">IF(AND('Riesgos de gestión'!$H$10="Media",'Riesgos de gestión'!$L$10="Leve"),CONCATENATE("R",'Riesgos de gestión'!$A$10),"")</f>
        <v/>
      </c>
      <c r="K22" s="1113"/>
      <c r="L22" s="1113" t="str">
        <f ca="1">IF(AND('Riesgos de gestión'!$H$16="Media",'Riesgos de gestión'!$L$16="Leve"),CONCATENATE("R",'Riesgos de gestión'!$A$16),"")</f>
        <v/>
      </c>
      <c r="M22" s="1113"/>
      <c r="N22" s="1113" t="str">
        <f ca="1">IF(AND('Riesgos de gestión'!$H$22="Media",'Riesgos de gestión'!$L$22="Leve"),CONCATENATE("R",'Riesgos de gestión'!$A$22),"")</f>
        <v/>
      </c>
      <c r="O22" s="1114"/>
      <c r="P22" s="1112" t="str">
        <f ca="1">IF(AND('Riesgos de gestión'!$H$10="Media",'Riesgos de gestión'!$L$10="Menor"),CONCATENATE("R",'Riesgos de gestión'!$A$10),"")</f>
        <v/>
      </c>
      <c r="Q22" s="1113"/>
      <c r="R22" s="1113" t="str">
        <f ca="1">IF(AND('Riesgos de gestión'!$H$16="Media",'Riesgos de gestión'!$L$16="Menor"),CONCATENATE("R",'Riesgos de gestión'!$A$16),"")</f>
        <v/>
      </c>
      <c r="S22" s="1113"/>
      <c r="T22" s="1113" t="str">
        <f ca="1">IF(AND('Riesgos de gestión'!$H$22="Media",'Riesgos de gestión'!$L$22="Menor"),CONCATENATE("R",'Riesgos de gestión'!$A$22),"")</f>
        <v/>
      </c>
      <c r="U22" s="1114"/>
      <c r="V22" s="1112" t="str">
        <f ca="1">IF(AND('Riesgos de gestión'!$H$10="Media",'Riesgos de gestión'!$L$10="Moderado"),CONCATENATE("R",'Riesgos de gestión'!$A$10),"")</f>
        <v/>
      </c>
      <c r="W22" s="1113"/>
      <c r="X22" s="1113" t="str">
        <f ca="1">IF(AND('Riesgos de gestión'!$H$16="Media",'Riesgos de gestión'!$L$16="Moderado"),CONCATENATE("R",'Riesgos de gestión'!$A$16),"")</f>
        <v/>
      </c>
      <c r="Y22" s="1113"/>
      <c r="Z22" s="1113" t="str">
        <f ca="1">IF(AND('Riesgos de gestión'!$H$22="Media",'Riesgos de gestión'!$L$22="Moderado"),CONCATENATE("R",'Riesgos de gestión'!$A$22),"")</f>
        <v/>
      </c>
      <c r="AA22" s="1114"/>
      <c r="AB22" s="1130" t="str">
        <f ca="1">IF(AND('Riesgos de gestión'!$H$10="Media",'Riesgos de gestión'!$L$10="Mayor"),CONCATENATE("R",'Riesgos de gestión'!$A$10),"")</f>
        <v/>
      </c>
      <c r="AC22" s="1131"/>
      <c r="AD22" s="1131" t="str">
        <f ca="1">IF(AND('Riesgos de gestión'!$H$16="Media",'Riesgos de gestión'!$L$16="Mayor"),CONCATENATE("R",'Riesgos de gestión'!$A$16),"")</f>
        <v/>
      </c>
      <c r="AE22" s="1131"/>
      <c r="AF22" s="1131" t="str">
        <f ca="1">IF(AND('Riesgos de gestión'!$H$22="Media",'Riesgos de gestión'!$L$22="Mayor"),CONCATENATE("R",'Riesgos de gestión'!$A$22),"")</f>
        <v/>
      </c>
      <c r="AG22" s="1132"/>
      <c r="AH22" s="1121" t="str">
        <f ca="1">IF(AND('Riesgos de gestión'!$H$10="Media",'Riesgos de gestión'!$L$10="Catastrófico"),CONCATENATE("R",'Riesgos de gestión'!$A$10),"")</f>
        <v/>
      </c>
      <c r="AI22" s="1122"/>
      <c r="AJ22" s="1122" t="str">
        <f ca="1">IF(AND('Riesgos de gestión'!$H$16="Media",'Riesgos de gestión'!$L$16="Catastrófico"),CONCATENATE("R",'Riesgos de gestión'!$A$16),"")</f>
        <v/>
      </c>
      <c r="AK22" s="1122"/>
      <c r="AL22" s="1122" t="str">
        <f ca="1">IF(AND('Riesgos de gestión'!$H$22="Media",'Riesgos de gestión'!$L$22="Catastrófico"),CONCATENATE("R",'Riesgos de gestión'!$A$22),"")</f>
        <v/>
      </c>
      <c r="AM22" s="1123"/>
      <c r="AN22" s="83"/>
      <c r="AO22" s="1164" t="s">
        <v>81</v>
      </c>
      <c r="AP22" s="1165"/>
      <c r="AQ22" s="1165"/>
      <c r="AR22" s="1165"/>
      <c r="AS22" s="1165"/>
      <c r="AT22" s="1166"/>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row>
    <row r="23" spans="1:80" x14ac:dyDescent="0.25">
      <c r="A23" s="83"/>
      <c r="B23" s="1144"/>
      <c r="C23" s="1144"/>
      <c r="D23" s="1145"/>
      <c r="E23" s="1137"/>
      <c r="F23" s="1138"/>
      <c r="G23" s="1138"/>
      <c r="H23" s="1138"/>
      <c r="I23" s="1139"/>
      <c r="J23" s="1106"/>
      <c r="K23" s="1107"/>
      <c r="L23" s="1107"/>
      <c r="M23" s="1107"/>
      <c r="N23" s="1107"/>
      <c r="O23" s="1108"/>
      <c r="P23" s="1106"/>
      <c r="Q23" s="1107"/>
      <c r="R23" s="1107"/>
      <c r="S23" s="1107"/>
      <c r="T23" s="1107"/>
      <c r="U23" s="1108"/>
      <c r="V23" s="1106"/>
      <c r="W23" s="1107"/>
      <c r="X23" s="1107"/>
      <c r="Y23" s="1107"/>
      <c r="Z23" s="1107"/>
      <c r="AA23" s="1108"/>
      <c r="AB23" s="1124"/>
      <c r="AC23" s="1125"/>
      <c r="AD23" s="1125"/>
      <c r="AE23" s="1125"/>
      <c r="AF23" s="1125"/>
      <c r="AG23" s="1126"/>
      <c r="AH23" s="1115"/>
      <c r="AI23" s="1116"/>
      <c r="AJ23" s="1116"/>
      <c r="AK23" s="1116"/>
      <c r="AL23" s="1116"/>
      <c r="AM23" s="1117"/>
      <c r="AN23" s="83"/>
      <c r="AO23" s="1167"/>
      <c r="AP23" s="1168"/>
      <c r="AQ23" s="1168"/>
      <c r="AR23" s="1168"/>
      <c r="AS23" s="1168"/>
      <c r="AT23" s="1169"/>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row>
    <row r="24" spans="1:80" x14ac:dyDescent="0.25">
      <c r="A24" s="83"/>
      <c r="B24" s="1144"/>
      <c r="C24" s="1144"/>
      <c r="D24" s="1145"/>
      <c r="E24" s="1137"/>
      <c r="F24" s="1138"/>
      <c r="G24" s="1138"/>
      <c r="H24" s="1138"/>
      <c r="I24" s="1139"/>
      <c r="J24" s="1106" t="str">
        <f ca="1">IF(AND('Riesgos de gestión'!$H$28="Media",'Riesgos de gestión'!$L$28="Leve"),CONCATENATE("R",'Riesgos de gestión'!$A$28),"")</f>
        <v/>
      </c>
      <c r="K24" s="1107"/>
      <c r="L24" s="1107" t="str">
        <f ca="1">IF(AND('Riesgos de gestión'!$H$34="Media",'Riesgos de gestión'!$L$34="Leve"),CONCATENATE("R",'Riesgos de gestión'!$A$34),"")</f>
        <v/>
      </c>
      <c r="M24" s="1107"/>
      <c r="N24" s="1107" t="str">
        <f ca="1">IF(AND('Riesgos de gestión'!$H$40="Media",'Riesgos de gestión'!$L$40="Leve"),CONCATENATE("R",'Riesgos de gestión'!$A$40),"")</f>
        <v/>
      </c>
      <c r="O24" s="1108"/>
      <c r="P24" s="1106" t="str">
        <f ca="1">IF(AND('Riesgos de gestión'!$H$28="Media",'Riesgos de gestión'!$L$28="Menor"),CONCATENATE("R",'Riesgos de gestión'!$A$28),"")</f>
        <v/>
      </c>
      <c r="Q24" s="1107"/>
      <c r="R24" s="1107" t="str">
        <f ca="1">IF(AND('Riesgos de gestión'!$H$34="Media",'Riesgos de gestión'!$L$34="Menor"),CONCATENATE("R",'Riesgos de gestión'!$A$34),"")</f>
        <v/>
      </c>
      <c r="S24" s="1107"/>
      <c r="T24" s="1107" t="str">
        <f ca="1">IF(AND('Riesgos de gestión'!$H$40="Media",'Riesgos de gestión'!$L$40="Menor"),CONCATENATE("R",'Riesgos de gestión'!$A$40),"")</f>
        <v/>
      </c>
      <c r="U24" s="1108"/>
      <c r="V24" s="1106" t="str">
        <f ca="1">IF(AND('Riesgos de gestión'!$H$28="Media",'Riesgos de gestión'!$L$28="Moderado"),CONCATENATE("R",'Riesgos de gestión'!$A$28),"")</f>
        <v/>
      </c>
      <c r="W24" s="1107"/>
      <c r="X24" s="1107" t="str">
        <f ca="1">IF(AND('Riesgos de gestión'!$H$34="Media",'Riesgos de gestión'!$L$34="Moderado"),CONCATENATE("R",'Riesgos de gestión'!$A$34),"")</f>
        <v/>
      </c>
      <c r="Y24" s="1107"/>
      <c r="Z24" s="1107" t="str">
        <f ca="1">IF(AND('Riesgos de gestión'!$H$40="Media",'Riesgos de gestión'!$L$40="Moderado"),CONCATENATE("R",'Riesgos de gestión'!$A$40),"")</f>
        <v/>
      </c>
      <c r="AA24" s="1108"/>
      <c r="AB24" s="1124" t="str">
        <f ca="1">IF(AND('Riesgos de gestión'!$H$28="Media",'Riesgos de gestión'!$L$28="Mayor"),CONCATENATE("R",'Riesgos de gestión'!$A$28),"")</f>
        <v/>
      </c>
      <c r="AC24" s="1125"/>
      <c r="AD24" s="1125" t="str">
        <f ca="1">IF(AND('Riesgos de gestión'!$H$34="Media",'Riesgos de gestión'!$L$34="Mayor"),CONCATENATE("R",'Riesgos de gestión'!$A$34),"")</f>
        <v/>
      </c>
      <c r="AE24" s="1125"/>
      <c r="AF24" s="1125" t="str">
        <f ca="1">IF(AND('Riesgos de gestión'!$H$40="Media",'Riesgos de gestión'!$L$40="Mayor"),CONCATENATE("R",'Riesgos de gestión'!$A$40),"")</f>
        <v/>
      </c>
      <c r="AG24" s="1126"/>
      <c r="AH24" s="1115" t="str">
        <f ca="1">IF(AND('Riesgos de gestión'!$H$28="Media",'Riesgos de gestión'!$L$28="Catastrófico"),CONCATENATE("R",'Riesgos de gestión'!$A$28),"")</f>
        <v/>
      </c>
      <c r="AI24" s="1116"/>
      <c r="AJ24" s="1116" t="str">
        <f ca="1">IF(AND('Riesgos de gestión'!$H$34="Media",'Riesgos de gestión'!$L$34="Catastrófico"),CONCATENATE("R",'Riesgos de gestión'!$A$34),"")</f>
        <v/>
      </c>
      <c r="AK24" s="1116"/>
      <c r="AL24" s="1116" t="str">
        <f ca="1">IF(AND('Riesgos de gestión'!$H$40="Media",'Riesgos de gestión'!$L$40="Catastrófico"),CONCATENATE("R",'Riesgos de gestión'!$A$40),"")</f>
        <v/>
      </c>
      <c r="AM24" s="1117"/>
      <c r="AN24" s="83"/>
      <c r="AO24" s="1167"/>
      <c r="AP24" s="1168"/>
      <c r="AQ24" s="1168"/>
      <c r="AR24" s="1168"/>
      <c r="AS24" s="1168"/>
      <c r="AT24" s="1169"/>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row>
    <row r="25" spans="1:80" x14ac:dyDescent="0.25">
      <c r="A25" s="83"/>
      <c r="B25" s="1144"/>
      <c r="C25" s="1144"/>
      <c r="D25" s="1145"/>
      <c r="E25" s="1137"/>
      <c r="F25" s="1138"/>
      <c r="G25" s="1138"/>
      <c r="H25" s="1138"/>
      <c r="I25" s="1139"/>
      <c r="J25" s="1106"/>
      <c r="K25" s="1107"/>
      <c r="L25" s="1107"/>
      <c r="M25" s="1107"/>
      <c r="N25" s="1107"/>
      <c r="O25" s="1108"/>
      <c r="P25" s="1106"/>
      <c r="Q25" s="1107"/>
      <c r="R25" s="1107"/>
      <c r="S25" s="1107"/>
      <c r="T25" s="1107"/>
      <c r="U25" s="1108"/>
      <c r="V25" s="1106"/>
      <c r="W25" s="1107"/>
      <c r="X25" s="1107"/>
      <c r="Y25" s="1107"/>
      <c r="Z25" s="1107"/>
      <c r="AA25" s="1108"/>
      <c r="AB25" s="1124"/>
      <c r="AC25" s="1125"/>
      <c r="AD25" s="1125"/>
      <c r="AE25" s="1125"/>
      <c r="AF25" s="1125"/>
      <c r="AG25" s="1126"/>
      <c r="AH25" s="1115"/>
      <c r="AI25" s="1116"/>
      <c r="AJ25" s="1116"/>
      <c r="AK25" s="1116"/>
      <c r="AL25" s="1116"/>
      <c r="AM25" s="1117"/>
      <c r="AN25" s="83"/>
      <c r="AO25" s="1167"/>
      <c r="AP25" s="1168"/>
      <c r="AQ25" s="1168"/>
      <c r="AR25" s="1168"/>
      <c r="AS25" s="1168"/>
      <c r="AT25" s="1169"/>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row>
    <row r="26" spans="1:80" x14ac:dyDescent="0.25">
      <c r="A26" s="83"/>
      <c r="B26" s="1144"/>
      <c r="C26" s="1144"/>
      <c r="D26" s="1145"/>
      <c r="E26" s="1137"/>
      <c r="F26" s="1138"/>
      <c r="G26" s="1138"/>
      <c r="H26" s="1138"/>
      <c r="I26" s="1139"/>
      <c r="J26" s="1106" t="str">
        <f ca="1">IF(AND('Riesgos de gestión'!$H$46="Media",'Riesgos de gestión'!$L$46="Leve"),CONCATENATE("R",'Riesgos de gestión'!$A$46),"")</f>
        <v/>
      </c>
      <c r="K26" s="1107"/>
      <c r="L26" s="1107" t="str">
        <f ca="1">IF(AND('Riesgos de gestión'!$H$52="Media",'Riesgos de gestión'!$L$52="Leve"),CONCATENATE("R",'Riesgos de gestión'!$A$52),"")</f>
        <v/>
      </c>
      <c r="M26" s="1107"/>
      <c r="N26" s="1107" t="str">
        <f ca="1">IF(AND('Riesgos de gestión'!$H$58="Media",'Riesgos de gestión'!$L$58="Leve"),CONCATENATE("R",'Riesgos de gestión'!$A$58),"")</f>
        <v/>
      </c>
      <c r="O26" s="1108"/>
      <c r="P26" s="1106" t="str">
        <f ca="1">IF(AND('Riesgos de gestión'!$H$46="Media",'Riesgos de gestión'!$L$46="Menor"),CONCATENATE("R",'Riesgos de gestión'!$A$46),"")</f>
        <v/>
      </c>
      <c r="Q26" s="1107"/>
      <c r="R26" s="1107" t="str">
        <f ca="1">IF(AND('Riesgos de gestión'!$H$52="Media",'Riesgos de gestión'!$L$52="Menor"),CONCATENATE("R",'Riesgos de gestión'!$A$52),"")</f>
        <v/>
      </c>
      <c r="S26" s="1107"/>
      <c r="T26" s="1107" t="str">
        <f ca="1">IF(AND('Riesgos de gestión'!$H$58="Media",'Riesgos de gestión'!$L$58="Menor"),CONCATENATE("R",'Riesgos de gestión'!$A$58),"")</f>
        <v/>
      </c>
      <c r="U26" s="1108"/>
      <c r="V26" s="1106" t="str">
        <f ca="1">IF(AND('Riesgos de gestión'!$H$46="Media",'Riesgos de gestión'!$L$46="Moderado"),CONCATENATE("R",'Riesgos de gestión'!$A$46),"")</f>
        <v/>
      </c>
      <c r="W26" s="1107"/>
      <c r="X26" s="1107" t="str">
        <f ca="1">IF(AND('Riesgos de gestión'!$H$52="Media",'Riesgos de gestión'!$L$52="Moderado"),CONCATENATE("R",'Riesgos de gestión'!$A$52),"")</f>
        <v/>
      </c>
      <c r="Y26" s="1107"/>
      <c r="Z26" s="1107" t="str">
        <f ca="1">IF(AND('Riesgos de gestión'!$H$58="Media",'Riesgos de gestión'!$L$58="Moderado"),CONCATENATE("R",'Riesgos de gestión'!$A$58),"")</f>
        <v/>
      </c>
      <c r="AA26" s="1108"/>
      <c r="AB26" s="1124" t="str">
        <f ca="1">IF(AND('Riesgos de gestión'!$H$46="Media",'Riesgos de gestión'!$L$46="Mayor"),CONCATENATE("R",'Riesgos de gestión'!$A$46),"")</f>
        <v/>
      </c>
      <c r="AC26" s="1125"/>
      <c r="AD26" s="1125" t="str">
        <f ca="1">IF(AND('Riesgos de gestión'!$H$52="Media",'Riesgos de gestión'!$L$52="Mayor"),CONCATENATE("R",'Riesgos de gestión'!$A$52),"")</f>
        <v/>
      </c>
      <c r="AE26" s="1125"/>
      <c r="AF26" s="1125" t="str">
        <f ca="1">IF(AND('Riesgos de gestión'!$H$58="Media",'Riesgos de gestión'!$L$58="Mayor"),CONCATENATE("R",'Riesgos de gestión'!$A$58),"")</f>
        <v/>
      </c>
      <c r="AG26" s="1126"/>
      <c r="AH26" s="1115" t="str">
        <f ca="1">IF(AND('Riesgos de gestión'!$H$46="Media",'Riesgos de gestión'!$L$46="Catastrófico"),CONCATENATE("R",'Riesgos de gestión'!$A$46),"")</f>
        <v/>
      </c>
      <c r="AI26" s="1116"/>
      <c r="AJ26" s="1116" t="str">
        <f ca="1">IF(AND('Riesgos de gestión'!$H$52="Media",'Riesgos de gestión'!$L$52="Catastrófico"),CONCATENATE("R",'Riesgos de gestión'!$A$52),"")</f>
        <v/>
      </c>
      <c r="AK26" s="1116"/>
      <c r="AL26" s="1116" t="str">
        <f ca="1">IF(AND('Riesgos de gestión'!$H$58="Media",'Riesgos de gestión'!$L$58="Catastrófico"),CONCATENATE("R",'Riesgos de gestión'!$A$58),"")</f>
        <v/>
      </c>
      <c r="AM26" s="1117"/>
      <c r="AN26" s="83"/>
      <c r="AO26" s="1167"/>
      <c r="AP26" s="1168"/>
      <c r="AQ26" s="1168"/>
      <c r="AR26" s="1168"/>
      <c r="AS26" s="1168"/>
      <c r="AT26" s="1169"/>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row>
    <row r="27" spans="1:80" x14ac:dyDescent="0.25">
      <c r="A27" s="83"/>
      <c r="B27" s="1144"/>
      <c r="C27" s="1144"/>
      <c r="D27" s="1145"/>
      <c r="E27" s="1137"/>
      <c r="F27" s="1138"/>
      <c r="G27" s="1138"/>
      <c r="H27" s="1138"/>
      <c r="I27" s="1139"/>
      <c r="J27" s="1106"/>
      <c r="K27" s="1107"/>
      <c r="L27" s="1107"/>
      <c r="M27" s="1107"/>
      <c r="N27" s="1107"/>
      <c r="O27" s="1108"/>
      <c r="P27" s="1106"/>
      <c r="Q27" s="1107"/>
      <c r="R27" s="1107"/>
      <c r="S27" s="1107"/>
      <c r="T27" s="1107"/>
      <c r="U27" s="1108"/>
      <c r="V27" s="1106"/>
      <c r="W27" s="1107"/>
      <c r="X27" s="1107"/>
      <c r="Y27" s="1107"/>
      <c r="Z27" s="1107"/>
      <c r="AA27" s="1108"/>
      <c r="AB27" s="1124"/>
      <c r="AC27" s="1125"/>
      <c r="AD27" s="1125"/>
      <c r="AE27" s="1125"/>
      <c r="AF27" s="1125"/>
      <c r="AG27" s="1126"/>
      <c r="AH27" s="1115"/>
      <c r="AI27" s="1116"/>
      <c r="AJ27" s="1116"/>
      <c r="AK27" s="1116"/>
      <c r="AL27" s="1116"/>
      <c r="AM27" s="1117"/>
      <c r="AN27" s="83"/>
      <c r="AO27" s="1167"/>
      <c r="AP27" s="1168"/>
      <c r="AQ27" s="1168"/>
      <c r="AR27" s="1168"/>
      <c r="AS27" s="1168"/>
      <c r="AT27" s="1169"/>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row>
    <row r="28" spans="1:80" x14ac:dyDescent="0.25">
      <c r="A28" s="83"/>
      <c r="B28" s="1144"/>
      <c r="C28" s="1144"/>
      <c r="D28" s="1145"/>
      <c r="E28" s="1137"/>
      <c r="F28" s="1138"/>
      <c r="G28" s="1138"/>
      <c r="H28" s="1138"/>
      <c r="I28" s="1139"/>
      <c r="J28" s="1106" t="str">
        <f ca="1">IF(AND('Riesgos de gestión'!$H$64="Media",'Riesgos de gestión'!$L$64="Leve"),CONCATENATE("R",'Riesgos de gestión'!$A$64),"")</f>
        <v/>
      </c>
      <c r="K28" s="1107"/>
      <c r="L28" s="1107" t="str">
        <f>IF(AND('Riesgos de gestión'!$H$70="Media",'Riesgos de gestión'!$L$70="Leve"),CONCATENATE("R",'Riesgos de gestión'!$A$70),"")</f>
        <v/>
      </c>
      <c r="M28" s="1107"/>
      <c r="N28" s="1107" t="str">
        <f>IF(AND('Riesgos de gestión'!$H$76="Media",'Riesgos de gestión'!$L$76="Leve"),CONCATENATE("R",'Riesgos de gestión'!$A$76),"")</f>
        <v/>
      </c>
      <c r="O28" s="1108"/>
      <c r="P28" s="1106" t="str">
        <f ca="1">IF(AND('Riesgos de gestión'!$H$64="Media",'Riesgos de gestión'!$L$64="Menor"),CONCATENATE("R",'Riesgos de gestión'!$A$64),"")</f>
        <v/>
      </c>
      <c r="Q28" s="1107"/>
      <c r="R28" s="1107" t="str">
        <f>IF(AND('Riesgos de gestión'!$H$70="Media",'Riesgos de gestión'!$L$70="Menor"),CONCATENATE("R",'Riesgos de gestión'!$A$70),"")</f>
        <v/>
      </c>
      <c r="S28" s="1107"/>
      <c r="T28" s="1107" t="str">
        <f>IF(AND('Riesgos de gestión'!$H$76="Media",'Riesgos de gestión'!$L$76="Menor"),CONCATENATE("R",'Riesgos de gestión'!$A$76),"")</f>
        <v/>
      </c>
      <c r="U28" s="1108"/>
      <c r="V28" s="1106" t="str">
        <f ca="1">IF(AND('Riesgos de gestión'!$H$64="Media",'Riesgos de gestión'!$L$64="Moderado"),CONCATENATE("R",'Riesgos de gestión'!$A$64),"")</f>
        <v/>
      </c>
      <c r="W28" s="1107"/>
      <c r="X28" s="1107" t="str">
        <f>IF(AND('Riesgos de gestión'!$H$70="Media",'Riesgos de gestión'!$L$70="Moderado"),CONCATENATE("R",'Riesgos de gestión'!$A$70),"")</f>
        <v/>
      </c>
      <c r="Y28" s="1107"/>
      <c r="Z28" s="1107" t="str">
        <f>IF(AND('Riesgos de gestión'!$H$76="Media",'Riesgos de gestión'!$L$76="Moderado"),CONCATENATE("R",'Riesgos de gestión'!$A$76),"")</f>
        <v/>
      </c>
      <c r="AA28" s="1108"/>
      <c r="AB28" s="1124" t="str">
        <f ca="1">IF(AND('Riesgos de gestión'!$H$64="Media",'Riesgos de gestión'!$L$64="Mayor"),CONCATENATE("R",'Riesgos de gestión'!$A$64),"")</f>
        <v/>
      </c>
      <c r="AC28" s="1125"/>
      <c r="AD28" s="1125" t="str">
        <f>IF(AND('Riesgos de gestión'!$H$70="Media",'Riesgos de gestión'!$L$70="Mayor"),CONCATENATE("R",'Riesgos de gestión'!$A$70),"")</f>
        <v/>
      </c>
      <c r="AE28" s="1125"/>
      <c r="AF28" s="1125" t="str">
        <f>IF(AND('Riesgos de gestión'!$H$76="Media",'Riesgos de gestión'!$L$76="Mayor"),CONCATENATE("R",'Riesgos de gestión'!$A$76),"")</f>
        <v/>
      </c>
      <c r="AG28" s="1126"/>
      <c r="AH28" s="1115" t="str">
        <f ca="1">IF(AND('Riesgos de gestión'!$H$64="Media",'Riesgos de gestión'!$L$64="Catastrófico"),CONCATENATE("R",'Riesgos de gestión'!$A$64),"")</f>
        <v/>
      </c>
      <c r="AI28" s="1116"/>
      <c r="AJ28" s="1116" t="str">
        <f>IF(AND('Riesgos de gestión'!$H$70="Media",'Riesgos de gestión'!$L$70="Catastrófico"),CONCATENATE("R",'Riesgos de gestión'!$A$70),"")</f>
        <v/>
      </c>
      <c r="AK28" s="1116"/>
      <c r="AL28" s="1116" t="str">
        <f>IF(AND('Riesgos de gestión'!$H$76="Media",'Riesgos de gestión'!$L$76="Catastrófico"),CONCATENATE("R",'Riesgos de gestión'!$A$76),"")</f>
        <v/>
      </c>
      <c r="AM28" s="1117"/>
      <c r="AN28" s="83"/>
      <c r="AO28" s="1167"/>
      <c r="AP28" s="1168"/>
      <c r="AQ28" s="1168"/>
      <c r="AR28" s="1168"/>
      <c r="AS28" s="1168"/>
      <c r="AT28" s="1169"/>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row>
    <row r="29" spans="1:80" ht="15.75" thickBot="1" x14ac:dyDescent="0.3">
      <c r="A29" s="83"/>
      <c r="B29" s="1144"/>
      <c r="C29" s="1144"/>
      <c r="D29" s="1145"/>
      <c r="E29" s="1140"/>
      <c r="F29" s="1141"/>
      <c r="G29" s="1141"/>
      <c r="H29" s="1141"/>
      <c r="I29" s="1142"/>
      <c r="J29" s="1106"/>
      <c r="K29" s="1107"/>
      <c r="L29" s="1107"/>
      <c r="M29" s="1107"/>
      <c r="N29" s="1107"/>
      <c r="O29" s="1108"/>
      <c r="P29" s="1109"/>
      <c r="Q29" s="1110"/>
      <c r="R29" s="1110"/>
      <c r="S29" s="1110"/>
      <c r="T29" s="1110"/>
      <c r="U29" s="1111"/>
      <c r="V29" s="1109"/>
      <c r="W29" s="1110"/>
      <c r="X29" s="1110"/>
      <c r="Y29" s="1110"/>
      <c r="Z29" s="1110"/>
      <c r="AA29" s="1111"/>
      <c r="AB29" s="1127"/>
      <c r="AC29" s="1128"/>
      <c r="AD29" s="1128"/>
      <c r="AE29" s="1128"/>
      <c r="AF29" s="1128"/>
      <c r="AG29" s="1129"/>
      <c r="AH29" s="1118"/>
      <c r="AI29" s="1119"/>
      <c r="AJ29" s="1119"/>
      <c r="AK29" s="1119"/>
      <c r="AL29" s="1119"/>
      <c r="AM29" s="1120"/>
      <c r="AN29" s="83"/>
      <c r="AO29" s="1170"/>
      <c r="AP29" s="1171"/>
      <c r="AQ29" s="1171"/>
      <c r="AR29" s="1171"/>
      <c r="AS29" s="1171"/>
      <c r="AT29" s="1172"/>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row>
    <row r="30" spans="1:80" x14ac:dyDescent="0.25">
      <c r="A30" s="83"/>
      <c r="B30" s="1144"/>
      <c r="C30" s="1144"/>
      <c r="D30" s="1145"/>
      <c r="E30" s="1134" t="s">
        <v>114</v>
      </c>
      <c r="F30" s="1135"/>
      <c r="G30" s="1135"/>
      <c r="H30" s="1135"/>
      <c r="I30" s="1135"/>
      <c r="J30" s="1103" t="str">
        <f ca="1">IF(AND('Riesgos de gestión'!$H$10="Baja",'Riesgos de gestión'!$L$10="Leve"),CONCATENATE("R",'Riesgos de gestión'!$A$10),"")</f>
        <v/>
      </c>
      <c r="K30" s="1104"/>
      <c r="L30" s="1104" t="str">
        <f ca="1">IF(AND('Riesgos de gestión'!$H$16="Baja",'Riesgos de gestión'!$L$16="Leve"),CONCATENATE("R",'Riesgos de gestión'!$A$16),"")</f>
        <v/>
      </c>
      <c r="M30" s="1104"/>
      <c r="N30" s="1104" t="str">
        <f ca="1">IF(AND('Riesgos de gestión'!$H$22="Baja",'Riesgos de gestión'!$L$22="Leve"),CONCATENATE("R",'Riesgos de gestión'!$A$22),"")</f>
        <v/>
      </c>
      <c r="O30" s="1105"/>
      <c r="P30" s="1113" t="str">
        <f ca="1">IF(AND('Riesgos de gestión'!$H$10="Baja",'Riesgos de gestión'!$L$10="Menor"),CONCATENATE("R",'Riesgos de gestión'!$A$10),"")</f>
        <v/>
      </c>
      <c r="Q30" s="1113"/>
      <c r="R30" s="1113" t="str">
        <f ca="1">IF(AND('Riesgos de gestión'!$H$16="Baja",'Riesgos de gestión'!$L$16="Menor"),CONCATENATE("R",'Riesgos de gestión'!$A$16),"")</f>
        <v/>
      </c>
      <c r="S30" s="1113"/>
      <c r="T30" s="1113" t="str">
        <f ca="1">IF(AND('Riesgos de gestión'!$H$22="Baja",'Riesgos de gestión'!$L$22="Menor"),CONCATENATE("R",'Riesgos de gestión'!$A$22),"")</f>
        <v/>
      </c>
      <c r="U30" s="1114"/>
      <c r="V30" s="1112" t="str">
        <f ca="1">IF(AND('Riesgos de gestión'!$H$10="Baja",'Riesgos de gestión'!$L$10="Moderado"),CONCATENATE("R",'Riesgos de gestión'!$A$10),"")</f>
        <v/>
      </c>
      <c r="W30" s="1113"/>
      <c r="X30" s="1113" t="str">
        <f ca="1">IF(AND('Riesgos de gestión'!$H$16="Baja",'Riesgos de gestión'!$L$16="Moderado"),CONCATENATE("R",'Riesgos de gestión'!$A$16),"")</f>
        <v/>
      </c>
      <c r="Y30" s="1113"/>
      <c r="Z30" s="1113" t="str">
        <f ca="1">IF(AND('Riesgos de gestión'!$H$22="Baja",'Riesgos de gestión'!$L$22="Moderado"),CONCATENATE("R",'Riesgos de gestión'!$A$22),"")</f>
        <v/>
      </c>
      <c r="AA30" s="1114"/>
      <c r="AB30" s="1130" t="str">
        <f ca="1">IF(AND('Riesgos de gestión'!$H$10="Baja",'Riesgos de gestión'!$L$10="Mayor"),CONCATENATE("R",'Riesgos de gestión'!$A$10),"")</f>
        <v/>
      </c>
      <c r="AC30" s="1131"/>
      <c r="AD30" s="1131" t="str">
        <f ca="1">IF(AND('Riesgos de gestión'!$H$16="Baja",'Riesgos de gestión'!$L$16="Mayor"),CONCATENATE("R",'Riesgos de gestión'!$A$16),"")</f>
        <v/>
      </c>
      <c r="AE30" s="1131"/>
      <c r="AF30" s="1131" t="str">
        <f ca="1">IF(AND('Riesgos de gestión'!$H$22="Baja",'Riesgos de gestión'!$L$22="Mayor"),CONCATENATE("R",'Riesgos de gestión'!$A$22),"")</f>
        <v/>
      </c>
      <c r="AG30" s="1132"/>
      <c r="AH30" s="1121" t="str">
        <f ca="1">IF(AND('Riesgos de gestión'!$H$10="Baja",'Riesgos de gestión'!$L$10="Catastrófico"),CONCATENATE("R",'Riesgos de gestión'!$A$10),"")</f>
        <v/>
      </c>
      <c r="AI30" s="1122"/>
      <c r="AJ30" s="1122" t="str">
        <f ca="1">IF(AND('Riesgos de gestión'!$H$16="Baja",'Riesgos de gestión'!$L$16="Catastrófico"),CONCATENATE("R",'Riesgos de gestión'!$A$16),"")</f>
        <v/>
      </c>
      <c r="AK30" s="1122"/>
      <c r="AL30" s="1122" t="str">
        <f ca="1">IF(AND('Riesgos de gestión'!$H$22="Baja",'Riesgos de gestión'!$L$22="Catastrófico"),CONCATENATE("R",'Riesgos de gestión'!$A$22),"")</f>
        <v/>
      </c>
      <c r="AM30" s="1123"/>
      <c r="AN30" s="83"/>
      <c r="AO30" s="1173" t="s">
        <v>82</v>
      </c>
      <c r="AP30" s="1174"/>
      <c r="AQ30" s="1174"/>
      <c r="AR30" s="1174"/>
      <c r="AS30" s="1174"/>
      <c r="AT30" s="1175"/>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row>
    <row r="31" spans="1:80" x14ac:dyDescent="0.25">
      <c r="A31" s="83"/>
      <c r="B31" s="1144"/>
      <c r="C31" s="1144"/>
      <c r="D31" s="1145"/>
      <c r="E31" s="1137"/>
      <c r="F31" s="1138"/>
      <c r="G31" s="1138"/>
      <c r="H31" s="1138"/>
      <c r="I31" s="1138"/>
      <c r="J31" s="1097"/>
      <c r="K31" s="1098"/>
      <c r="L31" s="1098"/>
      <c r="M31" s="1098"/>
      <c r="N31" s="1098"/>
      <c r="O31" s="1099"/>
      <c r="P31" s="1107"/>
      <c r="Q31" s="1107"/>
      <c r="R31" s="1107"/>
      <c r="S31" s="1107"/>
      <c r="T31" s="1107"/>
      <c r="U31" s="1108"/>
      <c r="V31" s="1106"/>
      <c r="W31" s="1107"/>
      <c r="X31" s="1107"/>
      <c r="Y31" s="1107"/>
      <c r="Z31" s="1107"/>
      <c r="AA31" s="1108"/>
      <c r="AB31" s="1124"/>
      <c r="AC31" s="1125"/>
      <c r="AD31" s="1125"/>
      <c r="AE31" s="1125"/>
      <c r="AF31" s="1125"/>
      <c r="AG31" s="1126"/>
      <c r="AH31" s="1115"/>
      <c r="AI31" s="1116"/>
      <c r="AJ31" s="1116"/>
      <c r="AK31" s="1116"/>
      <c r="AL31" s="1116"/>
      <c r="AM31" s="1117"/>
      <c r="AN31" s="83"/>
      <c r="AO31" s="1176"/>
      <c r="AP31" s="1177"/>
      <c r="AQ31" s="1177"/>
      <c r="AR31" s="1177"/>
      <c r="AS31" s="1177"/>
      <c r="AT31" s="1178"/>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row>
    <row r="32" spans="1:80" x14ac:dyDescent="0.25">
      <c r="A32" s="83"/>
      <c r="B32" s="1144"/>
      <c r="C32" s="1144"/>
      <c r="D32" s="1145"/>
      <c r="E32" s="1137"/>
      <c r="F32" s="1138"/>
      <c r="G32" s="1138"/>
      <c r="H32" s="1138"/>
      <c r="I32" s="1138"/>
      <c r="J32" s="1097" t="str">
        <f ca="1">IF(AND('Riesgos de gestión'!$H$28="Baja",'Riesgos de gestión'!$L$28="Leve"),CONCATENATE("R",'Riesgos de gestión'!$A$28),"")</f>
        <v/>
      </c>
      <c r="K32" s="1098"/>
      <c r="L32" s="1098" t="str">
        <f ca="1">IF(AND('Riesgos de gestión'!$H$34="Baja",'Riesgos de gestión'!$L$34="Leve"),CONCATENATE("R",'Riesgos de gestión'!$A$34),"")</f>
        <v/>
      </c>
      <c r="M32" s="1098"/>
      <c r="N32" s="1098" t="str">
        <f ca="1">IF(AND('Riesgos de gestión'!$H$40="Baja",'Riesgos de gestión'!$L$40="Leve"),CONCATENATE("R",'Riesgos de gestión'!$A$40),"")</f>
        <v/>
      </c>
      <c r="O32" s="1099"/>
      <c r="P32" s="1107" t="str">
        <f ca="1">IF(AND('Riesgos de gestión'!$H$28="Baja",'Riesgos de gestión'!$L$28="Menor"),CONCATENATE("R",'Riesgos de gestión'!$A$28),"")</f>
        <v/>
      </c>
      <c r="Q32" s="1107"/>
      <c r="R32" s="1107" t="str">
        <f ca="1">IF(AND('Riesgos de gestión'!$H$34="Baja",'Riesgos de gestión'!$L$34="Menor"),CONCATENATE("R",'Riesgos de gestión'!$A$34),"")</f>
        <v/>
      </c>
      <c r="S32" s="1107"/>
      <c r="T32" s="1107" t="str">
        <f ca="1">IF(AND('Riesgos de gestión'!$H$40="Baja",'Riesgos de gestión'!$L$40="Menor"),CONCATENATE("R",'Riesgos de gestión'!$A$40),"")</f>
        <v/>
      </c>
      <c r="U32" s="1108"/>
      <c r="V32" s="1106" t="str">
        <f ca="1">IF(AND('Riesgos de gestión'!$H$28="Baja",'Riesgos de gestión'!$L$28="Moderado"),CONCATENATE("R",'Riesgos de gestión'!$A$28),"")</f>
        <v/>
      </c>
      <c r="W32" s="1107"/>
      <c r="X32" s="1107" t="str">
        <f ca="1">IF(AND('Riesgos de gestión'!$H$34="Baja",'Riesgos de gestión'!$L$34="Moderado"),CONCATENATE("R",'Riesgos de gestión'!$A$34),"")</f>
        <v/>
      </c>
      <c r="Y32" s="1107"/>
      <c r="Z32" s="1107" t="str">
        <f ca="1">IF(AND('Riesgos de gestión'!$H$40="Baja",'Riesgos de gestión'!$L$40="Moderado"),CONCATENATE("R",'Riesgos de gestión'!$A$40),"")</f>
        <v/>
      </c>
      <c r="AA32" s="1108"/>
      <c r="AB32" s="1124" t="str">
        <f ca="1">IF(AND('Riesgos de gestión'!$H$28="Baja",'Riesgos de gestión'!$L$28="Mayor"),CONCATENATE("R",'Riesgos de gestión'!$A$28),"")</f>
        <v/>
      </c>
      <c r="AC32" s="1125"/>
      <c r="AD32" s="1125" t="str">
        <f ca="1">IF(AND('Riesgos de gestión'!$H$34="Baja",'Riesgos de gestión'!$L$34="Mayor"),CONCATENATE("R",'Riesgos de gestión'!$A$34),"")</f>
        <v/>
      </c>
      <c r="AE32" s="1125"/>
      <c r="AF32" s="1125" t="str">
        <f ca="1">IF(AND('Riesgos de gestión'!$H$40="Baja",'Riesgos de gestión'!$L$40="Mayor"),CONCATENATE("R",'Riesgos de gestión'!$A$40),"")</f>
        <v/>
      </c>
      <c r="AG32" s="1126"/>
      <c r="AH32" s="1115" t="str">
        <f ca="1">IF(AND('Riesgos de gestión'!$H$28="Baja",'Riesgos de gestión'!$L$28="Catastrófico"),CONCATENATE("R",'Riesgos de gestión'!$A$28),"")</f>
        <v/>
      </c>
      <c r="AI32" s="1116"/>
      <c r="AJ32" s="1116" t="str">
        <f ca="1">IF(AND('Riesgos de gestión'!$H$34="Baja",'Riesgos de gestión'!$L$34="Catastrófico"),CONCATENATE("R",'Riesgos de gestión'!$A$34),"")</f>
        <v/>
      </c>
      <c r="AK32" s="1116"/>
      <c r="AL32" s="1116" t="str">
        <f ca="1">IF(AND('Riesgos de gestión'!$H$40="Baja",'Riesgos de gestión'!$L$40="Catastrófico"),CONCATENATE("R",'Riesgos de gestión'!$A$40),"")</f>
        <v/>
      </c>
      <c r="AM32" s="1117"/>
      <c r="AN32" s="83"/>
      <c r="AO32" s="1176"/>
      <c r="AP32" s="1177"/>
      <c r="AQ32" s="1177"/>
      <c r="AR32" s="1177"/>
      <c r="AS32" s="1177"/>
      <c r="AT32" s="1178"/>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row>
    <row r="33" spans="1:80" x14ac:dyDescent="0.25">
      <c r="A33" s="83"/>
      <c r="B33" s="1144"/>
      <c r="C33" s="1144"/>
      <c r="D33" s="1145"/>
      <c r="E33" s="1137"/>
      <c r="F33" s="1138"/>
      <c r="G33" s="1138"/>
      <c r="H33" s="1138"/>
      <c r="I33" s="1138"/>
      <c r="J33" s="1097"/>
      <c r="K33" s="1098"/>
      <c r="L33" s="1098"/>
      <c r="M33" s="1098"/>
      <c r="N33" s="1098"/>
      <c r="O33" s="1099"/>
      <c r="P33" s="1107"/>
      <c r="Q33" s="1107"/>
      <c r="R33" s="1107"/>
      <c r="S33" s="1107"/>
      <c r="T33" s="1107"/>
      <c r="U33" s="1108"/>
      <c r="V33" s="1106"/>
      <c r="W33" s="1107"/>
      <c r="X33" s="1107"/>
      <c r="Y33" s="1107"/>
      <c r="Z33" s="1107"/>
      <c r="AA33" s="1108"/>
      <c r="AB33" s="1124"/>
      <c r="AC33" s="1125"/>
      <c r="AD33" s="1125"/>
      <c r="AE33" s="1125"/>
      <c r="AF33" s="1125"/>
      <c r="AG33" s="1126"/>
      <c r="AH33" s="1115"/>
      <c r="AI33" s="1116"/>
      <c r="AJ33" s="1116"/>
      <c r="AK33" s="1116"/>
      <c r="AL33" s="1116"/>
      <c r="AM33" s="1117"/>
      <c r="AN33" s="83"/>
      <c r="AO33" s="1176"/>
      <c r="AP33" s="1177"/>
      <c r="AQ33" s="1177"/>
      <c r="AR33" s="1177"/>
      <c r="AS33" s="1177"/>
      <c r="AT33" s="1178"/>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row>
    <row r="34" spans="1:80" x14ac:dyDescent="0.25">
      <c r="A34" s="83"/>
      <c r="B34" s="1144"/>
      <c r="C34" s="1144"/>
      <c r="D34" s="1145"/>
      <c r="E34" s="1137"/>
      <c r="F34" s="1138"/>
      <c r="G34" s="1138"/>
      <c r="H34" s="1138"/>
      <c r="I34" s="1138"/>
      <c r="J34" s="1097" t="str">
        <f ca="1">IF(AND('Riesgos de gestión'!$H$46="Baja",'Riesgos de gestión'!$L$46="Leve"),CONCATENATE("R",'Riesgos de gestión'!$A$46),"")</f>
        <v/>
      </c>
      <c r="K34" s="1098"/>
      <c r="L34" s="1098" t="str">
        <f ca="1">IF(AND('Riesgos de gestión'!$H$52="Baja",'Riesgos de gestión'!$L$52="Leve"),CONCATENATE("R",'Riesgos de gestión'!$A$52),"")</f>
        <v/>
      </c>
      <c r="M34" s="1098"/>
      <c r="N34" s="1098" t="str">
        <f ca="1">IF(AND('Riesgos de gestión'!$H$58="Baja",'Riesgos de gestión'!$L$58="Leve"),CONCATENATE("R",'Riesgos de gestión'!$A$58),"")</f>
        <v/>
      </c>
      <c r="O34" s="1099"/>
      <c r="P34" s="1107" t="str">
        <f ca="1">IF(AND('Riesgos de gestión'!$H$46="Baja",'Riesgos de gestión'!$L$46="Menor"),CONCATENATE("R",'Riesgos de gestión'!$A$46),"")</f>
        <v/>
      </c>
      <c r="Q34" s="1107"/>
      <c r="R34" s="1107" t="str">
        <f ca="1">IF(AND('Riesgos de gestión'!$H$52="Baja",'Riesgos de gestión'!$L$52="Menor"),CONCATENATE("R",'Riesgos de gestión'!$A$52),"")</f>
        <v/>
      </c>
      <c r="S34" s="1107"/>
      <c r="T34" s="1107" t="str">
        <f ca="1">IF(AND('Riesgos de gestión'!$H$58="Baja",'Riesgos de gestión'!$L$58="Menor"),CONCATENATE("R",'Riesgos de gestión'!$A$58),"")</f>
        <v/>
      </c>
      <c r="U34" s="1108"/>
      <c r="V34" s="1106" t="str">
        <f ca="1">IF(AND('Riesgos de gestión'!$H$46="Baja",'Riesgos de gestión'!$L$46="Moderado"),CONCATENATE("R",'Riesgos de gestión'!$A$46),"")</f>
        <v/>
      </c>
      <c r="W34" s="1107"/>
      <c r="X34" s="1107" t="str">
        <f ca="1">IF(AND('Riesgos de gestión'!$H$52="Baja",'Riesgos de gestión'!$L$52="Moderado"),CONCATENATE("R",'Riesgos de gestión'!$A$52),"")</f>
        <v/>
      </c>
      <c r="Y34" s="1107"/>
      <c r="Z34" s="1107" t="str">
        <f ca="1">IF(AND('Riesgos de gestión'!$H$58="Baja",'Riesgos de gestión'!$L$58="Moderado"),CONCATENATE("R",'Riesgos de gestión'!$A$58),"")</f>
        <v/>
      </c>
      <c r="AA34" s="1108"/>
      <c r="AB34" s="1124" t="str">
        <f ca="1">IF(AND('Riesgos de gestión'!$H$46="Baja",'Riesgos de gestión'!$L$46="Mayor"),CONCATENATE("R",'Riesgos de gestión'!$A$46),"")</f>
        <v/>
      </c>
      <c r="AC34" s="1125"/>
      <c r="AD34" s="1125" t="str">
        <f ca="1">IF(AND('Riesgos de gestión'!$H$52="Baja",'Riesgos de gestión'!$L$52="Mayor"),CONCATENATE("R",'Riesgos de gestión'!$A$52),"")</f>
        <v/>
      </c>
      <c r="AE34" s="1125"/>
      <c r="AF34" s="1125" t="str">
        <f ca="1">IF(AND('Riesgos de gestión'!$H$58="Baja",'Riesgos de gestión'!$L$58="Mayor"),CONCATENATE("R",'Riesgos de gestión'!$A$58),"")</f>
        <v/>
      </c>
      <c r="AG34" s="1126"/>
      <c r="AH34" s="1115" t="str">
        <f ca="1">IF(AND('Riesgos de gestión'!$H$46="Baja",'Riesgos de gestión'!$L$46="Catastrófico"),CONCATENATE("R",'Riesgos de gestión'!$A$46),"")</f>
        <v/>
      </c>
      <c r="AI34" s="1116"/>
      <c r="AJ34" s="1116" t="str">
        <f ca="1">IF(AND('Riesgos de gestión'!$H$52="Baja",'Riesgos de gestión'!$L$52="Catastrófico"),CONCATENATE("R",'Riesgos de gestión'!$A$52),"")</f>
        <v/>
      </c>
      <c r="AK34" s="1116"/>
      <c r="AL34" s="1116" t="str">
        <f ca="1">IF(AND('Riesgos de gestión'!$H$58="Baja",'Riesgos de gestión'!$L$58="Catastrófico"),CONCATENATE("R",'Riesgos de gestión'!$A$58),"")</f>
        <v/>
      </c>
      <c r="AM34" s="1117"/>
      <c r="AN34" s="83"/>
      <c r="AO34" s="1176"/>
      <c r="AP34" s="1177"/>
      <c r="AQ34" s="1177"/>
      <c r="AR34" s="1177"/>
      <c r="AS34" s="1177"/>
      <c r="AT34" s="1178"/>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row>
    <row r="35" spans="1:80" x14ac:dyDescent="0.25">
      <c r="A35" s="83"/>
      <c r="B35" s="1144"/>
      <c r="C35" s="1144"/>
      <c r="D35" s="1145"/>
      <c r="E35" s="1137"/>
      <c r="F35" s="1138"/>
      <c r="G35" s="1138"/>
      <c r="H35" s="1138"/>
      <c r="I35" s="1138"/>
      <c r="J35" s="1097"/>
      <c r="K35" s="1098"/>
      <c r="L35" s="1098"/>
      <c r="M35" s="1098"/>
      <c r="N35" s="1098"/>
      <c r="O35" s="1099"/>
      <c r="P35" s="1107"/>
      <c r="Q35" s="1107"/>
      <c r="R35" s="1107"/>
      <c r="S35" s="1107"/>
      <c r="T35" s="1107"/>
      <c r="U35" s="1108"/>
      <c r="V35" s="1106"/>
      <c r="W35" s="1107"/>
      <c r="X35" s="1107"/>
      <c r="Y35" s="1107"/>
      <c r="Z35" s="1107"/>
      <c r="AA35" s="1108"/>
      <c r="AB35" s="1124"/>
      <c r="AC35" s="1125"/>
      <c r="AD35" s="1125"/>
      <c r="AE35" s="1125"/>
      <c r="AF35" s="1125"/>
      <c r="AG35" s="1126"/>
      <c r="AH35" s="1115"/>
      <c r="AI35" s="1116"/>
      <c r="AJ35" s="1116"/>
      <c r="AK35" s="1116"/>
      <c r="AL35" s="1116"/>
      <c r="AM35" s="1117"/>
      <c r="AN35" s="83"/>
      <c r="AO35" s="1176"/>
      <c r="AP35" s="1177"/>
      <c r="AQ35" s="1177"/>
      <c r="AR35" s="1177"/>
      <c r="AS35" s="1177"/>
      <c r="AT35" s="1178"/>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x14ac:dyDescent="0.25">
      <c r="A36" s="83"/>
      <c r="B36" s="1144"/>
      <c r="C36" s="1144"/>
      <c r="D36" s="1145"/>
      <c r="E36" s="1137"/>
      <c r="F36" s="1138"/>
      <c r="G36" s="1138"/>
      <c r="H36" s="1138"/>
      <c r="I36" s="1138"/>
      <c r="J36" s="1097" t="str">
        <f ca="1">IF(AND('Riesgos de gestión'!$H$64="Baja",'Riesgos de gestión'!$L$64="Leve"),CONCATENATE("R",'Riesgos de gestión'!$A$64),"")</f>
        <v/>
      </c>
      <c r="K36" s="1098"/>
      <c r="L36" s="1098" t="str">
        <f>IF(AND('Riesgos de gestión'!$H$70="Baja",'Riesgos de gestión'!$L$70="Leve"),CONCATENATE("R",'Riesgos de gestión'!$A$70),"")</f>
        <v/>
      </c>
      <c r="M36" s="1098"/>
      <c r="N36" s="1098" t="str">
        <f>IF(AND('Riesgos de gestión'!$H$76="Baja",'Riesgos de gestión'!$L$76="Leve"),CONCATENATE("R",'Riesgos de gestión'!$A$76),"")</f>
        <v/>
      </c>
      <c r="O36" s="1099"/>
      <c r="P36" s="1107" t="str">
        <f ca="1">IF(AND('Riesgos de gestión'!$H$64="Baja",'Riesgos de gestión'!$L$64="Menor"),CONCATENATE("R",'Riesgos de gestión'!$A$64),"")</f>
        <v/>
      </c>
      <c r="Q36" s="1107"/>
      <c r="R36" s="1107" t="str">
        <f>IF(AND('Riesgos de gestión'!$H$70="Baja",'Riesgos de gestión'!$L$70="Menor"),CONCATENATE("R",'Riesgos de gestión'!$A$70),"")</f>
        <v/>
      </c>
      <c r="S36" s="1107"/>
      <c r="T36" s="1107" t="str">
        <f>IF(AND('Riesgos de gestión'!$H$76="Baja",'Riesgos de gestión'!$L$76="Menor"),CONCATENATE("R",'Riesgos de gestión'!$A$76),"")</f>
        <v/>
      </c>
      <c r="U36" s="1108"/>
      <c r="V36" s="1106" t="str">
        <f ca="1">IF(AND('Riesgos de gestión'!$H$64="Baja",'Riesgos de gestión'!$L$64="Moderado"),CONCATENATE("R",'Riesgos de gestión'!$A$64),"")</f>
        <v/>
      </c>
      <c r="W36" s="1107"/>
      <c r="X36" s="1107" t="str">
        <f>IF(AND('Riesgos de gestión'!$H$70="Baja",'Riesgos de gestión'!$L$70="Moderado"),CONCATENATE("R",'Riesgos de gestión'!$A$70),"")</f>
        <v/>
      </c>
      <c r="Y36" s="1107"/>
      <c r="Z36" s="1107" t="str">
        <f>IF(AND('Riesgos de gestión'!$H$76="Baja",'Riesgos de gestión'!$L$76="Moderado"),CONCATENATE("R",'Riesgos de gestión'!$A$76),"")</f>
        <v/>
      </c>
      <c r="AA36" s="1108"/>
      <c r="AB36" s="1124" t="str">
        <f ca="1">IF(AND('Riesgos de gestión'!$H$64="Baja",'Riesgos de gestión'!$L$64="Mayor"),CONCATENATE("R",'Riesgos de gestión'!$A$64),"")</f>
        <v/>
      </c>
      <c r="AC36" s="1125"/>
      <c r="AD36" s="1125" t="str">
        <f>IF(AND('Riesgos de gestión'!$H$70="Baja",'Riesgos de gestión'!$L$70="Mayor"),CONCATENATE("R",'Riesgos de gestión'!$A$70),"")</f>
        <v/>
      </c>
      <c r="AE36" s="1125"/>
      <c r="AF36" s="1125" t="str">
        <f>IF(AND('Riesgos de gestión'!$H$76="Baja",'Riesgos de gestión'!$L$76="Mayor"),CONCATENATE("R",'Riesgos de gestión'!$A$76),"")</f>
        <v/>
      </c>
      <c r="AG36" s="1126"/>
      <c r="AH36" s="1115" t="str">
        <f ca="1">IF(AND('Riesgos de gestión'!$H$64="Baja",'Riesgos de gestión'!$L$64="Catastrófico"),CONCATENATE("R",'Riesgos de gestión'!$A$64),"")</f>
        <v/>
      </c>
      <c r="AI36" s="1116"/>
      <c r="AJ36" s="1116" t="str">
        <f>IF(AND('Riesgos de gestión'!$H$70="Baja",'Riesgos de gestión'!$L$70="Catastrófico"),CONCATENATE("R",'Riesgos de gestión'!$A$70),"")</f>
        <v/>
      </c>
      <c r="AK36" s="1116"/>
      <c r="AL36" s="1116" t="str">
        <f>IF(AND('Riesgos de gestión'!$H$76="Baja",'Riesgos de gestión'!$L$76="Catastrófico"),CONCATENATE("R",'Riesgos de gestión'!$A$76),"")</f>
        <v/>
      </c>
      <c r="AM36" s="1117"/>
      <c r="AN36" s="83"/>
      <c r="AO36" s="1176"/>
      <c r="AP36" s="1177"/>
      <c r="AQ36" s="1177"/>
      <c r="AR36" s="1177"/>
      <c r="AS36" s="1177"/>
      <c r="AT36" s="1178"/>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row>
    <row r="37" spans="1:80" ht="15.75" thickBot="1" x14ac:dyDescent="0.3">
      <c r="A37" s="83"/>
      <c r="B37" s="1144"/>
      <c r="C37" s="1144"/>
      <c r="D37" s="1145"/>
      <c r="E37" s="1140"/>
      <c r="F37" s="1141"/>
      <c r="G37" s="1141"/>
      <c r="H37" s="1141"/>
      <c r="I37" s="1141"/>
      <c r="J37" s="1100"/>
      <c r="K37" s="1101"/>
      <c r="L37" s="1101"/>
      <c r="M37" s="1101"/>
      <c r="N37" s="1101"/>
      <c r="O37" s="1102"/>
      <c r="P37" s="1110"/>
      <c r="Q37" s="1110"/>
      <c r="R37" s="1110"/>
      <c r="S37" s="1110"/>
      <c r="T37" s="1110"/>
      <c r="U37" s="1111"/>
      <c r="V37" s="1109"/>
      <c r="W37" s="1110"/>
      <c r="X37" s="1110"/>
      <c r="Y37" s="1110"/>
      <c r="Z37" s="1110"/>
      <c r="AA37" s="1111"/>
      <c r="AB37" s="1127"/>
      <c r="AC37" s="1128"/>
      <c r="AD37" s="1128"/>
      <c r="AE37" s="1128"/>
      <c r="AF37" s="1128"/>
      <c r="AG37" s="1129"/>
      <c r="AH37" s="1118"/>
      <c r="AI37" s="1119"/>
      <c r="AJ37" s="1119"/>
      <c r="AK37" s="1119"/>
      <c r="AL37" s="1119"/>
      <c r="AM37" s="1120"/>
      <c r="AN37" s="83"/>
      <c r="AO37" s="1179"/>
      <c r="AP37" s="1180"/>
      <c r="AQ37" s="1180"/>
      <c r="AR37" s="1180"/>
      <c r="AS37" s="1180"/>
      <c r="AT37" s="1181"/>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row>
    <row r="38" spans="1:80" x14ac:dyDescent="0.25">
      <c r="A38" s="83"/>
      <c r="B38" s="1144"/>
      <c r="C38" s="1144"/>
      <c r="D38" s="1145"/>
      <c r="E38" s="1134" t="s">
        <v>113</v>
      </c>
      <c r="F38" s="1135"/>
      <c r="G38" s="1135"/>
      <c r="H38" s="1135"/>
      <c r="I38" s="1136"/>
      <c r="J38" s="1103" t="str">
        <f ca="1">IF(AND('Riesgos de gestión'!$H$10="Muy Baja",'Riesgos de gestión'!$L$10="Leve"),CONCATENATE("R",'Riesgos de gestión'!$A$10),"")</f>
        <v/>
      </c>
      <c r="K38" s="1104"/>
      <c r="L38" s="1104" t="str">
        <f ca="1">IF(AND('Riesgos de gestión'!$H$16="Muy Baja",'Riesgos de gestión'!$L$16="Leve"),CONCATENATE("R",'Riesgos de gestión'!$A$16),"")</f>
        <v/>
      </c>
      <c r="M38" s="1104"/>
      <c r="N38" s="1104" t="str">
        <f ca="1">IF(AND('Riesgos de gestión'!$H$22="Muy Baja",'Riesgos de gestión'!$L$22="Leve"),CONCATENATE("R",'Riesgos de gestión'!$A$22),"")</f>
        <v/>
      </c>
      <c r="O38" s="1105"/>
      <c r="P38" s="1103" t="str">
        <f ca="1">IF(AND('Riesgos de gestión'!$H$10="Muy Baja",'Riesgos de gestión'!$L$10="Menor"),CONCATENATE("R",'Riesgos de gestión'!$A$10),"")</f>
        <v/>
      </c>
      <c r="Q38" s="1104"/>
      <c r="R38" s="1104" t="str">
        <f ca="1">IF(AND('Riesgos de gestión'!$H$16="Muy Baja",'Riesgos de gestión'!$L$16="Menor"),CONCATENATE("R",'Riesgos de gestión'!$A$16),"")</f>
        <v/>
      </c>
      <c r="S38" s="1104"/>
      <c r="T38" s="1104" t="str">
        <f ca="1">IF(AND('Riesgos de gestión'!$H$22="Muy Baja",'Riesgos de gestión'!$L$22="Menor"),CONCATENATE("R",'Riesgos de gestión'!$A$22),"")</f>
        <v/>
      </c>
      <c r="U38" s="1105"/>
      <c r="V38" s="1112" t="str">
        <f ca="1">IF(AND('Riesgos de gestión'!$H$10="Muy Baja",'Riesgos de gestión'!$L$10="Moderado"),CONCATENATE("R",'Riesgos de gestión'!$A$10),"")</f>
        <v/>
      </c>
      <c r="W38" s="1113"/>
      <c r="X38" s="1113" t="str">
        <f ca="1">IF(AND('Riesgos de gestión'!$H$16="Muy Baja",'Riesgos de gestión'!$L$16="Moderado"),CONCATENATE("R",'Riesgos de gestión'!$A$16),"")</f>
        <v/>
      </c>
      <c r="Y38" s="1113"/>
      <c r="Z38" s="1113" t="str">
        <f ca="1">IF(AND('Riesgos de gestión'!$H$22="Muy Baja",'Riesgos de gestión'!$L$22="Moderado"),CONCATENATE("R",'Riesgos de gestión'!$A$22),"")</f>
        <v/>
      </c>
      <c r="AA38" s="1114"/>
      <c r="AB38" s="1130" t="str">
        <f ca="1">IF(AND('Riesgos de gestión'!$H$10="Muy Baja",'Riesgos de gestión'!$L$10="Mayor"),CONCATENATE("R",'Riesgos de gestión'!$A$10),"")</f>
        <v/>
      </c>
      <c r="AC38" s="1131"/>
      <c r="AD38" s="1131" t="str">
        <f ca="1">IF(AND('Riesgos de gestión'!$H$16="Muy Baja",'Riesgos de gestión'!$L$16="Mayor"),CONCATENATE("R",'Riesgos de gestión'!$A$16),"")</f>
        <v/>
      </c>
      <c r="AE38" s="1131"/>
      <c r="AF38" s="1131" t="str">
        <f ca="1">IF(AND('Riesgos de gestión'!$H$22="Muy Baja",'Riesgos de gestión'!$L$22="Mayor"),CONCATENATE("R",'Riesgos de gestión'!$A$22),"")</f>
        <v/>
      </c>
      <c r="AG38" s="1132"/>
      <c r="AH38" s="1121" t="str">
        <f ca="1">IF(AND('Riesgos de gestión'!$H$10="Muy Baja",'Riesgos de gestión'!$L$10="Catastrófico"),CONCATENATE("R",'Riesgos de gestión'!$A$10),"")</f>
        <v>R1</v>
      </c>
      <c r="AI38" s="1122"/>
      <c r="AJ38" s="1122" t="str">
        <f ca="1">IF(AND('Riesgos de gestión'!$H$16="Muy Baja",'Riesgos de gestión'!$L$16="Catastrófico"),CONCATENATE("R",'Riesgos de gestión'!$A$16),"")</f>
        <v/>
      </c>
      <c r="AK38" s="1122"/>
      <c r="AL38" s="1122" t="str">
        <f ca="1">IF(AND('Riesgos de gestión'!$H$22="Muy Baja",'Riesgos de gestión'!$L$22="Catastrófico"),CONCATENATE("R",'Riesgos de gestión'!$A$22),"")</f>
        <v/>
      </c>
      <c r="AM38" s="112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row>
    <row r="39" spans="1:80" x14ac:dyDescent="0.25">
      <c r="A39" s="83"/>
      <c r="B39" s="1144"/>
      <c r="C39" s="1144"/>
      <c r="D39" s="1145"/>
      <c r="E39" s="1137"/>
      <c r="F39" s="1138"/>
      <c r="G39" s="1138"/>
      <c r="H39" s="1138"/>
      <c r="I39" s="1139"/>
      <c r="J39" s="1097"/>
      <c r="K39" s="1098"/>
      <c r="L39" s="1098"/>
      <c r="M39" s="1098"/>
      <c r="N39" s="1098"/>
      <c r="O39" s="1099"/>
      <c r="P39" s="1097"/>
      <c r="Q39" s="1098"/>
      <c r="R39" s="1098"/>
      <c r="S39" s="1098"/>
      <c r="T39" s="1098"/>
      <c r="U39" s="1099"/>
      <c r="V39" s="1106"/>
      <c r="W39" s="1107"/>
      <c r="X39" s="1107"/>
      <c r="Y39" s="1107"/>
      <c r="Z39" s="1107"/>
      <c r="AA39" s="1108"/>
      <c r="AB39" s="1124"/>
      <c r="AC39" s="1125"/>
      <c r="AD39" s="1125"/>
      <c r="AE39" s="1125"/>
      <c r="AF39" s="1125"/>
      <c r="AG39" s="1126"/>
      <c r="AH39" s="1115"/>
      <c r="AI39" s="1116"/>
      <c r="AJ39" s="1116"/>
      <c r="AK39" s="1116"/>
      <c r="AL39" s="1116"/>
      <c r="AM39" s="1117"/>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row>
    <row r="40" spans="1:80" x14ac:dyDescent="0.25">
      <c r="A40" s="83"/>
      <c r="B40" s="1144"/>
      <c r="C40" s="1144"/>
      <c r="D40" s="1145"/>
      <c r="E40" s="1137"/>
      <c r="F40" s="1138"/>
      <c r="G40" s="1138"/>
      <c r="H40" s="1138"/>
      <c r="I40" s="1139"/>
      <c r="J40" s="1097" t="str">
        <f ca="1">IF(AND('Riesgos de gestión'!$H$28="Muy Baja",'Riesgos de gestión'!$L$28="Leve"),CONCATENATE("R",'Riesgos de gestión'!$A$28),"")</f>
        <v/>
      </c>
      <c r="K40" s="1098"/>
      <c r="L40" s="1098" t="str">
        <f ca="1">IF(AND('Riesgos de gestión'!$H$34="Muy Baja",'Riesgos de gestión'!$L$34="Leve"),CONCATENATE("R",'Riesgos de gestión'!$A$34),"")</f>
        <v/>
      </c>
      <c r="M40" s="1098"/>
      <c r="N40" s="1098" t="str">
        <f ca="1">IF(AND('Riesgos de gestión'!$H$40="Muy Baja",'Riesgos de gestión'!$L$40="Leve"),CONCATENATE("R",'Riesgos de gestión'!$A$40),"")</f>
        <v/>
      </c>
      <c r="O40" s="1099"/>
      <c r="P40" s="1097" t="str">
        <f ca="1">IF(AND('Riesgos de gestión'!$H$28="Muy Baja",'Riesgos de gestión'!$L$28="Menor"),CONCATENATE("R",'Riesgos de gestión'!$A$28),"")</f>
        <v/>
      </c>
      <c r="Q40" s="1098"/>
      <c r="R40" s="1098" t="str">
        <f ca="1">IF(AND('Riesgos de gestión'!$H$34="Muy Baja",'Riesgos de gestión'!$L$34="Menor"),CONCATENATE("R",'Riesgos de gestión'!$A$34),"")</f>
        <v/>
      </c>
      <c r="S40" s="1098"/>
      <c r="T40" s="1098" t="str">
        <f ca="1">IF(AND('Riesgos de gestión'!$H$40="Muy Baja",'Riesgos de gestión'!$L$40="Menor"),CONCATENATE("R",'Riesgos de gestión'!$A$40),"")</f>
        <v/>
      </c>
      <c r="U40" s="1099"/>
      <c r="V40" s="1106" t="str">
        <f ca="1">IF(AND('Riesgos de gestión'!$H$28="Muy Baja",'Riesgos de gestión'!$L$28="Moderado"),CONCATENATE("R",'Riesgos de gestión'!$A$28),"")</f>
        <v/>
      </c>
      <c r="W40" s="1107"/>
      <c r="X40" s="1107" t="str">
        <f ca="1">IF(AND('Riesgos de gestión'!$H$34="Muy Baja",'Riesgos de gestión'!$L$34="Moderado"),CONCATENATE("R",'Riesgos de gestión'!$A$34),"")</f>
        <v/>
      </c>
      <c r="Y40" s="1107"/>
      <c r="Z40" s="1107" t="str">
        <f ca="1">IF(AND('Riesgos de gestión'!$H$40="Muy Baja",'Riesgos de gestión'!$L$40="Moderado"),CONCATENATE("R",'Riesgos de gestión'!$A$40),"")</f>
        <v/>
      </c>
      <c r="AA40" s="1108"/>
      <c r="AB40" s="1124" t="str">
        <f ca="1">IF(AND('Riesgos de gestión'!$H$28="Muy Baja",'Riesgos de gestión'!$L$28="Mayor"),CONCATENATE("R",'Riesgos de gestión'!$A$28),"")</f>
        <v/>
      </c>
      <c r="AC40" s="1125"/>
      <c r="AD40" s="1125" t="str">
        <f ca="1">IF(AND('Riesgos de gestión'!$H$34="Muy Baja",'Riesgos de gestión'!$L$34="Mayor"),CONCATENATE("R",'Riesgos de gestión'!$A$34),"")</f>
        <v/>
      </c>
      <c r="AE40" s="1125"/>
      <c r="AF40" s="1125" t="str">
        <f ca="1">IF(AND('Riesgos de gestión'!$H$40="Muy Baja",'Riesgos de gestión'!$L$40="Mayor"),CONCATENATE("R",'Riesgos de gestión'!$A$40),"")</f>
        <v/>
      </c>
      <c r="AG40" s="1126"/>
      <c r="AH40" s="1115" t="str">
        <f ca="1">IF(AND('Riesgos de gestión'!$H$28="Muy Baja",'Riesgos de gestión'!$L$28="Catastrófico"),CONCATENATE("R",'Riesgos de gestión'!$A$28),"")</f>
        <v/>
      </c>
      <c r="AI40" s="1116"/>
      <c r="AJ40" s="1116" t="str">
        <f ca="1">IF(AND('Riesgos de gestión'!$H$34="Muy Baja",'Riesgos de gestión'!$L$34="Catastrófico"),CONCATENATE("R",'Riesgos de gestión'!$A$34),"")</f>
        <v/>
      </c>
      <c r="AK40" s="1116"/>
      <c r="AL40" s="1116" t="str">
        <f ca="1">IF(AND('Riesgos de gestión'!$H$40="Muy Baja",'Riesgos de gestión'!$L$40="Catastrófico"),CONCATENATE("R",'Riesgos de gestión'!$A$40),"")</f>
        <v/>
      </c>
      <c r="AM40" s="1117"/>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row>
    <row r="41" spans="1:80" x14ac:dyDescent="0.25">
      <c r="A41" s="83"/>
      <c r="B41" s="1144"/>
      <c r="C41" s="1144"/>
      <c r="D41" s="1145"/>
      <c r="E41" s="1137"/>
      <c r="F41" s="1138"/>
      <c r="G41" s="1138"/>
      <c r="H41" s="1138"/>
      <c r="I41" s="1139"/>
      <c r="J41" s="1097"/>
      <c r="K41" s="1098"/>
      <c r="L41" s="1098"/>
      <c r="M41" s="1098"/>
      <c r="N41" s="1098"/>
      <c r="O41" s="1099"/>
      <c r="P41" s="1097"/>
      <c r="Q41" s="1098"/>
      <c r="R41" s="1098"/>
      <c r="S41" s="1098"/>
      <c r="T41" s="1098"/>
      <c r="U41" s="1099"/>
      <c r="V41" s="1106"/>
      <c r="W41" s="1107"/>
      <c r="X41" s="1107"/>
      <c r="Y41" s="1107"/>
      <c r="Z41" s="1107"/>
      <c r="AA41" s="1108"/>
      <c r="AB41" s="1124"/>
      <c r="AC41" s="1125"/>
      <c r="AD41" s="1125"/>
      <c r="AE41" s="1125"/>
      <c r="AF41" s="1125"/>
      <c r="AG41" s="1126"/>
      <c r="AH41" s="1115"/>
      <c r="AI41" s="1116"/>
      <c r="AJ41" s="1116"/>
      <c r="AK41" s="1116"/>
      <c r="AL41" s="1116"/>
      <c r="AM41" s="1117"/>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row>
    <row r="42" spans="1:80" x14ac:dyDescent="0.25">
      <c r="A42" s="83"/>
      <c r="B42" s="1144"/>
      <c r="C42" s="1144"/>
      <c r="D42" s="1145"/>
      <c r="E42" s="1137"/>
      <c r="F42" s="1138"/>
      <c r="G42" s="1138"/>
      <c r="H42" s="1138"/>
      <c r="I42" s="1139"/>
      <c r="J42" s="1097" t="str">
        <f ca="1">IF(AND('Riesgos de gestión'!$H$46="Muy Baja",'Riesgos de gestión'!$L$46="Leve"),CONCATENATE("R",'Riesgos de gestión'!$A$46),"")</f>
        <v/>
      </c>
      <c r="K42" s="1098"/>
      <c r="L42" s="1098" t="str">
        <f ca="1">IF(AND('Riesgos de gestión'!$H$52="Muy Baja",'Riesgos de gestión'!$L$52="Leve"),CONCATENATE("R",'Riesgos de gestión'!$A$52),"")</f>
        <v/>
      </c>
      <c r="M42" s="1098"/>
      <c r="N42" s="1098" t="str">
        <f ca="1">IF(AND('Riesgos de gestión'!$H$58="Muy Baja",'Riesgos de gestión'!$L$58="Leve"),CONCATENATE("R",'Riesgos de gestión'!$A$58),"")</f>
        <v/>
      </c>
      <c r="O42" s="1099"/>
      <c r="P42" s="1097" t="str">
        <f ca="1">IF(AND('Riesgos de gestión'!$H$46="Muy Baja",'Riesgos de gestión'!$L$46="Menor"),CONCATENATE("R",'Riesgos de gestión'!$A$46),"")</f>
        <v/>
      </c>
      <c r="Q42" s="1098"/>
      <c r="R42" s="1098" t="str">
        <f ca="1">IF(AND('Riesgos de gestión'!$H$52="Muy Baja",'Riesgos de gestión'!$L$52="Menor"),CONCATENATE("R",'Riesgos de gestión'!$A$52),"")</f>
        <v/>
      </c>
      <c r="S42" s="1098"/>
      <c r="T42" s="1098" t="str">
        <f ca="1">IF(AND('Riesgos de gestión'!$H$58="Muy Baja",'Riesgos de gestión'!$L$58="Menor"),CONCATENATE("R",'Riesgos de gestión'!$A$58),"")</f>
        <v/>
      </c>
      <c r="U42" s="1099"/>
      <c r="V42" s="1106" t="str">
        <f ca="1">IF(AND('Riesgos de gestión'!$H$46="Muy Baja",'Riesgos de gestión'!$L$46="Moderado"),CONCATENATE("R",'Riesgos de gestión'!$A$46),"")</f>
        <v/>
      </c>
      <c r="W42" s="1107"/>
      <c r="X42" s="1107" t="str">
        <f ca="1">IF(AND('Riesgos de gestión'!$H$52="Muy Baja",'Riesgos de gestión'!$L$52="Moderado"),CONCATENATE("R",'Riesgos de gestión'!$A$52),"")</f>
        <v/>
      </c>
      <c r="Y42" s="1107"/>
      <c r="Z42" s="1107" t="str">
        <f ca="1">IF(AND('Riesgos de gestión'!$H$58="Muy Baja",'Riesgos de gestión'!$L$58="Moderado"),CONCATENATE("R",'Riesgos de gestión'!$A$58),"")</f>
        <v/>
      </c>
      <c r="AA42" s="1108"/>
      <c r="AB42" s="1124" t="str">
        <f ca="1">IF(AND('Riesgos de gestión'!$H$46="Muy Baja",'Riesgos de gestión'!$L$46="Mayor"),CONCATENATE("R",'Riesgos de gestión'!$A$46),"")</f>
        <v/>
      </c>
      <c r="AC42" s="1125"/>
      <c r="AD42" s="1125" t="str">
        <f ca="1">IF(AND('Riesgos de gestión'!$H$52="Muy Baja",'Riesgos de gestión'!$L$52="Mayor"),CONCATENATE("R",'Riesgos de gestión'!$A$52),"")</f>
        <v/>
      </c>
      <c r="AE42" s="1125"/>
      <c r="AF42" s="1125" t="str">
        <f ca="1">IF(AND('Riesgos de gestión'!$H$58="Muy Baja",'Riesgos de gestión'!$L$58="Mayor"),CONCATENATE("R",'Riesgos de gestión'!$A$58),"")</f>
        <v/>
      </c>
      <c r="AG42" s="1126"/>
      <c r="AH42" s="1115" t="str">
        <f ca="1">IF(AND('Riesgos de gestión'!$H$46="Muy Baja",'Riesgos de gestión'!$L$46="Catastrófico"),CONCATENATE("R",'Riesgos de gestión'!$A$46),"")</f>
        <v/>
      </c>
      <c r="AI42" s="1116"/>
      <c r="AJ42" s="1116" t="str">
        <f ca="1">IF(AND('Riesgos de gestión'!$H$52="Muy Baja",'Riesgos de gestión'!$L$52="Catastrófico"),CONCATENATE("R",'Riesgos de gestión'!$A$52),"")</f>
        <v/>
      </c>
      <c r="AK42" s="1116"/>
      <c r="AL42" s="1116" t="str">
        <f ca="1">IF(AND('Riesgos de gestión'!$H$58="Muy Baja",'Riesgos de gestión'!$L$58="Catastrófico"),CONCATENATE("R",'Riesgos de gestión'!$A$58),"")</f>
        <v/>
      </c>
      <c r="AM42" s="1117"/>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row>
    <row r="43" spans="1:80" x14ac:dyDescent="0.25">
      <c r="A43" s="83"/>
      <c r="B43" s="1144"/>
      <c r="C43" s="1144"/>
      <c r="D43" s="1145"/>
      <c r="E43" s="1137"/>
      <c r="F43" s="1138"/>
      <c r="G43" s="1138"/>
      <c r="H43" s="1138"/>
      <c r="I43" s="1139"/>
      <c r="J43" s="1097"/>
      <c r="K43" s="1098"/>
      <c r="L43" s="1098"/>
      <c r="M43" s="1098"/>
      <c r="N43" s="1098"/>
      <c r="O43" s="1099"/>
      <c r="P43" s="1097"/>
      <c r="Q43" s="1098"/>
      <c r="R43" s="1098"/>
      <c r="S43" s="1098"/>
      <c r="T43" s="1098"/>
      <c r="U43" s="1099"/>
      <c r="V43" s="1106"/>
      <c r="W43" s="1107"/>
      <c r="X43" s="1107"/>
      <c r="Y43" s="1107"/>
      <c r="Z43" s="1107"/>
      <c r="AA43" s="1108"/>
      <c r="AB43" s="1124"/>
      <c r="AC43" s="1125"/>
      <c r="AD43" s="1125"/>
      <c r="AE43" s="1125"/>
      <c r="AF43" s="1125"/>
      <c r="AG43" s="1126"/>
      <c r="AH43" s="1115"/>
      <c r="AI43" s="1116"/>
      <c r="AJ43" s="1116"/>
      <c r="AK43" s="1116"/>
      <c r="AL43" s="1116"/>
      <c r="AM43" s="1117"/>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row>
    <row r="44" spans="1:80" x14ac:dyDescent="0.25">
      <c r="A44" s="83"/>
      <c r="B44" s="1144"/>
      <c r="C44" s="1144"/>
      <c r="D44" s="1145"/>
      <c r="E44" s="1137"/>
      <c r="F44" s="1138"/>
      <c r="G44" s="1138"/>
      <c r="H44" s="1138"/>
      <c r="I44" s="1139"/>
      <c r="J44" s="1097" t="str">
        <f ca="1">IF(AND('Riesgos de gestión'!$H$64="Muy Baja",'Riesgos de gestión'!$L$64="Leve"),CONCATENATE("R",'Riesgos de gestión'!$A$64),"")</f>
        <v/>
      </c>
      <c r="K44" s="1098"/>
      <c r="L44" s="1098" t="str">
        <f>IF(AND('Riesgos de gestión'!$H$70="Muy Baja",'Riesgos de gestión'!$L$70="Leve"),CONCATENATE("R",'Riesgos de gestión'!$A$70),"")</f>
        <v/>
      </c>
      <c r="M44" s="1098"/>
      <c r="N44" s="1098" t="str">
        <f>IF(AND('Riesgos de gestión'!$H$76="Muy Baja",'Riesgos de gestión'!$L$76="Leve"),CONCATENATE("R",'Riesgos de gestión'!$A$76),"")</f>
        <v/>
      </c>
      <c r="O44" s="1099"/>
      <c r="P44" s="1097" t="str">
        <f ca="1">IF(AND('Riesgos de gestión'!$H$64="Muy Baja",'Riesgos de gestión'!$L$64="Menor"),CONCATENATE("R",'Riesgos de gestión'!$A$64),"")</f>
        <v/>
      </c>
      <c r="Q44" s="1098"/>
      <c r="R44" s="1098" t="str">
        <f>IF(AND('Riesgos de gestión'!$H$70="Muy Baja",'Riesgos de gestión'!$L$70="Menor"),CONCATENATE("R",'Riesgos de gestión'!$A$70),"")</f>
        <v/>
      </c>
      <c r="S44" s="1098"/>
      <c r="T44" s="1098" t="str">
        <f>IF(AND('Riesgos de gestión'!$H$76="Muy Baja",'Riesgos de gestión'!$L$76="Menor"),CONCATENATE("R",'Riesgos de gestión'!$A$76),"")</f>
        <v/>
      </c>
      <c r="U44" s="1099"/>
      <c r="V44" s="1106" t="str">
        <f ca="1">IF(AND('Riesgos de gestión'!$H$64="Muy Baja",'Riesgos de gestión'!$L$64="Moderado"),CONCATENATE("R",'Riesgos de gestión'!$A$64),"")</f>
        <v/>
      </c>
      <c r="W44" s="1107"/>
      <c r="X44" s="1107" t="str">
        <f>IF(AND('Riesgos de gestión'!$H$70="Muy Baja",'Riesgos de gestión'!$L$70="Moderado"),CONCATENATE("R",'Riesgos de gestión'!$A$70),"")</f>
        <v/>
      </c>
      <c r="Y44" s="1107"/>
      <c r="Z44" s="1107" t="str">
        <f>IF(AND('Riesgos de gestión'!$H$76="Muy Baja",'Riesgos de gestión'!$L$76="Moderado"),CONCATENATE("R",'Riesgos de gestión'!$A$76),"")</f>
        <v/>
      </c>
      <c r="AA44" s="1108"/>
      <c r="AB44" s="1124" t="str">
        <f ca="1">IF(AND('Riesgos de gestión'!$H$64="Muy Baja",'Riesgos de gestión'!$L$64="Mayor"),CONCATENATE("R",'Riesgos de gestión'!$A$64),"")</f>
        <v/>
      </c>
      <c r="AC44" s="1125"/>
      <c r="AD44" s="1125" t="str">
        <f>IF(AND('Riesgos de gestión'!$H$70="Muy Baja",'Riesgos de gestión'!$L$70="Mayor"),CONCATENATE("R",'Riesgos de gestión'!$A$70),"")</f>
        <v/>
      </c>
      <c r="AE44" s="1125"/>
      <c r="AF44" s="1125" t="str">
        <f>IF(AND('Riesgos de gestión'!$H$76="Muy Baja",'Riesgos de gestión'!$L$76="Mayor"),CONCATENATE("R",'Riesgos de gestión'!$A$76),"")</f>
        <v/>
      </c>
      <c r="AG44" s="1126"/>
      <c r="AH44" s="1115" t="str">
        <f ca="1">IF(AND('Riesgos de gestión'!$H$64="Muy Baja",'Riesgos de gestión'!$L$64="Catastrófico"),CONCATENATE("R",'Riesgos de gestión'!$A$64),"")</f>
        <v/>
      </c>
      <c r="AI44" s="1116"/>
      <c r="AJ44" s="1116" t="str">
        <f>IF(AND('Riesgos de gestión'!$H$70="Muy Baja",'Riesgos de gestión'!$L$70="Catastrófico"),CONCATENATE("R",'Riesgos de gestión'!$A$70),"")</f>
        <v/>
      </c>
      <c r="AK44" s="1116"/>
      <c r="AL44" s="1116" t="str">
        <f>IF(AND('Riesgos de gestión'!$H$76="Muy Baja",'Riesgos de gestión'!$L$76="Catastrófico"),CONCATENATE("R",'Riesgos de gestión'!$A$76),"")</f>
        <v/>
      </c>
      <c r="AM44" s="1117"/>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row>
    <row r="45" spans="1:80" ht="15.75" thickBot="1" x14ac:dyDescent="0.3">
      <c r="A45" s="83"/>
      <c r="B45" s="1144"/>
      <c r="C45" s="1144"/>
      <c r="D45" s="1145"/>
      <c r="E45" s="1140"/>
      <c r="F45" s="1141"/>
      <c r="G45" s="1141"/>
      <c r="H45" s="1141"/>
      <c r="I45" s="1142"/>
      <c r="J45" s="1100"/>
      <c r="K45" s="1101"/>
      <c r="L45" s="1101"/>
      <c r="M45" s="1101"/>
      <c r="N45" s="1101"/>
      <c r="O45" s="1102"/>
      <c r="P45" s="1100"/>
      <c r="Q45" s="1101"/>
      <c r="R45" s="1101"/>
      <c r="S45" s="1101"/>
      <c r="T45" s="1101"/>
      <c r="U45" s="1102"/>
      <c r="V45" s="1109"/>
      <c r="W45" s="1110"/>
      <c r="X45" s="1110"/>
      <c r="Y45" s="1110"/>
      <c r="Z45" s="1110"/>
      <c r="AA45" s="1111"/>
      <c r="AB45" s="1127"/>
      <c r="AC45" s="1128"/>
      <c r="AD45" s="1128"/>
      <c r="AE45" s="1128"/>
      <c r="AF45" s="1128"/>
      <c r="AG45" s="1129"/>
      <c r="AH45" s="1118"/>
      <c r="AI45" s="1119"/>
      <c r="AJ45" s="1119"/>
      <c r="AK45" s="1119"/>
      <c r="AL45" s="1119"/>
      <c r="AM45" s="1120"/>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row>
    <row r="46" spans="1:80" x14ac:dyDescent="0.25">
      <c r="A46" s="83"/>
      <c r="B46" s="83"/>
      <c r="C46" s="83"/>
      <c r="D46" s="83"/>
      <c r="E46" s="83"/>
      <c r="F46" s="83"/>
      <c r="G46" s="83"/>
      <c r="H46" s="83"/>
      <c r="I46" s="83"/>
      <c r="J46" s="1134" t="s">
        <v>112</v>
      </c>
      <c r="K46" s="1135"/>
      <c r="L46" s="1135"/>
      <c r="M46" s="1135"/>
      <c r="N46" s="1135"/>
      <c r="O46" s="1136"/>
      <c r="P46" s="1134" t="s">
        <v>111</v>
      </c>
      <c r="Q46" s="1135"/>
      <c r="R46" s="1135"/>
      <c r="S46" s="1135"/>
      <c r="T46" s="1135"/>
      <c r="U46" s="1136"/>
      <c r="V46" s="1134" t="s">
        <v>110</v>
      </c>
      <c r="W46" s="1135"/>
      <c r="X46" s="1135"/>
      <c r="Y46" s="1135"/>
      <c r="Z46" s="1135"/>
      <c r="AA46" s="1136"/>
      <c r="AB46" s="1134" t="s">
        <v>109</v>
      </c>
      <c r="AC46" s="1143"/>
      <c r="AD46" s="1135"/>
      <c r="AE46" s="1135"/>
      <c r="AF46" s="1135"/>
      <c r="AG46" s="1136"/>
      <c r="AH46" s="1134" t="s">
        <v>108</v>
      </c>
      <c r="AI46" s="1135"/>
      <c r="AJ46" s="1135"/>
      <c r="AK46" s="1135"/>
      <c r="AL46" s="1135"/>
      <c r="AM46" s="1136"/>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x14ac:dyDescent="0.25">
      <c r="A47" s="83"/>
      <c r="B47" s="83"/>
      <c r="C47" s="83"/>
      <c r="D47" s="83"/>
      <c r="E47" s="83"/>
      <c r="F47" s="83"/>
      <c r="G47" s="83"/>
      <c r="H47" s="83"/>
      <c r="I47" s="83"/>
      <c r="J47" s="1137"/>
      <c r="K47" s="1138"/>
      <c r="L47" s="1138"/>
      <c r="M47" s="1138"/>
      <c r="N47" s="1138"/>
      <c r="O47" s="1139"/>
      <c r="P47" s="1137"/>
      <c r="Q47" s="1138"/>
      <c r="R47" s="1138"/>
      <c r="S47" s="1138"/>
      <c r="T47" s="1138"/>
      <c r="U47" s="1139"/>
      <c r="V47" s="1137"/>
      <c r="W47" s="1138"/>
      <c r="X47" s="1138"/>
      <c r="Y47" s="1138"/>
      <c r="Z47" s="1138"/>
      <c r="AA47" s="1139"/>
      <c r="AB47" s="1137"/>
      <c r="AC47" s="1138"/>
      <c r="AD47" s="1138"/>
      <c r="AE47" s="1138"/>
      <c r="AF47" s="1138"/>
      <c r="AG47" s="1139"/>
      <c r="AH47" s="1137"/>
      <c r="AI47" s="1138"/>
      <c r="AJ47" s="1138"/>
      <c r="AK47" s="1138"/>
      <c r="AL47" s="1138"/>
      <c r="AM47" s="1139"/>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x14ac:dyDescent="0.25">
      <c r="A48" s="83"/>
      <c r="B48" s="83"/>
      <c r="C48" s="83"/>
      <c r="D48" s="83"/>
      <c r="E48" s="83"/>
      <c r="F48" s="83"/>
      <c r="G48" s="83"/>
      <c r="H48" s="83"/>
      <c r="I48" s="83"/>
      <c r="J48" s="1137"/>
      <c r="K48" s="1138"/>
      <c r="L48" s="1138"/>
      <c r="M48" s="1138"/>
      <c r="N48" s="1138"/>
      <c r="O48" s="1139"/>
      <c r="P48" s="1137"/>
      <c r="Q48" s="1138"/>
      <c r="R48" s="1138"/>
      <c r="S48" s="1138"/>
      <c r="T48" s="1138"/>
      <c r="U48" s="1139"/>
      <c r="V48" s="1137"/>
      <c r="W48" s="1138"/>
      <c r="X48" s="1138"/>
      <c r="Y48" s="1138"/>
      <c r="Z48" s="1138"/>
      <c r="AA48" s="1139"/>
      <c r="AB48" s="1137"/>
      <c r="AC48" s="1138"/>
      <c r="AD48" s="1138"/>
      <c r="AE48" s="1138"/>
      <c r="AF48" s="1138"/>
      <c r="AG48" s="1139"/>
      <c r="AH48" s="1137"/>
      <c r="AI48" s="1138"/>
      <c r="AJ48" s="1138"/>
      <c r="AK48" s="1138"/>
      <c r="AL48" s="1138"/>
      <c r="AM48" s="1139"/>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x14ac:dyDescent="0.25">
      <c r="A49" s="83"/>
      <c r="B49" s="83"/>
      <c r="C49" s="83"/>
      <c r="D49" s="83"/>
      <c r="E49" s="83"/>
      <c r="F49" s="83"/>
      <c r="G49" s="83"/>
      <c r="H49" s="83"/>
      <c r="I49" s="83"/>
      <c r="J49" s="1137"/>
      <c r="K49" s="1138"/>
      <c r="L49" s="1138"/>
      <c r="M49" s="1138"/>
      <c r="N49" s="1138"/>
      <c r="O49" s="1139"/>
      <c r="P49" s="1137"/>
      <c r="Q49" s="1138"/>
      <c r="R49" s="1138"/>
      <c r="S49" s="1138"/>
      <c r="T49" s="1138"/>
      <c r="U49" s="1139"/>
      <c r="V49" s="1137"/>
      <c r="W49" s="1138"/>
      <c r="X49" s="1138"/>
      <c r="Y49" s="1138"/>
      <c r="Z49" s="1138"/>
      <c r="AA49" s="1139"/>
      <c r="AB49" s="1137"/>
      <c r="AC49" s="1138"/>
      <c r="AD49" s="1138"/>
      <c r="AE49" s="1138"/>
      <c r="AF49" s="1138"/>
      <c r="AG49" s="1139"/>
      <c r="AH49" s="1137"/>
      <c r="AI49" s="1138"/>
      <c r="AJ49" s="1138"/>
      <c r="AK49" s="1138"/>
      <c r="AL49" s="1138"/>
      <c r="AM49" s="1139"/>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x14ac:dyDescent="0.25">
      <c r="A50" s="83"/>
      <c r="B50" s="83"/>
      <c r="C50" s="83"/>
      <c r="D50" s="83"/>
      <c r="E50" s="83"/>
      <c r="F50" s="83"/>
      <c r="G50" s="83"/>
      <c r="H50" s="83"/>
      <c r="I50" s="83"/>
      <c r="J50" s="1137"/>
      <c r="K50" s="1138"/>
      <c r="L50" s="1138"/>
      <c r="M50" s="1138"/>
      <c r="N50" s="1138"/>
      <c r="O50" s="1139"/>
      <c r="P50" s="1137"/>
      <c r="Q50" s="1138"/>
      <c r="R50" s="1138"/>
      <c r="S50" s="1138"/>
      <c r="T50" s="1138"/>
      <c r="U50" s="1139"/>
      <c r="V50" s="1137"/>
      <c r="W50" s="1138"/>
      <c r="X50" s="1138"/>
      <c r="Y50" s="1138"/>
      <c r="Z50" s="1138"/>
      <c r="AA50" s="1139"/>
      <c r="AB50" s="1137"/>
      <c r="AC50" s="1138"/>
      <c r="AD50" s="1138"/>
      <c r="AE50" s="1138"/>
      <c r="AF50" s="1138"/>
      <c r="AG50" s="1139"/>
      <c r="AH50" s="1137"/>
      <c r="AI50" s="1138"/>
      <c r="AJ50" s="1138"/>
      <c r="AK50" s="1138"/>
      <c r="AL50" s="1138"/>
      <c r="AM50" s="1139"/>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75" thickBot="1" x14ac:dyDescent="0.3">
      <c r="A51" s="83"/>
      <c r="B51" s="83"/>
      <c r="C51" s="83"/>
      <c r="D51" s="83"/>
      <c r="E51" s="83"/>
      <c r="F51" s="83"/>
      <c r="G51" s="83"/>
      <c r="H51" s="83"/>
      <c r="I51" s="83"/>
      <c r="J51" s="1140"/>
      <c r="K51" s="1141"/>
      <c r="L51" s="1141"/>
      <c r="M51" s="1141"/>
      <c r="N51" s="1141"/>
      <c r="O51" s="1142"/>
      <c r="P51" s="1140"/>
      <c r="Q51" s="1141"/>
      <c r="R51" s="1141"/>
      <c r="S51" s="1141"/>
      <c r="T51" s="1141"/>
      <c r="U51" s="1142"/>
      <c r="V51" s="1140"/>
      <c r="W51" s="1141"/>
      <c r="X51" s="1141"/>
      <c r="Y51" s="1141"/>
      <c r="Z51" s="1141"/>
      <c r="AA51" s="1142"/>
      <c r="AB51" s="1140"/>
      <c r="AC51" s="1141"/>
      <c r="AD51" s="1141"/>
      <c r="AE51" s="1141"/>
      <c r="AF51" s="1141"/>
      <c r="AG51" s="1142"/>
      <c r="AH51" s="1140"/>
      <c r="AI51" s="1141"/>
      <c r="AJ51" s="1141"/>
      <c r="AK51" s="1141"/>
      <c r="AL51" s="1141"/>
      <c r="AM51" s="1142"/>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x14ac:dyDescent="0.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x14ac:dyDescent="0.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row>
    <row r="63" spans="1:80" x14ac:dyDescent="0.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row>
    <row r="64" spans="1:80" x14ac:dyDescent="0.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row>
    <row r="65" spans="1:8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row>
    <row r="67" spans="1:8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row>
    <row r="68" spans="1:8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row>
    <row r="69" spans="1:8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row>
    <row r="70" spans="1:8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row>
    <row r="71" spans="1:8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row>
    <row r="72" spans="1:8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row>
    <row r="73" spans="1:8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row>
    <row r="74" spans="1:8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row>
    <row r="75" spans="1:8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row>
    <row r="76" spans="1:8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row>
    <row r="77" spans="1:8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row>
    <row r="78" spans="1:8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row>
    <row r="79" spans="1:8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row>
    <row r="80" spans="1:8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row>
    <row r="81" spans="1:63"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row>
    <row r="82" spans="1:63"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row>
    <row r="83" spans="1:63"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63"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row>
    <row r="85" spans="1:63"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row>
    <row r="86" spans="1:63"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row>
    <row r="87" spans="1:63"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63"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row>
    <row r="89" spans="1:63"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row>
    <row r="90" spans="1:63"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63"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row>
    <row r="92" spans="1:63"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row>
    <row r="93" spans="1:63"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row>
    <row r="94" spans="1:63"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row>
    <row r="95" spans="1:63"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row>
    <row r="96" spans="1:63"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row>
    <row r="97" spans="1:63"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row>
    <row r="98" spans="1:63"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row>
    <row r="99" spans="1:63"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row>
    <row r="100" spans="1:6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row>
    <row r="101" spans="1:6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row>
    <row r="102" spans="1:6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row>
    <row r="103" spans="1:6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6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row>
    <row r="105" spans="1:6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row>
    <row r="106" spans="1:6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row>
    <row r="107" spans="1:6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6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row>
    <row r="109" spans="1:6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row>
    <row r="111" spans="1:6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row>
    <row r="112" spans="1:6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row>
    <row r="113" spans="1:6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row>
    <row r="114" spans="1:6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row>
    <row r="115" spans="1:6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row>
    <row r="116" spans="1:6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row>
    <row r="117" spans="1:6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row>
    <row r="118" spans="1:6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row>
    <row r="119" spans="1:6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row>
    <row r="120" spans="1:6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row>
    <row r="121" spans="1:6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row>
    <row r="122" spans="1:63" x14ac:dyDescent="0.25">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row>
    <row r="123" spans="1:63" x14ac:dyDescent="0.2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row>
    <row r="124" spans="1:63" x14ac:dyDescent="0.2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row>
    <row r="125" spans="1:63" x14ac:dyDescent="0.25">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row>
    <row r="126" spans="1:63" x14ac:dyDescent="0.25">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row>
    <row r="127" spans="1:63" x14ac:dyDescent="0.25">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row>
    <row r="128" spans="1:63" x14ac:dyDescent="0.25">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row>
    <row r="129" spans="2:63" x14ac:dyDescent="0.25">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row>
    <row r="130" spans="2:63" x14ac:dyDescent="0.25">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row>
    <row r="131" spans="2:63" x14ac:dyDescent="0.25">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row>
    <row r="132" spans="2:63" x14ac:dyDescent="0.25">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row>
    <row r="133" spans="2:63" x14ac:dyDescent="0.25">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row>
    <row r="134" spans="2:63" x14ac:dyDescent="0.25">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row>
    <row r="135" spans="2:63" x14ac:dyDescent="0.25">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row>
    <row r="136" spans="2:63" x14ac:dyDescent="0.25">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row>
    <row r="137" spans="2:63" x14ac:dyDescent="0.25">
      <c r="B137" s="83"/>
      <c r="C137" s="83"/>
      <c r="D137" s="83"/>
      <c r="E137" s="83"/>
      <c r="F137" s="83"/>
      <c r="G137" s="83"/>
      <c r="H137" s="83"/>
      <c r="I137" s="83"/>
    </row>
    <row r="138" spans="2:63" x14ac:dyDescent="0.25">
      <c r="B138" s="83"/>
      <c r="C138" s="83"/>
      <c r="D138" s="83"/>
      <c r="E138" s="83"/>
      <c r="F138" s="83"/>
      <c r="G138" s="83"/>
      <c r="H138" s="83"/>
      <c r="I138" s="83"/>
    </row>
    <row r="139" spans="2:63" x14ac:dyDescent="0.25">
      <c r="B139" s="83"/>
      <c r="C139" s="83"/>
      <c r="D139" s="83"/>
      <c r="E139" s="83"/>
      <c r="F139" s="83"/>
      <c r="G139" s="83"/>
      <c r="H139" s="83"/>
      <c r="I139" s="83"/>
    </row>
    <row r="140" spans="2:63" x14ac:dyDescent="0.25">
      <c r="B140" s="83"/>
      <c r="C140" s="83"/>
      <c r="D140" s="83"/>
      <c r="E140" s="83"/>
      <c r="F140" s="83"/>
      <c r="G140" s="83"/>
      <c r="H140" s="83"/>
      <c r="I140" s="83"/>
    </row>
  </sheetData>
  <sheetProtection algorithmName="SHA-512" hashValue="kpXlidzmWxbP3brn8k4eIEWxhYHkoNV8mMuhH1lPT/xypiCOesm15jiCfvbsOoPDCD8/umcOeC7isQqNzzQXVQ==" saltValue="e8t6+j8RQ+iPDyNDapgnxw==" spinCount="100000" sheet="1" objects="1" scenarios="1"/>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M248"/>
  <sheetViews>
    <sheetView zoomScale="50" zoomScaleNormal="50" workbookViewId="0">
      <selection activeCell="B2" sqref="B2:AT6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ht="18" customHeight="1" x14ac:dyDescent="0.25">
      <c r="A2" s="83"/>
      <c r="B2" s="1211" t="s">
        <v>160</v>
      </c>
      <c r="C2" s="1212"/>
      <c r="D2" s="1212"/>
      <c r="E2" s="1212"/>
      <c r="F2" s="1212"/>
      <c r="G2" s="1212"/>
      <c r="H2" s="1212"/>
      <c r="I2" s="1212"/>
      <c r="J2" s="1133" t="s">
        <v>2</v>
      </c>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ht="18.75" customHeight="1" x14ac:dyDescent="0.25">
      <c r="A3" s="83"/>
      <c r="B3" s="1212"/>
      <c r="C3" s="1212"/>
      <c r="D3" s="1212"/>
      <c r="E3" s="1212"/>
      <c r="F3" s="1212"/>
      <c r="G3" s="1212"/>
      <c r="H3" s="1212"/>
      <c r="I3" s="1212"/>
      <c r="J3" s="1133"/>
      <c r="K3" s="1133"/>
      <c r="L3" s="1133"/>
      <c r="M3" s="1133"/>
      <c r="N3" s="1133"/>
      <c r="O3" s="1133"/>
      <c r="P3" s="1133"/>
      <c r="Q3" s="1133"/>
      <c r="R3" s="1133"/>
      <c r="S3" s="1133"/>
      <c r="T3" s="1133"/>
      <c r="U3" s="1133"/>
      <c r="V3" s="1133"/>
      <c r="W3" s="1133"/>
      <c r="X3" s="1133"/>
      <c r="Y3" s="1133"/>
      <c r="Z3" s="1133"/>
      <c r="AA3" s="1133"/>
      <c r="AB3" s="1133"/>
      <c r="AC3" s="1133"/>
      <c r="AD3" s="1133"/>
      <c r="AE3" s="1133"/>
      <c r="AF3" s="1133"/>
      <c r="AG3" s="1133"/>
      <c r="AH3" s="1133"/>
      <c r="AI3" s="1133"/>
      <c r="AJ3" s="1133"/>
      <c r="AK3" s="1133"/>
      <c r="AL3" s="1133"/>
      <c r="AM3" s="113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ht="15" customHeight="1" x14ac:dyDescent="0.25">
      <c r="A4" s="83"/>
      <c r="B4" s="1212"/>
      <c r="C4" s="1212"/>
      <c r="D4" s="1212"/>
      <c r="E4" s="1212"/>
      <c r="F4" s="1212"/>
      <c r="G4" s="1212"/>
      <c r="H4" s="1212"/>
      <c r="I4" s="1212"/>
      <c r="J4" s="1133"/>
      <c r="K4" s="1133"/>
      <c r="L4" s="1133"/>
      <c r="M4" s="1133"/>
      <c r="N4" s="1133"/>
      <c r="O4" s="1133"/>
      <c r="P4" s="1133"/>
      <c r="Q4" s="1133"/>
      <c r="R4" s="1133"/>
      <c r="S4" s="1133"/>
      <c r="T4" s="1133"/>
      <c r="U4" s="1133"/>
      <c r="V4" s="1133"/>
      <c r="W4" s="1133"/>
      <c r="X4" s="1133"/>
      <c r="Y4" s="1133"/>
      <c r="Z4" s="1133"/>
      <c r="AA4" s="1133"/>
      <c r="AB4" s="1133"/>
      <c r="AC4" s="1133"/>
      <c r="AD4" s="1133"/>
      <c r="AE4" s="1133"/>
      <c r="AF4" s="1133"/>
      <c r="AG4" s="1133"/>
      <c r="AH4" s="1133"/>
      <c r="AI4" s="1133"/>
      <c r="AJ4" s="1133"/>
      <c r="AK4" s="1133"/>
      <c r="AL4" s="1133"/>
      <c r="AM4" s="113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91" ht="15" customHeight="1" x14ac:dyDescent="0.25">
      <c r="A6" s="83"/>
      <c r="B6" s="1144" t="s">
        <v>4</v>
      </c>
      <c r="C6" s="1144"/>
      <c r="D6" s="1145"/>
      <c r="E6" s="1182" t="s">
        <v>116</v>
      </c>
      <c r="F6" s="1183"/>
      <c r="G6" s="1183"/>
      <c r="H6" s="1183"/>
      <c r="I6" s="1184"/>
      <c r="J6" s="46" t="str">
        <f ca="1">IF(AND('Riesgos de gestión'!$Y$10="Muy Alta",'Riesgos de gestión'!$AA$10="Leve"),CONCATENATE("R1C",'Riesgos de gestión'!$O$10),"")</f>
        <v/>
      </c>
      <c r="K6" s="47" t="str">
        <f>IF(AND('Riesgos de gestión'!$Y$11="Muy Alta",'Riesgos de gestión'!$AA$11="Leve"),CONCATENATE("R1C",'Riesgos de gestión'!$O$11),"")</f>
        <v/>
      </c>
      <c r="L6" s="47" t="str">
        <f>IF(AND('Riesgos de gestión'!$Y$12="Muy Alta",'Riesgos de gestión'!$AA$12="Leve"),CONCATENATE("R1C",'Riesgos de gestión'!$O$12),"")</f>
        <v/>
      </c>
      <c r="M6" s="47" t="str">
        <f>IF(AND('Riesgos de gestión'!$Y$13="Muy Alta",'Riesgos de gestión'!$AA$13="Leve"),CONCATENATE("R1C",'Riesgos de gestión'!$O$13),"")</f>
        <v/>
      </c>
      <c r="N6" s="47" t="str">
        <f>IF(AND('Riesgos de gestión'!$Y$14="Muy Alta",'Riesgos de gestión'!$AA$14="Leve"),CONCATENATE("R1C",'Riesgos de gestión'!$O$14),"")</f>
        <v/>
      </c>
      <c r="O6" s="48" t="str">
        <f>IF(AND('Riesgos de gestión'!$Y$15="Muy Alta",'Riesgos de gestión'!$AA$15="Leve"),CONCATENATE("R1C",'Riesgos de gestión'!$O$15),"")</f>
        <v/>
      </c>
      <c r="P6" s="46" t="str">
        <f ca="1">IF(AND('Riesgos de gestión'!$Y$10="Muy Alta",'Riesgos de gestión'!$AA$10="Menor"),CONCATENATE("R1C",'Riesgos de gestión'!$O$10),"")</f>
        <v/>
      </c>
      <c r="Q6" s="47" t="str">
        <f>IF(AND('Riesgos de gestión'!$Y$11="Muy Alta",'Riesgos de gestión'!$AA$11="Menor"),CONCATENATE("R1C",'Riesgos de gestión'!$O$11),"")</f>
        <v/>
      </c>
      <c r="R6" s="47" t="str">
        <f>IF(AND('Riesgos de gestión'!$Y$12="Muy Alta",'Riesgos de gestión'!$AA$12="Menor"),CONCATENATE("R1C",'Riesgos de gestión'!$O$12),"")</f>
        <v/>
      </c>
      <c r="S6" s="47" t="str">
        <f>IF(AND('Riesgos de gestión'!$Y$13="Muy Alta",'Riesgos de gestión'!$AA$13="Menor"),CONCATENATE("R1C",'Riesgos de gestión'!$O$13),"")</f>
        <v/>
      </c>
      <c r="T6" s="47" t="str">
        <f>IF(AND('Riesgos de gestión'!$Y$14="Muy Alta",'Riesgos de gestión'!$AA$14="Menor"),CONCATENATE("R1C",'Riesgos de gestión'!$O$14),"")</f>
        <v/>
      </c>
      <c r="U6" s="48" t="str">
        <f>IF(AND('Riesgos de gestión'!$Y$15="Muy Alta",'Riesgos de gestión'!$AA$15="Menor"),CONCATENATE("R1C",'Riesgos de gestión'!$O$15),"")</f>
        <v/>
      </c>
      <c r="V6" s="46" t="str">
        <f ca="1">IF(AND('Riesgos de gestión'!$Y$10="Muy Alta",'Riesgos de gestión'!$AA$10="Moderado"),CONCATENATE("R1C",'Riesgos de gestión'!$O$10),"")</f>
        <v/>
      </c>
      <c r="W6" s="47" t="str">
        <f>IF(AND('Riesgos de gestión'!$Y$11="Muy Alta",'Riesgos de gestión'!$AA$11="Moderado"),CONCATENATE("R1C",'Riesgos de gestión'!$O$11),"")</f>
        <v/>
      </c>
      <c r="X6" s="47" t="str">
        <f>IF(AND('Riesgos de gestión'!$Y$12="Muy Alta",'Riesgos de gestión'!$AA$12="Moderado"),CONCATENATE("R1C",'Riesgos de gestión'!$O$12),"")</f>
        <v/>
      </c>
      <c r="Y6" s="47" t="str">
        <f>IF(AND('Riesgos de gestión'!$Y$13="Muy Alta",'Riesgos de gestión'!$AA$13="Moderado"),CONCATENATE("R1C",'Riesgos de gestión'!$O$13),"")</f>
        <v/>
      </c>
      <c r="Z6" s="47" t="str">
        <f>IF(AND('Riesgos de gestión'!$Y$14="Muy Alta",'Riesgos de gestión'!$AA$14="Moderado"),CONCATENATE("R1C",'Riesgos de gestión'!$O$14),"")</f>
        <v/>
      </c>
      <c r="AA6" s="48" t="str">
        <f>IF(AND('Riesgos de gestión'!$Y$15="Muy Alta",'Riesgos de gestión'!$AA$15="Moderado"),CONCATENATE("R1C",'Riesgos de gestión'!$O$15),"")</f>
        <v/>
      </c>
      <c r="AB6" s="46" t="str">
        <f ca="1">IF(AND('Riesgos de gestión'!$Y$10="Muy Alta",'Riesgos de gestión'!$AA$10="Mayor"),CONCATENATE("R1C",'Riesgos de gestión'!$O$10),"")</f>
        <v/>
      </c>
      <c r="AC6" s="47" t="str">
        <f>IF(AND('Riesgos de gestión'!$Y$11="Muy Alta",'Riesgos de gestión'!$AA$11="Mayor"),CONCATENATE("R1C",'Riesgos de gestión'!$O$11),"")</f>
        <v/>
      </c>
      <c r="AD6" s="47" t="str">
        <f>IF(AND('Riesgos de gestión'!$Y$12="Muy Alta",'Riesgos de gestión'!$AA$12="Mayor"),CONCATENATE("R1C",'Riesgos de gestión'!$O$12),"")</f>
        <v/>
      </c>
      <c r="AE6" s="47" t="str">
        <f>IF(AND('Riesgos de gestión'!$Y$13="Muy Alta",'Riesgos de gestión'!$AA$13="Mayor"),CONCATENATE("R1C",'Riesgos de gestión'!$O$13),"")</f>
        <v/>
      </c>
      <c r="AF6" s="47" t="str">
        <f>IF(AND('Riesgos de gestión'!$Y$14="Muy Alta",'Riesgos de gestión'!$AA$14="Mayor"),CONCATENATE("R1C",'Riesgos de gestión'!$O$14),"")</f>
        <v/>
      </c>
      <c r="AG6" s="48" t="str">
        <f>IF(AND('Riesgos de gestión'!$Y$15="Muy Alta",'Riesgos de gestión'!$AA$15="Mayor"),CONCATENATE("R1C",'Riesgos de gestión'!$O$15),"")</f>
        <v/>
      </c>
      <c r="AH6" s="49" t="str">
        <f ca="1">IF(AND('Riesgos de gestión'!$Y$10="Muy Alta",'Riesgos de gestión'!$AA$10="Catastrófico"),CONCATENATE("R1C",'Riesgos de gestión'!$O$10),"")</f>
        <v/>
      </c>
      <c r="AI6" s="50" t="str">
        <f>IF(AND('Riesgos de gestión'!$Y$11="Muy Alta",'Riesgos de gestión'!$AA$11="Catastrófico"),CONCATENATE("R1C",'Riesgos de gestión'!$O$11),"")</f>
        <v/>
      </c>
      <c r="AJ6" s="50" t="str">
        <f>IF(AND('Riesgos de gestión'!$Y$12="Muy Alta",'Riesgos de gestión'!$AA$12="Catastrófico"),CONCATENATE("R1C",'Riesgos de gestión'!$O$12),"")</f>
        <v/>
      </c>
      <c r="AK6" s="50" t="str">
        <f>IF(AND('Riesgos de gestión'!$Y$13="Muy Alta",'Riesgos de gestión'!$AA$13="Catastrófico"),CONCATENATE("R1C",'Riesgos de gestión'!$O$13),"")</f>
        <v/>
      </c>
      <c r="AL6" s="50" t="str">
        <f>IF(AND('Riesgos de gestión'!$Y$14="Muy Alta",'Riesgos de gestión'!$AA$14="Catastrófico"),CONCATENATE("R1C",'Riesgos de gestión'!$O$14),"")</f>
        <v/>
      </c>
      <c r="AM6" s="51" t="str">
        <f>IF(AND('Riesgos de gestión'!$Y$15="Muy Alta",'Riesgos de gestión'!$AA$15="Catastrófico"),CONCATENATE("R1C",'Riesgos de gestión'!$O$15),"")</f>
        <v/>
      </c>
      <c r="AN6" s="83"/>
      <c r="AO6" s="1202" t="s">
        <v>79</v>
      </c>
      <c r="AP6" s="1203"/>
      <c r="AQ6" s="1203"/>
      <c r="AR6" s="1203"/>
      <c r="AS6" s="1203"/>
      <c r="AT6" s="1204"/>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row>
    <row r="7" spans="1:91" ht="15" customHeight="1" x14ac:dyDescent="0.25">
      <c r="A7" s="83"/>
      <c r="B7" s="1144"/>
      <c r="C7" s="1144"/>
      <c r="D7" s="1145"/>
      <c r="E7" s="1185"/>
      <c r="F7" s="1186"/>
      <c r="G7" s="1186"/>
      <c r="H7" s="1186"/>
      <c r="I7" s="1187"/>
      <c r="J7" s="52" t="str">
        <f>IF(AND('Riesgos de gestión'!$Y$16="Muy Alta",'Riesgos de gestión'!$AA$16="Leve"),CONCATENATE("R2C",'Riesgos de gestión'!$O$16),"")</f>
        <v/>
      </c>
      <c r="K7" s="53" t="str">
        <f>IF(AND('Riesgos de gestión'!$Y$17="Muy Alta",'Riesgos de gestión'!$AA$17="Leve"),CONCATENATE("R2C",'Riesgos de gestión'!$O$17),"")</f>
        <v/>
      </c>
      <c r="L7" s="53" t="str">
        <f>IF(AND('Riesgos de gestión'!$Y$18="Muy Alta",'Riesgos de gestión'!$AA$18="Leve"),CONCATENATE("R2C",'Riesgos de gestión'!$O$18),"")</f>
        <v/>
      </c>
      <c r="M7" s="53" t="str">
        <f>IF(AND('Riesgos de gestión'!$Y$19="Muy Alta",'Riesgos de gestión'!$AA$19="Leve"),CONCATENATE("R2C",'Riesgos de gestión'!$O$19),"")</f>
        <v/>
      </c>
      <c r="N7" s="53" t="str">
        <f>IF(AND('Riesgos de gestión'!$Y$20="Muy Alta",'Riesgos de gestión'!$AA$20="Leve"),CONCATENATE("R2C",'Riesgos de gestión'!$O$20),"")</f>
        <v/>
      </c>
      <c r="O7" s="54" t="str">
        <f>IF(AND('Riesgos de gestión'!$Y$21="Muy Alta",'Riesgos de gestión'!$AA$21="Leve"),CONCATENATE("R2C",'Riesgos de gestión'!$O$21),"")</f>
        <v/>
      </c>
      <c r="P7" s="52" t="str">
        <f>IF(AND('Riesgos de gestión'!$Y$16="Muy Alta",'Riesgos de gestión'!$AA$16="Menor"),CONCATENATE("R2C",'Riesgos de gestión'!$O$16),"")</f>
        <v/>
      </c>
      <c r="Q7" s="53" t="str">
        <f>IF(AND('Riesgos de gestión'!$Y$17="Muy Alta",'Riesgos de gestión'!$AA$17="Menor"),CONCATENATE("R2C",'Riesgos de gestión'!$O$17),"")</f>
        <v/>
      </c>
      <c r="R7" s="53" t="str">
        <f>IF(AND('Riesgos de gestión'!$Y$18="Muy Alta",'Riesgos de gestión'!$AA$18="Menor"),CONCATENATE("R2C",'Riesgos de gestión'!$O$18),"")</f>
        <v/>
      </c>
      <c r="S7" s="53" t="str">
        <f>IF(AND('Riesgos de gestión'!$Y$19="Muy Alta",'Riesgos de gestión'!$AA$19="Menor"),CONCATENATE("R2C",'Riesgos de gestión'!$O$19),"")</f>
        <v/>
      </c>
      <c r="T7" s="53" t="str">
        <f>IF(AND('Riesgos de gestión'!$Y$20="Muy Alta",'Riesgos de gestión'!$AA$20="Menor"),CONCATENATE("R2C",'Riesgos de gestión'!$O$20),"")</f>
        <v/>
      </c>
      <c r="U7" s="54" t="str">
        <f>IF(AND('Riesgos de gestión'!$Y$21="Muy Alta",'Riesgos de gestión'!$AA$21="Menor"),CONCATENATE("R2C",'Riesgos de gestión'!$O$21),"")</f>
        <v/>
      </c>
      <c r="V7" s="52" t="str">
        <f>IF(AND('Riesgos de gestión'!$Y$16="Muy Alta",'Riesgos de gestión'!$AA$16="Moderado"),CONCATENATE("R2C",'Riesgos de gestión'!$O$16),"")</f>
        <v/>
      </c>
      <c r="W7" s="53" t="str">
        <f>IF(AND('Riesgos de gestión'!$Y$17="Muy Alta",'Riesgos de gestión'!$AA$17="Moderado"),CONCATENATE("R2C",'Riesgos de gestión'!$O$17),"")</f>
        <v/>
      </c>
      <c r="X7" s="53" t="str">
        <f>IF(AND('Riesgos de gestión'!$Y$18="Muy Alta",'Riesgos de gestión'!$AA$18="Moderado"),CONCATENATE("R2C",'Riesgos de gestión'!$O$18),"")</f>
        <v/>
      </c>
      <c r="Y7" s="53" t="str">
        <f>IF(AND('Riesgos de gestión'!$Y$19="Muy Alta",'Riesgos de gestión'!$AA$19="Moderado"),CONCATENATE("R2C",'Riesgos de gestión'!$O$19),"")</f>
        <v/>
      </c>
      <c r="Z7" s="53" t="str">
        <f>IF(AND('Riesgos de gestión'!$Y$20="Muy Alta",'Riesgos de gestión'!$AA$20="Moderado"),CONCATENATE("R2C",'Riesgos de gestión'!$O$20),"")</f>
        <v/>
      </c>
      <c r="AA7" s="54" t="str">
        <f>IF(AND('Riesgos de gestión'!$Y$21="Muy Alta",'Riesgos de gestión'!$AA$21="Moderado"),CONCATENATE("R2C",'Riesgos de gestión'!$O$21),"")</f>
        <v/>
      </c>
      <c r="AB7" s="52" t="str">
        <f>IF(AND('Riesgos de gestión'!$Y$16="Muy Alta",'Riesgos de gestión'!$AA$16="Mayor"),CONCATENATE("R2C",'Riesgos de gestión'!$O$16),"")</f>
        <v/>
      </c>
      <c r="AC7" s="53" t="str">
        <f>IF(AND('Riesgos de gestión'!$Y$17="Muy Alta",'Riesgos de gestión'!$AA$17="Mayor"),CONCATENATE("R2C",'Riesgos de gestión'!$O$17),"")</f>
        <v/>
      </c>
      <c r="AD7" s="53" t="str">
        <f>IF(AND('Riesgos de gestión'!$Y$18="Muy Alta",'Riesgos de gestión'!$AA$18="Mayor"),CONCATENATE("R2C",'Riesgos de gestión'!$O$18),"")</f>
        <v/>
      </c>
      <c r="AE7" s="53" t="str">
        <f>IF(AND('Riesgos de gestión'!$Y$19="Muy Alta",'Riesgos de gestión'!$AA$19="Mayor"),CONCATENATE("R2C",'Riesgos de gestión'!$O$19),"")</f>
        <v/>
      </c>
      <c r="AF7" s="53" t="str">
        <f>IF(AND('Riesgos de gestión'!$Y$20="Muy Alta",'Riesgos de gestión'!$AA$20="Mayor"),CONCATENATE("R2C",'Riesgos de gestión'!$O$20),"")</f>
        <v/>
      </c>
      <c r="AG7" s="54" t="str">
        <f>IF(AND('Riesgos de gestión'!$Y$21="Muy Alta",'Riesgos de gestión'!$AA$21="Mayor"),CONCATENATE("R2C",'Riesgos de gestión'!$O$21),"")</f>
        <v/>
      </c>
      <c r="AH7" s="55" t="str">
        <f>IF(AND('Riesgos de gestión'!$Y$16="Muy Alta",'Riesgos de gestión'!$AA$16="Catastrófico"),CONCATENATE("R2C",'Riesgos de gestión'!$O$16),"")</f>
        <v/>
      </c>
      <c r="AI7" s="56" t="str">
        <f>IF(AND('Riesgos de gestión'!$Y$17="Muy Alta",'Riesgos de gestión'!$AA$17="Catastrófico"),CONCATENATE("R2C",'Riesgos de gestión'!$O$17),"")</f>
        <v/>
      </c>
      <c r="AJ7" s="56" t="str">
        <f>IF(AND('Riesgos de gestión'!$Y$18="Muy Alta",'Riesgos de gestión'!$AA$18="Catastrófico"),CONCATENATE("R2C",'Riesgos de gestión'!$O$18),"")</f>
        <v/>
      </c>
      <c r="AK7" s="56" t="str">
        <f>IF(AND('Riesgos de gestión'!$Y$19="Muy Alta",'Riesgos de gestión'!$AA$19="Catastrófico"),CONCATENATE("R2C",'Riesgos de gestión'!$O$19),"")</f>
        <v/>
      </c>
      <c r="AL7" s="56" t="str">
        <f>IF(AND('Riesgos de gestión'!$Y$20="Muy Alta",'Riesgos de gestión'!$AA$20="Catastrófico"),CONCATENATE("R2C",'Riesgos de gestión'!$O$20),"")</f>
        <v/>
      </c>
      <c r="AM7" s="57" t="str">
        <f>IF(AND('Riesgos de gestión'!$Y$21="Muy Alta",'Riesgos de gestión'!$AA$21="Catastrófico"),CONCATENATE("R2C",'Riesgos de gestión'!$O$21),"")</f>
        <v/>
      </c>
      <c r="AN7" s="83"/>
      <c r="AO7" s="1205"/>
      <c r="AP7" s="1206"/>
      <c r="AQ7" s="1206"/>
      <c r="AR7" s="1206"/>
      <c r="AS7" s="1206"/>
      <c r="AT7" s="1207"/>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row>
    <row r="8" spans="1:91" ht="15" customHeight="1" x14ac:dyDescent="0.25">
      <c r="A8" s="83"/>
      <c r="B8" s="1144"/>
      <c r="C8" s="1144"/>
      <c r="D8" s="1145"/>
      <c r="E8" s="1185"/>
      <c r="F8" s="1186"/>
      <c r="G8" s="1186"/>
      <c r="H8" s="1186"/>
      <c r="I8" s="1187"/>
      <c r="J8" s="52" t="str">
        <f>IF(AND('Riesgos de gestión'!$Y$22="Muy Alta",'Riesgos de gestión'!$AA$22="Leve"),CONCATENATE("R3C",'Riesgos de gestión'!$O$22),"")</f>
        <v/>
      </c>
      <c r="K8" s="53" t="str">
        <f>IF(AND('Riesgos de gestión'!$Y$23="Muy Alta",'Riesgos de gestión'!$AA$23="Leve"),CONCATENATE("R3C",'Riesgos de gestión'!$O$23),"")</f>
        <v/>
      </c>
      <c r="L8" s="53" t="str">
        <f>IF(AND('Riesgos de gestión'!$Y$24="Muy Alta",'Riesgos de gestión'!$AA$24="Leve"),CONCATENATE("R3C",'Riesgos de gestión'!$O$24),"")</f>
        <v/>
      </c>
      <c r="M8" s="53" t="str">
        <f>IF(AND('Riesgos de gestión'!$Y$25="Muy Alta",'Riesgos de gestión'!$AA$25="Leve"),CONCATENATE("R3C",'Riesgos de gestión'!$O$25),"")</f>
        <v/>
      </c>
      <c r="N8" s="53" t="str">
        <f>IF(AND('Riesgos de gestión'!$Y$26="Muy Alta",'Riesgos de gestión'!$AA$26="Leve"),CONCATENATE("R3C",'Riesgos de gestión'!$O$26),"")</f>
        <v/>
      </c>
      <c r="O8" s="54" t="str">
        <f>IF(AND('Riesgos de gestión'!$Y$27="Muy Alta",'Riesgos de gestión'!$AA$27="Leve"),CONCATENATE("R3C",'Riesgos de gestión'!$O$27),"")</f>
        <v/>
      </c>
      <c r="P8" s="52" t="str">
        <f>IF(AND('Riesgos de gestión'!$Y$22="Muy Alta",'Riesgos de gestión'!$AA$22="Menor"),CONCATENATE("R3C",'Riesgos de gestión'!$O$22),"")</f>
        <v/>
      </c>
      <c r="Q8" s="53" t="str">
        <f>IF(AND('Riesgos de gestión'!$Y$23="Muy Alta",'Riesgos de gestión'!$AA$23="Menor"),CONCATENATE("R3C",'Riesgos de gestión'!$O$23),"")</f>
        <v/>
      </c>
      <c r="R8" s="53" t="str">
        <f>IF(AND('Riesgos de gestión'!$Y$24="Muy Alta",'Riesgos de gestión'!$AA$24="Menor"),CONCATENATE("R3C",'Riesgos de gestión'!$O$24),"")</f>
        <v/>
      </c>
      <c r="S8" s="53" t="str">
        <f>IF(AND('Riesgos de gestión'!$Y$25="Muy Alta",'Riesgos de gestión'!$AA$25="Menor"),CONCATENATE("R3C",'Riesgos de gestión'!$O$25),"")</f>
        <v/>
      </c>
      <c r="T8" s="53" t="str">
        <f>IF(AND('Riesgos de gestión'!$Y$26="Muy Alta",'Riesgos de gestión'!$AA$26="Menor"),CONCATENATE("R3C",'Riesgos de gestión'!$O$26),"")</f>
        <v/>
      </c>
      <c r="U8" s="54" t="str">
        <f>IF(AND('Riesgos de gestión'!$Y$27="Muy Alta",'Riesgos de gestión'!$AA$27="Menor"),CONCATENATE("R3C",'Riesgos de gestión'!$O$27),"")</f>
        <v/>
      </c>
      <c r="V8" s="52" t="str">
        <f>IF(AND('Riesgos de gestión'!$Y$22="Muy Alta",'Riesgos de gestión'!$AA$22="Moderado"),CONCATENATE("R3C",'Riesgos de gestión'!$O$22),"")</f>
        <v/>
      </c>
      <c r="W8" s="53" t="str">
        <f>IF(AND('Riesgos de gestión'!$Y$23="Muy Alta",'Riesgos de gestión'!$AA$23="Moderado"),CONCATENATE("R3C",'Riesgos de gestión'!$O$23),"")</f>
        <v/>
      </c>
      <c r="X8" s="53" t="str">
        <f>IF(AND('Riesgos de gestión'!$Y$24="Muy Alta",'Riesgos de gestión'!$AA$24="Moderado"),CONCATENATE("R3C",'Riesgos de gestión'!$O$24),"")</f>
        <v/>
      </c>
      <c r="Y8" s="53" t="str">
        <f>IF(AND('Riesgos de gestión'!$Y$25="Muy Alta",'Riesgos de gestión'!$AA$25="Moderado"),CONCATENATE("R3C",'Riesgos de gestión'!$O$25),"")</f>
        <v/>
      </c>
      <c r="Z8" s="53" t="str">
        <f>IF(AND('Riesgos de gestión'!$Y$26="Muy Alta",'Riesgos de gestión'!$AA$26="Moderado"),CONCATENATE("R3C",'Riesgos de gestión'!$O$26),"")</f>
        <v/>
      </c>
      <c r="AA8" s="54" t="str">
        <f>IF(AND('Riesgos de gestión'!$Y$27="Muy Alta",'Riesgos de gestión'!$AA$27="Moderado"),CONCATENATE("R3C",'Riesgos de gestión'!$O$27),"")</f>
        <v/>
      </c>
      <c r="AB8" s="52" t="str">
        <f>IF(AND('Riesgos de gestión'!$Y$22="Muy Alta",'Riesgos de gestión'!$AA$22="Mayor"),CONCATENATE("R3C",'Riesgos de gestión'!$O$22),"")</f>
        <v/>
      </c>
      <c r="AC8" s="53" t="str">
        <f>IF(AND('Riesgos de gestión'!$Y$23="Muy Alta",'Riesgos de gestión'!$AA$23="Mayor"),CONCATENATE("R3C",'Riesgos de gestión'!$O$23),"")</f>
        <v/>
      </c>
      <c r="AD8" s="53" t="str">
        <f>IF(AND('Riesgos de gestión'!$Y$24="Muy Alta",'Riesgos de gestión'!$AA$24="Mayor"),CONCATENATE("R3C",'Riesgos de gestión'!$O$24),"")</f>
        <v/>
      </c>
      <c r="AE8" s="53" t="str">
        <f>IF(AND('Riesgos de gestión'!$Y$25="Muy Alta",'Riesgos de gestión'!$AA$25="Mayor"),CONCATENATE("R3C",'Riesgos de gestión'!$O$25),"")</f>
        <v/>
      </c>
      <c r="AF8" s="53" t="str">
        <f>IF(AND('Riesgos de gestión'!$Y$26="Muy Alta",'Riesgos de gestión'!$AA$26="Mayor"),CONCATENATE("R3C",'Riesgos de gestión'!$O$26),"")</f>
        <v/>
      </c>
      <c r="AG8" s="54" t="str">
        <f>IF(AND('Riesgos de gestión'!$Y$27="Muy Alta",'Riesgos de gestión'!$AA$27="Mayor"),CONCATENATE("R3C",'Riesgos de gestión'!$O$27),"")</f>
        <v/>
      </c>
      <c r="AH8" s="55" t="str">
        <f>IF(AND('Riesgos de gestión'!$Y$22="Muy Alta",'Riesgos de gestión'!$AA$22="Catastrófico"),CONCATENATE("R3C",'Riesgos de gestión'!$O$22),"")</f>
        <v/>
      </c>
      <c r="AI8" s="56" t="str">
        <f>IF(AND('Riesgos de gestión'!$Y$23="Muy Alta",'Riesgos de gestión'!$AA$23="Catastrófico"),CONCATENATE("R3C",'Riesgos de gestión'!$O$23),"")</f>
        <v/>
      </c>
      <c r="AJ8" s="56" t="str">
        <f>IF(AND('Riesgos de gestión'!$Y$24="Muy Alta",'Riesgos de gestión'!$AA$24="Catastrófico"),CONCATENATE("R3C",'Riesgos de gestión'!$O$24),"")</f>
        <v/>
      </c>
      <c r="AK8" s="56" t="str">
        <f>IF(AND('Riesgos de gestión'!$Y$25="Muy Alta",'Riesgos de gestión'!$AA$25="Catastrófico"),CONCATENATE("R3C",'Riesgos de gestión'!$O$25),"")</f>
        <v/>
      </c>
      <c r="AL8" s="56" t="str">
        <f>IF(AND('Riesgos de gestión'!$Y$26="Muy Alta",'Riesgos de gestión'!$AA$26="Catastrófico"),CONCATENATE("R3C",'Riesgos de gestión'!$O$26),"")</f>
        <v/>
      </c>
      <c r="AM8" s="57" t="str">
        <f>IF(AND('Riesgos de gestión'!$Y$27="Muy Alta",'Riesgos de gestión'!$AA$27="Catastrófico"),CONCATENATE("R3C",'Riesgos de gestión'!$O$27),"")</f>
        <v/>
      </c>
      <c r="AN8" s="83"/>
      <c r="AO8" s="1205"/>
      <c r="AP8" s="1206"/>
      <c r="AQ8" s="1206"/>
      <c r="AR8" s="1206"/>
      <c r="AS8" s="1206"/>
      <c r="AT8" s="1207"/>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row>
    <row r="9" spans="1:91" ht="15" customHeight="1" x14ac:dyDescent="0.25">
      <c r="A9" s="83"/>
      <c r="B9" s="1144"/>
      <c r="C9" s="1144"/>
      <c r="D9" s="1145"/>
      <c r="E9" s="1185"/>
      <c r="F9" s="1186"/>
      <c r="G9" s="1186"/>
      <c r="H9" s="1186"/>
      <c r="I9" s="1187"/>
      <c r="J9" s="52" t="str">
        <f>IF(AND('Riesgos de gestión'!$Y$28="Muy Alta",'Riesgos de gestión'!$AA$28="Leve"),CONCATENATE("R4C",'Riesgos de gestión'!$O$28),"")</f>
        <v/>
      </c>
      <c r="K9" s="53" t="str">
        <f>IF(AND('Riesgos de gestión'!$Y$29="Muy Alta",'Riesgos de gestión'!$AA$29="Leve"),CONCATENATE("R4C",'Riesgos de gestión'!$O$29),"")</f>
        <v/>
      </c>
      <c r="L9" s="53" t="str">
        <f>IF(AND('Riesgos de gestión'!$Y$30="Muy Alta",'Riesgos de gestión'!$AA$30="Leve"),CONCATENATE("R4C",'Riesgos de gestión'!$O$30),"")</f>
        <v/>
      </c>
      <c r="M9" s="53" t="str">
        <f>IF(AND('Riesgos de gestión'!$Y$31="Muy Alta",'Riesgos de gestión'!$AA$31="Leve"),CONCATENATE("R4C",'Riesgos de gestión'!$O$31),"")</f>
        <v/>
      </c>
      <c r="N9" s="53" t="str">
        <f>IF(AND('Riesgos de gestión'!$Y$32="Muy Alta",'Riesgos de gestión'!$AA$32="Leve"),CONCATENATE("R4C",'Riesgos de gestión'!$O$32),"")</f>
        <v/>
      </c>
      <c r="O9" s="54" t="str">
        <f>IF(AND('Riesgos de gestión'!$Y$33="Muy Alta",'Riesgos de gestión'!$AA$33="Leve"),CONCATENATE("R4C",'Riesgos de gestión'!$O$33),"")</f>
        <v/>
      </c>
      <c r="P9" s="52" t="str">
        <f>IF(AND('Riesgos de gestión'!$Y$28="Muy Alta",'Riesgos de gestión'!$AA$28="Menor"),CONCATENATE("R4C",'Riesgos de gestión'!$O$28),"")</f>
        <v/>
      </c>
      <c r="Q9" s="53" t="str">
        <f>IF(AND('Riesgos de gestión'!$Y$29="Muy Alta",'Riesgos de gestión'!$AA$29="Menor"),CONCATENATE("R4C",'Riesgos de gestión'!$O$29),"")</f>
        <v/>
      </c>
      <c r="R9" s="53" t="str">
        <f>IF(AND('Riesgos de gestión'!$Y$30="Muy Alta",'Riesgos de gestión'!$AA$30="Menor"),CONCATENATE("R4C",'Riesgos de gestión'!$O$30),"")</f>
        <v/>
      </c>
      <c r="S9" s="53" t="str">
        <f>IF(AND('Riesgos de gestión'!$Y$31="Muy Alta",'Riesgos de gestión'!$AA$31="Menor"),CONCATENATE("R4C",'Riesgos de gestión'!$O$31),"")</f>
        <v/>
      </c>
      <c r="T9" s="53" t="str">
        <f>IF(AND('Riesgos de gestión'!$Y$32="Muy Alta",'Riesgos de gestión'!$AA$32="Menor"),CONCATENATE("R4C",'Riesgos de gestión'!$O$32),"")</f>
        <v/>
      </c>
      <c r="U9" s="54" t="str">
        <f>IF(AND('Riesgos de gestión'!$Y$33="Muy Alta",'Riesgos de gestión'!$AA$33="Menor"),CONCATENATE("R4C",'Riesgos de gestión'!$O$33),"")</f>
        <v/>
      </c>
      <c r="V9" s="52" t="str">
        <f>IF(AND('Riesgos de gestión'!$Y$28="Muy Alta",'Riesgos de gestión'!$AA$28="Moderado"),CONCATENATE("R4C",'Riesgos de gestión'!$O$28),"")</f>
        <v/>
      </c>
      <c r="W9" s="53" t="str">
        <f>IF(AND('Riesgos de gestión'!$Y$29="Muy Alta",'Riesgos de gestión'!$AA$29="Moderado"),CONCATENATE("R4C",'Riesgos de gestión'!$O$29),"")</f>
        <v/>
      </c>
      <c r="X9" s="53" t="str">
        <f>IF(AND('Riesgos de gestión'!$Y$30="Muy Alta",'Riesgos de gestión'!$AA$30="Moderado"),CONCATENATE("R4C",'Riesgos de gestión'!$O$30),"")</f>
        <v/>
      </c>
      <c r="Y9" s="53" t="str">
        <f>IF(AND('Riesgos de gestión'!$Y$31="Muy Alta",'Riesgos de gestión'!$AA$31="Moderado"),CONCATENATE("R4C",'Riesgos de gestión'!$O$31),"")</f>
        <v/>
      </c>
      <c r="Z9" s="53" t="str">
        <f>IF(AND('Riesgos de gestión'!$Y$32="Muy Alta",'Riesgos de gestión'!$AA$32="Moderado"),CONCATENATE("R4C",'Riesgos de gestión'!$O$32),"")</f>
        <v/>
      </c>
      <c r="AA9" s="54" t="str">
        <f>IF(AND('Riesgos de gestión'!$Y$33="Muy Alta",'Riesgos de gestión'!$AA$33="Moderado"),CONCATENATE("R4C",'Riesgos de gestión'!$O$33),"")</f>
        <v/>
      </c>
      <c r="AB9" s="52" t="str">
        <f>IF(AND('Riesgos de gestión'!$Y$28="Muy Alta",'Riesgos de gestión'!$AA$28="Mayor"),CONCATENATE("R4C",'Riesgos de gestión'!$O$28),"")</f>
        <v/>
      </c>
      <c r="AC9" s="53" t="str">
        <f>IF(AND('Riesgos de gestión'!$Y$29="Muy Alta",'Riesgos de gestión'!$AA$29="Mayor"),CONCATENATE("R4C",'Riesgos de gestión'!$O$29),"")</f>
        <v/>
      </c>
      <c r="AD9" s="53" t="str">
        <f>IF(AND('Riesgos de gestión'!$Y$30="Muy Alta",'Riesgos de gestión'!$AA$30="Mayor"),CONCATENATE("R4C",'Riesgos de gestión'!$O$30),"")</f>
        <v/>
      </c>
      <c r="AE9" s="53" t="str">
        <f>IF(AND('Riesgos de gestión'!$Y$31="Muy Alta",'Riesgos de gestión'!$AA$31="Mayor"),CONCATENATE("R4C",'Riesgos de gestión'!$O$31),"")</f>
        <v/>
      </c>
      <c r="AF9" s="53" t="str">
        <f>IF(AND('Riesgos de gestión'!$Y$32="Muy Alta",'Riesgos de gestión'!$AA$32="Mayor"),CONCATENATE("R4C",'Riesgos de gestión'!$O$32),"")</f>
        <v/>
      </c>
      <c r="AG9" s="54" t="str">
        <f>IF(AND('Riesgos de gestión'!$Y$33="Muy Alta",'Riesgos de gestión'!$AA$33="Mayor"),CONCATENATE("R4C",'Riesgos de gestión'!$O$33),"")</f>
        <v/>
      </c>
      <c r="AH9" s="55" t="str">
        <f>IF(AND('Riesgos de gestión'!$Y$28="Muy Alta",'Riesgos de gestión'!$AA$28="Catastrófico"),CONCATENATE("R4C",'Riesgos de gestión'!$O$28),"")</f>
        <v/>
      </c>
      <c r="AI9" s="56" t="str">
        <f>IF(AND('Riesgos de gestión'!$Y$29="Muy Alta",'Riesgos de gestión'!$AA$29="Catastrófico"),CONCATENATE("R4C",'Riesgos de gestión'!$O$29),"")</f>
        <v/>
      </c>
      <c r="AJ9" s="56" t="str">
        <f>IF(AND('Riesgos de gestión'!$Y$30="Muy Alta",'Riesgos de gestión'!$AA$30="Catastrófico"),CONCATENATE("R4C",'Riesgos de gestión'!$O$30),"")</f>
        <v/>
      </c>
      <c r="AK9" s="56" t="str">
        <f>IF(AND('Riesgos de gestión'!$Y$31="Muy Alta",'Riesgos de gestión'!$AA$31="Catastrófico"),CONCATENATE("R4C",'Riesgos de gestión'!$O$31),"")</f>
        <v/>
      </c>
      <c r="AL9" s="56" t="str">
        <f>IF(AND('Riesgos de gestión'!$Y$32="Muy Alta",'Riesgos de gestión'!$AA$32="Catastrófico"),CONCATENATE("R4C",'Riesgos de gestión'!$O$32),"")</f>
        <v/>
      </c>
      <c r="AM9" s="57" t="str">
        <f>IF(AND('Riesgos de gestión'!$Y$33="Muy Alta",'Riesgos de gestión'!$AA$33="Catastrófico"),CONCATENATE("R4C",'Riesgos de gestión'!$O$33),"")</f>
        <v/>
      </c>
      <c r="AN9" s="83"/>
      <c r="AO9" s="1205"/>
      <c r="AP9" s="1206"/>
      <c r="AQ9" s="1206"/>
      <c r="AR9" s="1206"/>
      <c r="AS9" s="1206"/>
      <c r="AT9" s="1207"/>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row>
    <row r="10" spans="1:91" ht="15" customHeight="1" x14ac:dyDescent="0.25">
      <c r="A10" s="83"/>
      <c r="B10" s="1144"/>
      <c r="C10" s="1144"/>
      <c r="D10" s="1145"/>
      <c r="E10" s="1185"/>
      <c r="F10" s="1186"/>
      <c r="G10" s="1186"/>
      <c r="H10" s="1186"/>
      <c r="I10" s="1187"/>
      <c r="J10" s="52" t="str">
        <f>IF(AND('Riesgos de gestión'!$Y$34="Muy Alta",'Riesgos de gestión'!$AA$34="Leve"),CONCATENATE("R5C",'Riesgos de gestión'!$O$34),"")</f>
        <v/>
      </c>
      <c r="K10" s="53" t="str">
        <f>IF(AND('Riesgos de gestión'!$Y$35="Muy Alta",'Riesgos de gestión'!$AA$35="Leve"),CONCATENATE("R5C",'Riesgos de gestión'!$O$35),"")</f>
        <v/>
      </c>
      <c r="L10" s="53" t="str">
        <f>IF(AND('Riesgos de gestión'!$Y$36="Muy Alta",'Riesgos de gestión'!$AA$36="Leve"),CONCATENATE("R5C",'Riesgos de gestión'!$O$36),"")</f>
        <v/>
      </c>
      <c r="M10" s="53" t="str">
        <f>IF(AND('Riesgos de gestión'!$Y$37="Muy Alta",'Riesgos de gestión'!$AA$37="Leve"),CONCATENATE("R5C",'Riesgos de gestión'!$O$37),"")</f>
        <v/>
      </c>
      <c r="N10" s="53" t="str">
        <f>IF(AND('Riesgos de gestión'!$Y$38="Muy Alta",'Riesgos de gestión'!$AA$38="Leve"),CONCATENATE("R5C",'Riesgos de gestión'!$O$38),"")</f>
        <v/>
      </c>
      <c r="O10" s="54" t="str">
        <f>IF(AND('Riesgos de gestión'!$Y$39="Muy Alta",'Riesgos de gestión'!$AA$39="Leve"),CONCATENATE("R5C",'Riesgos de gestión'!$O$39),"")</f>
        <v/>
      </c>
      <c r="P10" s="52" t="str">
        <f>IF(AND('Riesgos de gestión'!$Y$34="Muy Alta",'Riesgos de gestión'!$AA$34="Menor"),CONCATENATE("R5C",'Riesgos de gestión'!$O$34),"")</f>
        <v/>
      </c>
      <c r="Q10" s="53" t="str">
        <f>IF(AND('Riesgos de gestión'!$Y$35="Muy Alta",'Riesgos de gestión'!$AA$35="Menor"),CONCATENATE("R5C",'Riesgos de gestión'!$O$35),"")</f>
        <v/>
      </c>
      <c r="R10" s="53" t="str">
        <f>IF(AND('Riesgos de gestión'!$Y$36="Muy Alta",'Riesgos de gestión'!$AA$36="Menor"),CONCATENATE("R5C",'Riesgos de gestión'!$O$36),"")</f>
        <v/>
      </c>
      <c r="S10" s="53" t="str">
        <f>IF(AND('Riesgos de gestión'!$Y$37="Muy Alta",'Riesgos de gestión'!$AA$37="Menor"),CONCATENATE("R5C",'Riesgos de gestión'!$O$37),"")</f>
        <v/>
      </c>
      <c r="T10" s="53" t="str">
        <f>IF(AND('Riesgos de gestión'!$Y$38="Muy Alta",'Riesgos de gestión'!$AA$38="Menor"),CONCATENATE("R5C",'Riesgos de gestión'!$O$38),"")</f>
        <v/>
      </c>
      <c r="U10" s="54" t="str">
        <f>IF(AND('Riesgos de gestión'!$Y$39="Muy Alta",'Riesgos de gestión'!$AA$39="Menor"),CONCATENATE("R5C",'Riesgos de gestión'!$O$39),"")</f>
        <v/>
      </c>
      <c r="V10" s="52" t="str">
        <f>IF(AND('Riesgos de gestión'!$Y$34="Muy Alta",'Riesgos de gestión'!$AA$34="Moderado"),CONCATENATE("R5C",'Riesgos de gestión'!$O$34),"")</f>
        <v/>
      </c>
      <c r="W10" s="53" t="str">
        <f>IF(AND('Riesgos de gestión'!$Y$35="Muy Alta",'Riesgos de gestión'!$AA$35="Moderado"),CONCATENATE("R5C",'Riesgos de gestión'!$O$35),"")</f>
        <v/>
      </c>
      <c r="X10" s="53" t="str">
        <f>IF(AND('Riesgos de gestión'!$Y$36="Muy Alta",'Riesgos de gestión'!$AA$36="Moderado"),CONCATENATE("R5C",'Riesgos de gestión'!$O$36),"")</f>
        <v/>
      </c>
      <c r="Y10" s="53" t="str">
        <f>IF(AND('Riesgos de gestión'!$Y$37="Muy Alta",'Riesgos de gestión'!$AA$37="Moderado"),CONCATENATE("R5C",'Riesgos de gestión'!$O$37),"")</f>
        <v/>
      </c>
      <c r="Z10" s="53" t="str">
        <f>IF(AND('Riesgos de gestión'!$Y$38="Muy Alta",'Riesgos de gestión'!$AA$38="Moderado"),CONCATENATE("R5C",'Riesgos de gestión'!$O$38),"")</f>
        <v/>
      </c>
      <c r="AA10" s="54" t="str">
        <f>IF(AND('Riesgos de gestión'!$Y$39="Muy Alta",'Riesgos de gestión'!$AA$39="Moderado"),CONCATENATE("R5C",'Riesgos de gestión'!$O$39),"")</f>
        <v/>
      </c>
      <c r="AB10" s="52" t="str">
        <f>IF(AND('Riesgos de gestión'!$Y$34="Muy Alta",'Riesgos de gestión'!$AA$34="Mayor"),CONCATENATE("R5C",'Riesgos de gestión'!$O$34),"")</f>
        <v/>
      </c>
      <c r="AC10" s="53" t="str">
        <f>IF(AND('Riesgos de gestión'!$Y$35="Muy Alta",'Riesgos de gestión'!$AA$35="Mayor"),CONCATENATE("R5C",'Riesgos de gestión'!$O$35),"")</f>
        <v/>
      </c>
      <c r="AD10" s="53" t="str">
        <f>IF(AND('Riesgos de gestión'!$Y$36="Muy Alta",'Riesgos de gestión'!$AA$36="Mayor"),CONCATENATE("R5C",'Riesgos de gestión'!$O$36),"")</f>
        <v/>
      </c>
      <c r="AE10" s="53" t="str">
        <f>IF(AND('Riesgos de gestión'!$Y$37="Muy Alta",'Riesgos de gestión'!$AA$37="Mayor"),CONCATENATE("R5C",'Riesgos de gestión'!$O$37),"")</f>
        <v/>
      </c>
      <c r="AF10" s="53" t="str">
        <f>IF(AND('Riesgos de gestión'!$Y$38="Muy Alta",'Riesgos de gestión'!$AA$38="Mayor"),CONCATENATE("R5C",'Riesgos de gestión'!$O$38),"")</f>
        <v/>
      </c>
      <c r="AG10" s="54" t="str">
        <f>IF(AND('Riesgos de gestión'!$Y$39="Muy Alta",'Riesgos de gestión'!$AA$39="Mayor"),CONCATENATE("R5C",'Riesgos de gestión'!$O$39),"")</f>
        <v/>
      </c>
      <c r="AH10" s="55" t="str">
        <f>IF(AND('Riesgos de gestión'!$Y$34="Muy Alta",'Riesgos de gestión'!$AA$34="Catastrófico"),CONCATENATE("R5C",'Riesgos de gestión'!$O$34),"")</f>
        <v/>
      </c>
      <c r="AI10" s="56" t="str">
        <f>IF(AND('Riesgos de gestión'!$Y$35="Muy Alta",'Riesgos de gestión'!$AA$35="Catastrófico"),CONCATENATE("R5C",'Riesgos de gestión'!$O$35),"")</f>
        <v/>
      </c>
      <c r="AJ10" s="56" t="str">
        <f>IF(AND('Riesgos de gestión'!$Y$36="Muy Alta",'Riesgos de gestión'!$AA$36="Catastrófico"),CONCATENATE("R5C",'Riesgos de gestión'!$O$36),"")</f>
        <v/>
      </c>
      <c r="AK10" s="56" t="str">
        <f>IF(AND('Riesgos de gestión'!$Y$37="Muy Alta",'Riesgos de gestión'!$AA$37="Catastrófico"),CONCATENATE("R5C",'Riesgos de gestión'!$O$37),"")</f>
        <v/>
      </c>
      <c r="AL10" s="56" t="str">
        <f>IF(AND('Riesgos de gestión'!$Y$38="Muy Alta",'Riesgos de gestión'!$AA$38="Catastrófico"),CONCATENATE("R5C",'Riesgos de gestión'!$O$38),"")</f>
        <v/>
      </c>
      <c r="AM10" s="57" t="str">
        <f>IF(AND('Riesgos de gestión'!$Y$39="Muy Alta",'Riesgos de gestión'!$AA$39="Catastrófico"),CONCATENATE("R5C",'Riesgos de gestión'!$O$39),"")</f>
        <v/>
      </c>
      <c r="AN10" s="83"/>
      <c r="AO10" s="1205"/>
      <c r="AP10" s="1206"/>
      <c r="AQ10" s="1206"/>
      <c r="AR10" s="1206"/>
      <c r="AS10" s="1206"/>
      <c r="AT10" s="1207"/>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row>
    <row r="11" spans="1:91" ht="15" customHeight="1" x14ac:dyDescent="0.25">
      <c r="A11" s="83"/>
      <c r="B11" s="1144"/>
      <c r="C11" s="1144"/>
      <c r="D11" s="1145"/>
      <c r="E11" s="1185"/>
      <c r="F11" s="1186"/>
      <c r="G11" s="1186"/>
      <c r="H11" s="1186"/>
      <c r="I11" s="1187"/>
      <c r="J11" s="52" t="str">
        <f>IF(AND('Riesgos de gestión'!$Y$40="Muy Alta",'Riesgos de gestión'!$AA$40="Leve"),CONCATENATE("R6C",'Riesgos de gestión'!$O$40),"")</f>
        <v/>
      </c>
      <c r="K11" s="53" t="str">
        <f>IF(AND('Riesgos de gestión'!$Y$41="Muy Alta",'Riesgos de gestión'!$AA$41="Leve"),CONCATENATE("R6C",'Riesgos de gestión'!$O$41),"")</f>
        <v/>
      </c>
      <c r="L11" s="53" t="str">
        <f>IF(AND('Riesgos de gestión'!$Y$42="Muy Alta",'Riesgos de gestión'!$AA$42="Leve"),CONCATENATE("R6C",'Riesgos de gestión'!$O$42),"")</f>
        <v/>
      </c>
      <c r="M11" s="53" t="str">
        <f>IF(AND('Riesgos de gestión'!$Y$43="Muy Alta",'Riesgos de gestión'!$AA$43="Leve"),CONCATENATE("R6C",'Riesgos de gestión'!$O$43),"")</f>
        <v/>
      </c>
      <c r="N11" s="53" t="str">
        <f>IF(AND('Riesgos de gestión'!$Y$44="Muy Alta",'Riesgos de gestión'!$AA$44="Leve"),CONCATENATE("R6C",'Riesgos de gestión'!$O$44),"")</f>
        <v/>
      </c>
      <c r="O11" s="54" t="str">
        <f>IF(AND('Riesgos de gestión'!$Y$45="Muy Alta",'Riesgos de gestión'!$AA$45="Leve"),CONCATENATE("R6C",'Riesgos de gestión'!$O$45),"")</f>
        <v/>
      </c>
      <c r="P11" s="52" t="str">
        <f>IF(AND('Riesgos de gestión'!$Y$40="Muy Alta",'Riesgos de gestión'!$AA$40="Menor"),CONCATENATE("R6C",'Riesgos de gestión'!$O$40),"")</f>
        <v/>
      </c>
      <c r="Q11" s="53" t="str">
        <f>IF(AND('Riesgos de gestión'!$Y$41="Muy Alta",'Riesgos de gestión'!$AA$41="Menor"),CONCATENATE("R6C",'Riesgos de gestión'!$O$41),"")</f>
        <v/>
      </c>
      <c r="R11" s="53" t="str">
        <f>IF(AND('Riesgos de gestión'!$Y$42="Muy Alta",'Riesgos de gestión'!$AA$42="Menor"),CONCATENATE("R6C",'Riesgos de gestión'!$O$42),"")</f>
        <v/>
      </c>
      <c r="S11" s="53" t="str">
        <f>IF(AND('Riesgos de gestión'!$Y$43="Muy Alta",'Riesgos de gestión'!$AA$43="Menor"),CONCATENATE("R6C",'Riesgos de gestión'!$O$43),"")</f>
        <v/>
      </c>
      <c r="T11" s="53" t="str">
        <f>IF(AND('Riesgos de gestión'!$Y$44="Muy Alta",'Riesgos de gestión'!$AA$44="Menor"),CONCATENATE("R6C",'Riesgos de gestión'!$O$44),"")</f>
        <v/>
      </c>
      <c r="U11" s="54" t="str">
        <f>IF(AND('Riesgos de gestión'!$Y$45="Muy Alta",'Riesgos de gestión'!$AA$45="Menor"),CONCATENATE("R6C",'Riesgos de gestión'!$O$45),"")</f>
        <v/>
      </c>
      <c r="V11" s="52" t="str">
        <f>IF(AND('Riesgos de gestión'!$Y$40="Muy Alta",'Riesgos de gestión'!$AA$40="Moderado"),CONCATENATE("R6C",'Riesgos de gestión'!$O$40),"")</f>
        <v/>
      </c>
      <c r="W11" s="53" t="str">
        <f>IF(AND('Riesgos de gestión'!$Y$41="Muy Alta",'Riesgos de gestión'!$AA$41="Moderado"),CONCATENATE("R6C",'Riesgos de gestión'!$O$41),"")</f>
        <v/>
      </c>
      <c r="X11" s="53" t="str">
        <f>IF(AND('Riesgos de gestión'!$Y$42="Muy Alta",'Riesgos de gestión'!$AA$42="Moderado"),CONCATENATE("R6C",'Riesgos de gestión'!$O$42),"")</f>
        <v/>
      </c>
      <c r="Y11" s="53" t="str">
        <f>IF(AND('Riesgos de gestión'!$Y$43="Muy Alta",'Riesgos de gestión'!$AA$43="Moderado"),CONCATENATE("R6C",'Riesgos de gestión'!$O$43),"")</f>
        <v/>
      </c>
      <c r="Z11" s="53" t="str">
        <f>IF(AND('Riesgos de gestión'!$Y$44="Muy Alta",'Riesgos de gestión'!$AA$44="Moderado"),CONCATENATE("R6C",'Riesgos de gestión'!$O$44),"")</f>
        <v/>
      </c>
      <c r="AA11" s="54" t="str">
        <f>IF(AND('Riesgos de gestión'!$Y$45="Muy Alta",'Riesgos de gestión'!$AA$45="Moderado"),CONCATENATE("R6C",'Riesgos de gestión'!$O$45),"")</f>
        <v/>
      </c>
      <c r="AB11" s="52" t="str">
        <f>IF(AND('Riesgos de gestión'!$Y$40="Muy Alta",'Riesgos de gestión'!$AA$40="Mayor"),CONCATENATE("R6C",'Riesgos de gestión'!$O$40),"")</f>
        <v/>
      </c>
      <c r="AC11" s="53" t="str">
        <f>IF(AND('Riesgos de gestión'!$Y$41="Muy Alta",'Riesgos de gestión'!$AA$41="Mayor"),CONCATENATE("R6C",'Riesgos de gestión'!$O$41),"")</f>
        <v/>
      </c>
      <c r="AD11" s="53" t="str">
        <f>IF(AND('Riesgos de gestión'!$Y$42="Muy Alta",'Riesgos de gestión'!$AA$42="Mayor"),CONCATENATE("R6C",'Riesgos de gestión'!$O$42),"")</f>
        <v/>
      </c>
      <c r="AE11" s="53" t="str">
        <f>IF(AND('Riesgos de gestión'!$Y$43="Muy Alta",'Riesgos de gestión'!$AA$43="Mayor"),CONCATENATE("R6C",'Riesgos de gestión'!$O$43),"")</f>
        <v/>
      </c>
      <c r="AF11" s="53" t="str">
        <f>IF(AND('Riesgos de gestión'!$Y$44="Muy Alta",'Riesgos de gestión'!$AA$44="Mayor"),CONCATENATE("R6C",'Riesgos de gestión'!$O$44),"")</f>
        <v/>
      </c>
      <c r="AG11" s="54" t="str">
        <f>IF(AND('Riesgos de gestión'!$Y$45="Muy Alta",'Riesgos de gestión'!$AA$45="Mayor"),CONCATENATE("R6C",'Riesgos de gestión'!$O$45),"")</f>
        <v/>
      </c>
      <c r="AH11" s="55" t="str">
        <f>IF(AND('Riesgos de gestión'!$Y$40="Muy Alta",'Riesgos de gestión'!$AA$40="Catastrófico"),CONCATENATE("R6C",'Riesgos de gestión'!$O$40),"")</f>
        <v/>
      </c>
      <c r="AI11" s="56" t="str">
        <f>IF(AND('Riesgos de gestión'!$Y$41="Muy Alta",'Riesgos de gestión'!$AA$41="Catastrófico"),CONCATENATE("R6C",'Riesgos de gestión'!$O$41),"")</f>
        <v/>
      </c>
      <c r="AJ11" s="56" t="str">
        <f>IF(AND('Riesgos de gestión'!$Y$42="Muy Alta",'Riesgos de gestión'!$AA$42="Catastrófico"),CONCATENATE("R6C",'Riesgos de gestión'!$O$42),"")</f>
        <v/>
      </c>
      <c r="AK11" s="56" t="str">
        <f>IF(AND('Riesgos de gestión'!$Y$43="Muy Alta",'Riesgos de gestión'!$AA$43="Catastrófico"),CONCATENATE("R6C",'Riesgos de gestión'!$O$43),"")</f>
        <v/>
      </c>
      <c r="AL11" s="56" t="str">
        <f>IF(AND('Riesgos de gestión'!$Y$44="Muy Alta",'Riesgos de gestión'!$AA$44="Catastrófico"),CONCATENATE("R6C",'Riesgos de gestión'!$O$44),"")</f>
        <v/>
      </c>
      <c r="AM11" s="57" t="str">
        <f>IF(AND('Riesgos de gestión'!$Y$45="Muy Alta",'Riesgos de gestión'!$AA$45="Catastrófico"),CONCATENATE("R6C",'Riesgos de gestión'!$O$45),"")</f>
        <v/>
      </c>
      <c r="AN11" s="83"/>
      <c r="AO11" s="1205"/>
      <c r="AP11" s="1206"/>
      <c r="AQ11" s="1206"/>
      <c r="AR11" s="1206"/>
      <c r="AS11" s="1206"/>
      <c r="AT11" s="1207"/>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row>
    <row r="12" spans="1:91" ht="15" customHeight="1" x14ac:dyDescent="0.25">
      <c r="A12" s="83"/>
      <c r="B12" s="1144"/>
      <c r="C12" s="1144"/>
      <c r="D12" s="1145"/>
      <c r="E12" s="1185"/>
      <c r="F12" s="1186"/>
      <c r="G12" s="1186"/>
      <c r="H12" s="1186"/>
      <c r="I12" s="1187"/>
      <c r="J12" s="52" t="str">
        <f>IF(AND('Riesgos de gestión'!$Y$46="Muy Alta",'Riesgos de gestión'!$AA$46="Leve"),CONCATENATE("R7C",'Riesgos de gestión'!$O$46),"")</f>
        <v/>
      </c>
      <c r="K12" s="53" t="str">
        <f>IF(AND('Riesgos de gestión'!$Y$47="Muy Alta",'Riesgos de gestión'!$AA$47="Leve"),CONCATENATE("R7C",'Riesgos de gestión'!$O$47),"")</f>
        <v/>
      </c>
      <c r="L12" s="53" t="str">
        <f>IF(AND('Riesgos de gestión'!$Y$48="Muy Alta",'Riesgos de gestión'!$AA$48="Leve"),CONCATENATE("R7C",'Riesgos de gestión'!$O$48),"")</f>
        <v/>
      </c>
      <c r="M12" s="53" t="str">
        <f>IF(AND('Riesgos de gestión'!$Y$49="Muy Alta",'Riesgos de gestión'!$AA$49="Leve"),CONCATENATE("R7C",'Riesgos de gestión'!$O$49),"")</f>
        <v/>
      </c>
      <c r="N12" s="53" t="str">
        <f>IF(AND('Riesgos de gestión'!$Y$50="Muy Alta",'Riesgos de gestión'!$AA$50="Leve"),CONCATENATE("R7C",'Riesgos de gestión'!$O$50),"")</f>
        <v/>
      </c>
      <c r="O12" s="54" t="str">
        <f>IF(AND('Riesgos de gestión'!$Y$51="Muy Alta",'Riesgos de gestión'!$AA$51="Leve"),CONCATENATE("R7C",'Riesgos de gestión'!$O$51),"")</f>
        <v/>
      </c>
      <c r="P12" s="52" t="str">
        <f>IF(AND('Riesgos de gestión'!$Y$46="Muy Alta",'Riesgos de gestión'!$AA$46="Menor"),CONCATENATE("R7C",'Riesgos de gestión'!$O$46),"")</f>
        <v/>
      </c>
      <c r="Q12" s="53" t="str">
        <f>IF(AND('Riesgos de gestión'!$Y$47="Muy Alta",'Riesgos de gestión'!$AA$47="Menor"),CONCATENATE("R7C",'Riesgos de gestión'!$O$47),"")</f>
        <v/>
      </c>
      <c r="R12" s="53" t="str">
        <f>IF(AND('Riesgos de gestión'!$Y$48="Muy Alta",'Riesgos de gestión'!$AA$48="Menor"),CONCATENATE("R7C",'Riesgos de gestión'!$O$48),"")</f>
        <v/>
      </c>
      <c r="S12" s="53" t="str">
        <f>IF(AND('Riesgos de gestión'!$Y$49="Muy Alta",'Riesgos de gestión'!$AA$49="Menor"),CONCATENATE("R7C",'Riesgos de gestión'!$O$49),"")</f>
        <v/>
      </c>
      <c r="T12" s="53" t="str">
        <f>IF(AND('Riesgos de gestión'!$Y$50="Muy Alta",'Riesgos de gestión'!$AA$50="Menor"),CONCATENATE("R7C",'Riesgos de gestión'!$O$50),"")</f>
        <v/>
      </c>
      <c r="U12" s="54" t="str">
        <f>IF(AND('Riesgos de gestión'!$Y$51="Muy Alta",'Riesgos de gestión'!$AA$51="Menor"),CONCATENATE("R7C",'Riesgos de gestión'!$O$51),"")</f>
        <v/>
      </c>
      <c r="V12" s="52" t="str">
        <f>IF(AND('Riesgos de gestión'!$Y$46="Muy Alta",'Riesgos de gestión'!$AA$46="Moderado"),CONCATENATE("R7C",'Riesgos de gestión'!$O$46),"")</f>
        <v/>
      </c>
      <c r="W12" s="53" t="str">
        <f>IF(AND('Riesgos de gestión'!$Y$47="Muy Alta",'Riesgos de gestión'!$AA$47="Moderado"),CONCATENATE("R7C",'Riesgos de gestión'!$O$47),"")</f>
        <v/>
      </c>
      <c r="X12" s="53" t="str">
        <f>IF(AND('Riesgos de gestión'!$Y$48="Muy Alta",'Riesgos de gestión'!$AA$48="Moderado"),CONCATENATE("R7C",'Riesgos de gestión'!$O$48),"")</f>
        <v/>
      </c>
      <c r="Y12" s="53" t="str">
        <f>IF(AND('Riesgos de gestión'!$Y$49="Muy Alta",'Riesgos de gestión'!$AA$49="Moderado"),CONCATENATE("R7C",'Riesgos de gestión'!$O$49),"")</f>
        <v/>
      </c>
      <c r="Z12" s="53" t="str">
        <f>IF(AND('Riesgos de gestión'!$Y$50="Muy Alta",'Riesgos de gestión'!$AA$50="Moderado"),CONCATENATE("R7C",'Riesgos de gestión'!$O$50),"")</f>
        <v/>
      </c>
      <c r="AA12" s="54" t="str">
        <f>IF(AND('Riesgos de gestión'!$Y$51="Muy Alta",'Riesgos de gestión'!$AA$51="Moderado"),CONCATENATE("R7C",'Riesgos de gestión'!$O$51),"")</f>
        <v/>
      </c>
      <c r="AB12" s="52" t="str">
        <f>IF(AND('Riesgos de gestión'!$Y$46="Muy Alta",'Riesgos de gestión'!$AA$46="Mayor"),CONCATENATE("R7C",'Riesgos de gestión'!$O$46),"")</f>
        <v/>
      </c>
      <c r="AC12" s="53" t="str">
        <f>IF(AND('Riesgos de gestión'!$Y$47="Muy Alta",'Riesgos de gestión'!$AA$47="Mayor"),CONCATENATE("R7C",'Riesgos de gestión'!$O$47),"")</f>
        <v/>
      </c>
      <c r="AD12" s="53" t="str">
        <f>IF(AND('Riesgos de gestión'!$Y$48="Muy Alta",'Riesgos de gestión'!$AA$48="Mayor"),CONCATENATE("R7C",'Riesgos de gestión'!$O$48),"")</f>
        <v/>
      </c>
      <c r="AE12" s="53" t="str">
        <f>IF(AND('Riesgos de gestión'!$Y$49="Muy Alta",'Riesgos de gestión'!$AA$49="Mayor"),CONCATENATE("R7C",'Riesgos de gestión'!$O$49),"")</f>
        <v/>
      </c>
      <c r="AF12" s="53" t="str">
        <f>IF(AND('Riesgos de gestión'!$Y$50="Muy Alta",'Riesgos de gestión'!$AA$50="Mayor"),CONCATENATE("R7C",'Riesgos de gestión'!$O$50),"")</f>
        <v/>
      </c>
      <c r="AG12" s="54" t="str">
        <f>IF(AND('Riesgos de gestión'!$Y$51="Muy Alta",'Riesgos de gestión'!$AA$51="Mayor"),CONCATENATE("R7C",'Riesgos de gestión'!$O$51),"")</f>
        <v/>
      </c>
      <c r="AH12" s="55" t="str">
        <f>IF(AND('Riesgos de gestión'!$Y$46="Muy Alta",'Riesgos de gestión'!$AA$46="Catastrófico"),CONCATENATE("R7C",'Riesgos de gestión'!$O$46),"")</f>
        <v/>
      </c>
      <c r="AI12" s="56" t="str">
        <f>IF(AND('Riesgos de gestión'!$Y$47="Muy Alta",'Riesgos de gestión'!$AA$47="Catastrófico"),CONCATENATE("R7C",'Riesgos de gestión'!$O$47),"")</f>
        <v/>
      </c>
      <c r="AJ12" s="56" t="str">
        <f>IF(AND('Riesgos de gestión'!$Y$48="Muy Alta",'Riesgos de gestión'!$AA$48="Catastrófico"),CONCATENATE("R7C",'Riesgos de gestión'!$O$48),"")</f>
        <v/>
      </c>
      <c r="AK12" s="56" t="str">
        <f>IF(AND('Riesgos de gestión'!$Y$49="Muy Alta",'Riesgos de gestión'!$AA$49="Catastrófico"),CONCATENATE("R7C",'Riesgos de gestión'!$O$49),"")</f>
        <v/>
      </c>
      <c r="AL12" s="56" t="str">
        <f>IF(AND('Riesgos de gestión'!$Y$50="Muy Alta",'Riesgos de gestión'!$AA$50="Catastrófico"),CONCATENATE("R7C",'Riesgos de gestión'!$O$50),"")</f>
        <v/>
      </c>
      <c r="AM12" s="57" t="str">
        <f>IF(AND('Riesgos de gestión'!$Y$51="Muy Alta",'Riesgos de gestión'!$AA$51="Catastrófico"),CONCATENATE("R7C",'Riesgos de gestión'!$O$51),"")</f>
        <v/>
      </c>
      <c r="AN12" s="83"/>
      <c r="AO12" s="1205"/>
      <c r="AP12" s="1206"/>
      <c r="AQ12" s="1206"/>
      <c r="AR12" s="1206"/>
      <c r="AS12" s="1206"/>
      <c r="AT12" s="1207"/>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row>
    <row r="13" spans="1:91" ht="15" customHeight="1" x14ac:dyDescent="0.25">
      <c r="A13" s="83"/>
      <c r="B13" s="1144"/>
      <c r="C13" s="1144"/>
      <c r="D13" s="1145"/>
      <c r="E13" s="1185"/>
      <c r="F13" s="1186"/>
      <c r="G13" s="1186"/>
      <c r="H13" s="1186"/>
      <c r="I13" s="1187"/>
      <c r="J13" s="52" t="str">
        <f>IF(AND('Riesgos de gestión'!$Y$52="Muy Alta",'Riesgos de gestión'!$AA$52="Leve"),CONCATENATE("R8C",'Riesgos de gestión'!$O$52),"")</f>
        <v/>
      </c>
      <c r="K13" s="53" t="str">
        <f>IF(AND('Riesgos de gestión'!$Y$53="Muy Alta",'Riesgos de gestión'!$AA$53="Leve"),CONCATENATE("R8C",'Riesgos de gestión'!$O$53),"")</f>
        <v/>
      </c>
      <c r="L13" s="53" t="str">
        <f>IF(AND('Riesgos de gestión'!$Y$54="Muy Alta",'Riesgos de gestión'!$AA$54="Leve"),CONCATENATE("R8C",'Riesgos de gestión'!$O$54),"")</f>
        <v/>
      </c>
      <c r="M13" s="53" t="str">
        <f>IF(AND('Riesgos de gestión'!$Y$55="Muy Alta",'Riesgos de gestión'!$AA$55="Leve"),CONCATENATE("R8C",'Riesgos de gestión'!$O$55),"")</f>
        <v/>
      </c>
      <c r="N13" s="53" t="str">
        <f>IF(AND('Riesgos de gestión'!$Y$56="Muy Alta",'Riesgos de gestión'!$AA$56="Leve"),CONCATENATE("R8C",'Riesgos de gestión'!$O$56),"")</f>
        <v/>
      </c>
      <c r="O13" s="54" t="str">
        <f>IF(AND('Riesgos de gestión'!$Y$57="Muy Alta",'Riesgos de gestión'!$AA$57="Leve"),CONCATENATE("R8C",'Riesgos de gestión'!$O$57),"")</f>
        <v/>
      </c>
      <c r="P13" s="52" t="str">
        <f>IF(AND('Riesgos de gestión'!$Y$52="Muy Alta",'Riesgos de gestión'!$AA$52="Menor"),CONCATENATE("R8C",'Riesgos de gestión'!$O$52),"")</f>
        <v/>
      </c>
      <c r="Q13" s="53" t="str">
        <f>IF(AND('Riesgos de gestión'!$Y$53="Muy Alta",'Riesgos de gestión'!$AA$53="Menor"),CONCATENATE("R8C",'Riesgos de gestión'!$O$53),"")</f>
        <v/>
      </c>
      <c r="R13" s="53" t="str">
        <f>IF(AND('Riesgos de gestión'!$Y$54="Muy Alta",'Riesgos de gestión'!$AA$54="Menor"),CONCATENATE("R8C",'Riesgos de gestión'!$O$54),"")</f>
        <v/>
      </c>
      <c r="S13" s="53" t="str">
        <f>IF(AND('Riesgos de gestión'!$Y$55="Muy Alta",'Riesgos de gestión'!$AA$55="Menor"),CONCATENATE("R8C",'Riesgos de gestión'!$O$55),"")</f>
        <v/>
      </c>
      <c r="T13" s="53" t="str">
        <f>IF(AND('Riesgos de gestión'!$Y$56="Muy Alta",'Riesgos de gestión'!$AA$56="Menor"),CONCATENATE("R8C",'Riesgos de gestión'!$O$56),"")</f>
        <v/>
      </c>
      <c r="U13" s="54" t="str">
        <f>IF(AND('Riesgos de gestión'!$Y$57="Muy Alta",'Riesgos de gestión'!$AA$57="Menor"),CONCATENATE("R8C",'Riesgos de gestión'!$O$57),"")</f>
        <v/>
      </c>
      <c r="V13" s="52" t="str">
        <f>IF(AND('Riesgos de gestión'!$Y$52="Muy Alta",'Riesgos de gestión'!$AA$52="Moderado"),CONCATENATE("R8C",'Riesgos de gestión'!$O$52),"")</f>
        <v/>
      </c>
      <c r="W13" s="53" t="str">
        <f>IF(AND('Riesgos de gestión'!$Y$53="Muy Alta",'Riesgos de gestión'!$AA$53="Moderado"),CONCATENATE("R8C",'Riesgos de gestión'!$O$53),"")</f>
        <v/>
      </c>
      <c r="X13" s="53" t="str">
        <f>IF(AND('Riesgos de gestión'!$Y$54="Muy Alta",'Riesgos de gestión'!$AA$54="Moderado"),CONCATENATE("R8C",'Riesgos de gestión'!$O$54),"")</f>
        <v/>
      </c>
      <c r="Y13" s="53" t="str">
        <f>IF(AND('Riesgos de gestión'!$Y$55="Muy Alta",'Riesgos de gestión'!$AA$55="Moderado"),CONCATENATE("R8C",'Riesgos de gestión'!$O$55),"")</f>
        <v/>
      </c>
      <c r="Z13" s="53" t="str">
        <f>IF(AND('Riesgos de gestión'!$Y$56="Muy Alta",'Riesgos de gestión'!$AA$56="Moderado"),CONCATENATE("R8C",'Riesgos de gestión'!$O$56),"")</f>
        <v/>
      </c>
      <c r="AA13" s="54" t="str">
        <f>IF(AND('Riesgos de gestión'!$Y$57="Muy Alta",'Riesgos de gestión'!$AA$57="Moderado"),CONCATENATE("R8C",'Riesgos de gestión'!$O$57),"")</f>
        <v/>
      </c>
      <c r="AB13" s="52" t="str">
        <f>IF(AND('Riesgos de gestión'!$Y$52="Muy Alta",'Riesgos de gestión'!$AA$52="Mayor"),CONCATENATE("R8C",'Riesgos de gestión'!$O$52),"")</f>
        <v/>
      </c>
      <c r="AC13" s="53" t="str">
        <f>IF(AND('Riesgos de gestión'!$Y$53="Muy Alta",'Riesgos de gestión'!$AA$53="Mayor"),CONCATENATE("R8C",'Riesgos de gestión'!$O$53),"")</f>
        <v/>
      </c>
      <c r="AD13" s="53" t="str">
        <f>IF(AND('Riesgos de gestión'!$Y$54="Muy Alta",'Riesgos de gestión'!$AA$54="Mayor"),CONCATENATE("R8C",'Riesgos de gestión'!$O$54),"")</f>
        <v/>
      </c>
      <c r="AE13" s="53" t="str">
        <f>IF(AND('Riesgos de gestión'!$Y$55="Muy Alta",'Riesgos de gestión'!$AA$55="Mayor"),CONCATENATE("R8C",'Riesgos de gestión'!$O$55),"")</f>
        <v/>
      </c>
      <c r="AF13" s="53" t="str">
        <f>IF(AND('Riesgos de gestión'!$Y$56="Muy Alta",'Riesgos de gestión'!$AA$56="Mayor"),CONCATENATE("R8C",'Riesgos de gestión'!$O$56),"")</f>
        <v/>
      </c>
      <c r="AG13" s="54" t="str">
        <f>IF(AND('Riesgos de gestión'!$Y$57="Muy Alta",'Riesgos de gestión'!$AA$57="Mayor"),CONCATENATE("R8C",'Riesgos de gestión'!$O$57),"")</f>
        <v/>
      </c>
      <c r="AH13" s="55" t="str">
        <f>IF(AND('Riesgos de gestión'!$Y$52="Muy Alta",'Riesgos de gestión'!$AA$52="Catastrófico"),CONCATENATE("R8C",'Riesgos de gestión'!$O$52),"")</f>
        <v/>
      </c>
      <c r="AI13" s="56" t="str">
        <f>IF(AND('Riesgos de gestión'!$Y$53="Muy Alta",'Riesgos de gestión'!$AA$53="Catastrófico"),CONCATENATE("R8C",'Riesgos de gestión'!$O$53),"")</f>
        <v/>
      </c>
      <c r="AJ13" s="56" t="str">
        <f>IF(AND('Riesgos de gestión'!$Y$54="Muy Alta",'Riesgos de gestión'!$AA$54="Catastrófico"),CONCATENATE("R8C",'Riesgos de gestión'!$O$54),"")</f>
        <v/>
      </c>
      <c r="AK13" s="56" t="str">
        <f>IF(AND('Riesgos de gestión'!$Y$55="Muy Alta",'Riesgos de gestión'!$AA$55="Catastrófico"),CONCATENATE("R8C",'Riesgos de gestión'!$O$55),"")</f>
        <v/>
      </c>
      <c r="AL13" s="56" t="str">
        <f>IF(AND('Riesgos de gestión'!$Y$56="Muy Alta",'Riesgos de gestión'!$AA$56="Catastrófico"),CONCATENATE("R8C",'Riesgos de gestión'!$O$56),"")</f>
        <v/>
      </c>
      <c r="AM13" s="57" t="str">
        <f>IF(AND('Riesgos de gestión'!$Y$57="Muy Alta",'Riesgos de gestión'!$AA$57="Catastrófico"),CONCATENATE("R8C",'Riesgos de gestión'!$O$57),"")</f>
        <v/>
      </c>
      <c r="AN13" s="83"/>
      <c r="AO13" s="1205"/>
      <c r="AP13" s="1206"/>
      <c r="AQ13" s="1206"/>
      <c r="AR13" s="1206"/>
      <c r="AS13" s="1206"/>
      <c r="AT13" s="1207"/>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row>
    <row r="14" spans="1:91" ht="15" customHeight="1" x14ac:dyDescent="0.25">
      <c r="A14" s="83"/>
      <c r="B14" s="1144"/>
      <c r="C14" s="1144"/>
      <c r="D14" s="1145"/>
      <c r="E14" s="1185"/>
      <c r="F14" s="1186"/>
      <c r="G14" s="1186"/>
      <c r="H14" s="1186"/>
      <c r="I14" s="1187"/>
      <c r="J14" s="52" t="str">
        <f>IF(AND('Riesgos de gestión'!$Y$58="Muy Alta",'Riesgos de gestión'!$AA$58="Leve"),CONCATENATE("R9C",'Riesgos de gestión'!$O$58),"")</f>
        <v/>
      </c>
      <c r="K14" s="53" t="str">
        <f>IF(AND('Riesgos de gestión'!$Y$59="Muy Alta",'Riesgos de gestión'!$AA$59="Leve"),CONCATENATE("R9C",'Riesgos de gestión'!$O$59),"")</f>
        <v/>
      </c>
      <c r="L14" s="53" t="str">
        <f>IF(AND('Riesgos de gestión'!$Y$60="Muy Alta",'Riesgos de gestión'!$AA$60="Leve"),CONCATENATE("R9C",'Riesgos de gestión'!$O$60),"")</f>
        <v/>
      </c>
      <c r="M14" s="53" t="str">
        <f>IF(AND('Riesgos de gestión'!$Y$61="Muy Alta",'Riesgos de gestión'!$AA$61="Leve"),CONCATENATE("R9C",'Riesgos de gestión'!$O$61),"")</f>
        <v/>
      </c>
      <c r="N14" s="53" t="str">
        <f>IF(AND('Riesgos de gestión'!$Y$62="Muy Alta",'Riesgos de gestión'!$AA$62="Leve"),CONCATENATE("R9C",'Riesgos de gestión'!$O$62),"")</f>
        <v/>
      </c>
      <c r="O14" s="54" t="str">
        <f>IF(AND('Riesgos de gestión'!$Y$63="Muy Alta",'Riesgos de gestión'!$AA$63="Leve"),CONCATENATE("R9C",'Riesgos de gestión'!$O$63),"")</f>
        <v/>
      </c>
      <c r="P14" s="52" t="str">
        <f>IF(AND('Riesgos de gestión'!$Y$58="Muy Alta",'Riesgos de gestión'!$AA$58="Menor"),CONCATENATE("R9C",'Riesgos de gestión'!$O$58),"")</f>
        <v/>
      </c>
      <c r="Q14" s="53" t="str">
        <f>IF(AND('Riesgos de gestión'!$Y$59="Muy Alta",'Riesgos de gestión'!$AA$59="Menor"),CONCATENATE("R9C",'Riesgos de gestión'!$O$59),"")</f>
        <v/>
      </c>
      <c r="R14" s="53" t="str">
        <f>IF(AND('Riesgos de gestión'!$Y$60="Muy Alta",'Riesgos de gestión'!$AA$60="Menor"),CONCATENATE("R9C",'Riesgos de gestión'!$O$60),"")</f>
        <v/>
      </c>
      <c r="S14" s="53" t="str">
        <f>IF(AND('Riesgos de gestión'!$Y$61="Muy Alta",'Riesgos de gestión'!$AA$61="Menor"),CONCATENATE("R9C",'Riesgos de gestión'!$O$61),"")</f>
        <v/>
      </c>
      <c r="T14" s="53" t="str">
        <f>IF(AND('Riesgos de gestión'!$Y$62="Muy Alta",'Riesgos de gestión'!$AA$62="Menor"),CONCATENATE("R9C",'Riesgos de gestión'!$O$62),"")</f>
        <v/>
      </c>
      <c r="U14" s="54" t="str">
        <f>IF(AND('Riesgos de gestión'!$Y$63="Muy Alta",'Riesgos de gestión'!$AA$63="Menor"),CONCATENATE("R9C",'Riesgos de gestión'!$O$63),"")</f>
        <v/>
      </c>
      <c r="V14" s="52" t="str">
        <f>IF(AND('Riesgos de gestión'!$Y$58="Muy Alta",'Riesgos de gestión'!$AA$58="Moderado"),CONCATENATE("R9C",'Riesgos de gestión'!$O$58),"")</f>
        <v/>
      </c>
      <c r="W14" s="53" t="str">
        <f>IF(AND('Riesgos de gestión'!$Y$59="Muy Alta",'Riesgos de gestión'!$AA$59="Moderado"),CONCATENATE("R9C",'Riesgos de gestión'!$O$59),"")</f>
        <v/>
      </c>
      <c r="X14" s="53" t="str">
        <f>IF(AND('Riesgos de gestión'!$Y$60="Muy Alta",'Riesgos de gestión'!$AA$60="Moderado"),CONCATENATE("R9C",'Riesgos de gestión'!$O$60),"")</f>
        <v/>
      </c>
      <c r="Y14" s="53" t="str">
        <f>IF(AND('Riesgos de gestión'!$Y$61="Muy Alta",'Riesgos de gestión'!$AA$61="Moderado"),CONCATENATE("R9C",'Riesgos de gestión'!$O$61),"")</f>
        <v/>
      </c>
      <c r="Z14" s="53" t="str">
        <f>IF(AND('Riesgos de gestión'!$Y$62="Muy Alta",'Riesgos de gestión'!$AA$62="Moderado"),CONCATENATE("R9C",'Riesgos de gestión'!$O$62),"")</f>
        <v/>
      </c>
      <c r="AA14" s="54" t="str">
        <f>IF(AND('Riesgos de gestión'!$Y$63="Muy Alta",'Riesgos de gestión'!$AA$63="Moderado"),CONCATENATE("R9C",'Riesgos de gestión'!$O$63),"")</f>
        <v/>
      </c>
      <c r="AB14" s="52" t="str">
        <f>IF(AND('Riesgos de gestión'!$Y$58="Muy Alta",'Riesgos de gestión'!$AA$58="Mayor"),CONCATENATE("R9C",'Riesgos de gestión'!$O$58),"")</f>
        <v/>
      </c>
      <c r="AC14" s="53" t="str">
        <f>IF(AND('Riesgos de gestión'!$Y$59="Muy Alta",'Riesgos de gestión'!$AA$59="Mayor"),CONCATENATE("R9C",'Riesgos de gestión'!$O$59),"")</f>
        <v/>
      </c>
      <c r="AD14" s="53" t="str">
        <f>IF(AND('Riesgos de gestión'!$Y$60="Muy Alta",'Riesgos de gestión'!$AA$60="Mayor"),CONCATENATE("R9C",'Riesgos de gestión'!$O$60),"")</f>
        <v/>
      </c>
      <c r="AE14" s="53" t="str">
        <f>IF(AND('Riesgos de gestión'!$Y$61="Muy Alta",'Riesgos de gestión'!$AA$61="Mayor"),CONCATENATE("R9C",'Riesgos de gestión'!$O$61),"")</f>
        <v/>
      </c>
      <c r="AF14" s="53" t="str">
        <f>IF(AND('Riesgos de gestión'!$Y$62="Muy Alta",'Riesgos de gestión'!$AA$62="Mayor"),CONCATENATE("R9C",'Riesgos de gestión'!$O$62),"")</f>
        <v/>
      </c>
      <c r="AG14" s="54" t="str">
        <f>IF(AND('Riesgos de gestión'!$Y$63="Muy Alta",'Riesgos de gestión'!$AA$63="Mayor"),CONCATENATE("R9C",'Riesgos de gestión'!$O$63),"")</f>
        <v/>
      </c>
      <c r="AH14" s="55" t="str">
        <f>IF(AND('Riesgos de gestión'!$Y$58="Muy Alta",'Riesgos de gestión'!$AA$58="Catastrófico"),CONCATENATE("R9C",'Riesgos de gestión'!$O$58),"")</f>
        <v/>
      </c>
      <c r="AI14" s="56" t="str">
        <f>IF(AND('Riesgos de gestión'!$Y$59="Muy Alta",'Riesgos de gestión'!$AA$59="Catastrófico"),CONCATENATE("R9C",'Riesgos de gestión'!$O$59),"")</f>
        <v/>
      </c>
      <c r="AJ14" s="56" t="str">
        <f>IF(AND('Riesgos de gestión'!$Y$60="Muy Alta",'Riesgos de gestión'!$AA$60="Catastrófico"),CONCATENATE("R9C",'Riesgos de gestión'!$O$60),"")</f>
        <v/>
      </c>
      <c r="AK14" s="56" t="str">
        <f>IF(AND('Riesgos de gestión'!$Y$61="Muy Alta",'Riesgos de gestión'!$AA$61="Catastrófico"),CONCATENATE("R9C",'Riesgos de gestión'!$O$61),"")</f>
        <v/>
      </c>
      <c r="AL14" s="56" t="str">
        <f>IF(AND('Riesgos de gestión'!$Y$62="Muy Alta",'Riesgos de gestión'!$AA$62="Catastrófico"),CONCATENATE("R9C",'Riesgos de gestión'!$O$62),"")</f>
        <v/>
      </c>
      <c r="AM14" s="57" t="str">
        <f>IF(AND('Riesgos de gestión'!$Y$63="Muy Alta",'Riesgos de gestión'!$AA$63="Catastrófico"),CONCATENATE("R9C",'Riesgos de gestión'!$O$63),"")</f>
        <v/>
      </c>
      <c r="AN14" s="83"/>
      <c r="AO14" s="1205"/>
      <c r="AP14" s="1206"/>
      <c r="AQ14" s="1206"/>
      <c r="AR14" s="1206"/>
      <c r="AS14" s="1206"/>
      <c r="AT14" s="1207"/>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row>
    <row r="15" spans="1:91" ht="15.75" customHeight="1" thickBot="1" x14ac:dyDescent="0.3">
      <c r="A15" s="83"/>
      <c r="B15" s="1144"/>
      <c r="C15" s="1144"/>
      <c r="D15" s="1145"/>
      <c r="E15" s="1188"/>
      <c r="F15" s="1189"/>
      <c r="G15" s="1189"/>
      <c r="H15" s="1189"/>
      <c r="I15" s="1190"/>
      <c r="J15" s="58" t="str">
        <f>IF(AND('Riesgos de gestión'!$Y$64="Muy Alta",'Riesgos de gestión'!$AA$64="Leve"),CONCATENATE("R10C",'Riesgos de gestión'!$O$64),"")</f>
        <v/>
      </c>
      <c r="K15" s="59" t="str">
        <f>IF(AND('Riesgos de gestión'!$Y$65="Muy Alta",'Riesgos de gestión'!$AA$65="Leve"),CONCATENATE("R10C",'Riesgos de gestión'!$O$65),"")</f>
        <v/>
      </c>
      <c r="L15" s="59" t="str">
        <f>IF(AND('Riesgos de gestión'!$Y$66="Muy Alta",'Riesgos de gestión'!$AA$66="Leve"),CONCATENATE("R10C",'Riesgos de gestión'!$O$66),"")</f>
        <v/>
      </c>
      <c r="M15" s="59" t="str">
        <f>IF(AND('Riesgos de gestión'!$Y$67="Muy Alta",'Riesgos de gestión'!$AA$67="Leve"),CONCATENATE("R10C",'Riesgos de gestión'!$O$67),"")</f>
        <v/>
      </c>
      <c r="N15" s="59" t="str">
        <f>IF(AND('Riesgos de gestión'!$Y$68="Muy Alta",'Riesgos de gestión'!$AA$68="Leve"),CONCATENATE("R10C",'Riesgos de gestión'!$O$68),"")</f>
        <v/>
      </c>
      <c r="O15" s="60" t="str">
        <f>IF(AND('Riesgos de gestión'!$Y$69="Muy Alta",'Riesgos de gestión'!$AA$69="Leve"),CONCATENATE("R10C",'Riesgos de gestión'!$O$69),"")</f>
        <v/>
      </c>
      <c r="P15" s="52" t="str">
        <f>IF(AND('Riesgos de gestión'!$Y$64="Muy Alta",'Riesgos de gestión'!$AA$64="Menor"),CONCATENATE("R10C",'Riesgos de gestión'!$O$64),"")</f>
        <v/>
      </c>
      <c r="Q15" s="53" t="str">
        <f>IF(AND('Riesgos de gestión'!$Y$65="Muy Alta",'Riesgos de gestión'!$AA$65="Menor"),CONCATENATE("R10C",'Riesgos de gestión'!$O$65),"")</f>
        <v/>
      </c>
      <c r="R15" s="53" t="str">
        <f>IF(AND('Riesgos de gestión'!$Y$66="Muy Alta",'Riesgos de gestión'!$AA$66="Menor"),CONCATENATE("R10C",'Riesgos de gestión'!$O$66),"")</f>
        <v/>
      </c>
      <c r="S15" s="53" t="str">
        <f>IF(AND('Riesgos de gestión'!$Y$67="Muy Alta",'Riesgos de gestión'!$AA$67="Menor"),CONCATENATE("R10C",'Riesgos de gestión'!$O$67),"")</f>
        <v/>
      </c>
      <c r="T15" s="53" t="str">
        <f>IF(AND('Riesgos de gestión'!$Y$68="Muy Alta",'Riesgos de gestión'!$AA$68="Menor"),CONCATENATE("R10C",'Riesgos de gestión'!$O$68),"")</f>
        <v/>
      </c>
      <c r="U15" s="54" t="str">
        <f>IF(AND('Riesgos de gestión'!$Y$69="Muy Alta",'Riesgos de gestión'!$AA$69="Menor"),CONCATENATE("R10C",'Riesgos de gestión'!$O$69),"")</f>
        <v/>
      </c>
      <c r="V15" s="58" t="str">
        <f>IF(AND('Riesgos de gestión'!$Y$64="Muy Alta",'Riesgos de gestión'!$AA$64="Moderado"),CONCATENATE("R10C",'Riesgos de gestión'!$O$64),"")</f>
        <v/>
      </c>
      <c r="W15" s="59" t="str">
        <f>IF(AND('Riesgos de gestión'!$Y$65="Muy Alta",'Riesgos de gestión'!$AA$65="Moderado"),CONCATENATE("R10C",'Riesgos de gestión'!$O$65),"")</f>
        <v/>
      </c>
      <c r="X15" s="59" t="str">
        <f>IF(AND('Riesgos de gestión'!$Y$66="Muy Alta",'Riesgos de gestión'!$AA$66="Moderado"),CONCATENATE("R10C",'Riesgos de gestión'!$O$66),"")</f>
        <v/>
      </c>
      <c r="Y15" s="59" t="str">
        <f>IF(AND('Riesgos de gestión'!$Y$67="Muy Alta",'Riesgos de gestión'!$AA$67="Moderado"),CONCATENATE("R10C",'Riesgos de gestión'!$O$67),"")</f>
        <v/>
      </c>
      <c r="Z15" s="59" t="str">
        <f>IF(AND('Riesgos de gestión'!$Y$68="Muy Alta",'Riesgos de gestión'!$AA$68="Moderado"),CONCATENATE("R10C",'Riesgos de gestión'!$O$68),"")</f>
        <v/>
      </c>
      <c r="AA15" s="60" t="str">
        <f>IF(AND('Riesgos de gestión'!$Y$69="Muy Alta",'Riesgos de gestión'!$AA$69="Moderado"),CONCATENATE("R10C",'Riesgos de gestión'!$O$69),"")</f>
        <v/>
      </c>
      <c r="AB15" s="52" t="str">
        <f>IF(AND('Riesgos de gestión'!$Y$64="Muy Alta",'Riesgos de gestión'!$AA$64="Mayor"),CONCATENATE("R10C",'Riesgos de gestión'!$O$64),"")</f>
        <v/>
      </c>
      <c r="AC15" s="53" t="str">
        <f>IF(AND('Riesgos de gestión'!$Y$65="Muy Alta",'Riesgos de gestión'!$AA$65="Mayor"),CONCATENATE("R10C",'Riesgos de gestión'!$O$65),"")</f>
        <v/>
      </c>
      <c r="AD15" s="53" t="str">
        <f>IF(AND('Riesgos de gestión'!$Y$66="Muy Alta",'Riesgos de gestión'!$AA$66="Mayor"),CONCATENATE("R10C",'Riesgos de gestión'!$O$66),"")</f>
        <v/>
      </c>
      <c r="AE15" s="53" t="str">
        <f>IF(AND('Riesgos de gestión'!$Y$67="Muy Alta",'Riesgos de gestión'!$AA$67="Mayor"),CONCATENATE("R10C",'Riesgos de gestión'!$O$67),"")</f>
        <v/>
      </c>
      <c r="AF15" s="53" t="str">
        <f>IF(AND('Riesgos de gestión'!$Y$68="Muy Alta",'Riesgos de gestión'!$AA$68="Mayor"),CONCATENATE("R10C",'Riesgos de gestión'!$O$68),"")</f>
        <v/>
      </c>
      <c r="AG15" s="54" t="str">
        <f>IF(AND('Riesgos de gestión'!$Y$69="Muy Alta",'Riesgos de gestión'!$AA$69="Mayor"),CONCATENATE("R10C",'Riesgos de gestión'!$O$69),"")</f>
        <v/>
      </c>
      <c r="AH15" s="61" t="str">
        <f>IF(AND('Riesgos de gestión'!$Y$64="Muy Alta",'Riesgos de gestión'!$AA$64="Catastrófico"),CONCATENATE("R10C",'Riesgos de gestión'!$O$64),"")</f>
        <v/>
      </c>
      <c r="AI15" s="62" t="str">
        <f>IF(AND('Riesgos de gestión'!$Y$65="Muy Alta",'Riesgos de gestión'!$AA$65="Catastrófico"),CONCATENATE("R10C",'Riesgos de gestión'!$O$65),"")</f>
        <v/>
      </c>
      <c r="AJ15" s="62" t="str">
        <f>IF(AND('Riesgos de gestión'!$Y$66="Muy Alta",'Riesgos de gestión'!$AA$66="Catastrófico"),CONCATENATE("R10C",'Riesgos de gestión'!$O$66),"")</f>
        <v/>
      </c>
      <c r="AK15" s="62" t="str">
        <f>IF(AND('Riesgos de gestión'!$Y$67="Muy Alta",'Riesgos de gestión'!$AA$67="Catastrófico"),CONCATENATE("R10C",'Riesgos de gestión'!$O$67),"")</f>
        <v/>
      </c>
      <c r="AL15" s="62" t="str">
        <f>IF(AND('Riesgos de gestión'!$Y$68="Muy Alta",'Riesgos de gestión'!$AA$68="Catastrófico"),CONCATENATE("R10C",'Riesgos de gestión'!$O$68),"")</f>
        <v/>
      </c>
      <c r="AM15" s="63" t="str">
        <f>IF(AND('Riesgos de gestión'!$Y$69="Muy Alta",'Riesgos de gestión'!$AA$69="Catastrófico"),CONCATENATE("R10C",'Riesgos de gestión'!$O$69),"")</f>
        <v/>
      </c>
      <c r="AN15" s="83"/>
      <c r="AO15" s="1208"/>
      <c r="AP15" s="1209"/>
      <c r="AQ15" s="1209"/>
      <c r="AR15" s="1209"/>
      <c r="AS15" s="1209"/>
      <c r="AT15" s="1210"/>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row>
    <row r="16" spans="1:91" ht="15" customHeight="1" x14ac:dyDescent="0.25">
      <c r="A16" s="83"/>
      <c r="B16" s="1144"/>
      <c r="C16" s="1144"/>
      <c r="D16" s="1145"/>
      <c r="E16" s="1182" t="s">
        <v>115</v>
      </c>
      <c r="F16" s="1183"/>
      <c r="G16" s="1183"/>
      <c r="H16" s="1183"/>
      <c r="I16" s="1183"/>
      <c r="J16" s="64" t="str">
        <f ca="1">IF(AND('Riesgos de gestión'!$Y$10="Alta",'Riesgos de gestión'!$AA$10="Leve"),CONCATENATE("R1C",'Riesgos de gestión'!$O$10),"")</f>
        <v/>
      </c>
      <c r="K16" s="65" t="str">
        <f>IF(AND('Riesgos de gestión'!$Y$11="Alta",'Riesgos de gestión'!$AA$11="Leve"),CONCATENATE("R1C",'Riesgos de gestión'!$O$11),"")</f>
        <v/>
      </c>
      <c r="L16" s="65" t="str">
        <f>IF(AND('Riesgos de gestión'!$Y$12="Alta",'Riesgos de gestión'!$AA$12="Leve"),CONCATENATE("R1C",'Riesgos de gestión'!$O$12),"")</f>
        <v/>
      </c>
      <c r="M16" s="65" t="str">
        <f>IF(AND('Riesgos de gestión'!$Y$13="Alta",'Riesgos de gestión'!$AA$13="Leve"),CONCATENATE("R1C",'Riesgos de gestión'!$O$13),"")</f>
        <v/>
      </c>
      <c r="N16" s="65" t="str">
        <f>IF(AND('Riesgos de gestión'!$Y$14="Alta",'Riesgos de gestión'!$AA$14="Leve"),CONCATENATE("R1C",'Riesgos de gestión'!$O$14),"")</f>
        <v/>
      </c>
      <c r="O16" s="66" t="str">
        <f>IF(AND('Riesgos de gestión'!$Y$15="Alta",'Riesgos de gestión'!$AA$15="Leve"),CONCATENATE("R1C",'Riesgos de gestión'!$O$15),"")</f>
        <v/>
      </c>
      <c r="P16" s="64" t="str">
        <f ca="1">IF(AND('Riesgos de gestión'!$Y$10="Alta",'Riesgos de gestión'!$AA$10="Menor"),CONCATENATE("R1C",'Riesgos de gestión'!$O$10),"")</f>
        <v/>
      </c>
      <c r="Q16" s="65" t="str">
        <f>IF(AND('Riesgos de gestión'!$Y$11="Alta",'Riesgos de gestión'!$AA$11="Menor"),CONCATENATE("R1C",'Riesgos de gestión'!$O$11),"")</f>
        <v/>
      </c>
      <c r="R16" s="65" t="str">
        <f>IF(AND('Riesgos de gestión'!$Y$12="Alta",'Riesgos de gestión'!$AA$12="Menor"),CONCATENATE("R1C",'Riesgos de gestión'!$O$12),"")</f>
        <v/>
      </c>
      <c r="S16" s="65" t="str">
        <f>IF(AND('Riesgos de gestión'!$Y$13="Alta",'Riesgos de gestión'!$AA$13="Menor"),CONCATENATE("R1C",'Riesgos de gestión'!$O$13),"")</f>
        <v/>
      </c>
      <c r="T16" s="65" t="str">
        <f>IF(AND('Riesgos de gestión'!$Y$14="Alta",'Riesgos de gestión'!$AA$14="Menor"),CONCATENATE("R1C",'Riesgos de gestión'!$O$14),"")</f>
        <v/>
      </c>
      <c r="U16" s="66" t="str">
        <f>IF(AND('Riesgos de gestión'!$Y$15="Alta",'Riesgos de gestión'!$AA$15="Menor"),CONCATENATE("R1C",'Riesgos de gestión'!$O$15),"")</f>
        <v/>
      </c>
      <c r="V16" s="46" t="str">
        <f ca="1">IF(AND('Riesgos de gestión'!$Y$10="Alta",'Riesgos de gestión'!$AA$10="Moderado"),CONCATENATE("R1C",'Riesgos de gestión'!$O$10),"")</f>
        <v/>
      </c>
      <c r="W16" s="47" t="str">
        <f>IF(AND('Riesgos de gestión'!$Y$11="Alta",'Riesgos de gestión'!$AA$11="Moderado"),CONCATENATE("R1C",'Riesgos de gestión'!$O$11),"")</f>
        <v/>
      </c>
      <c r="X16" s="47" t="str">
        <f>IF(AND('Riesgos de gestión'!$Y$12="Alta",'Riesgos de gestión'!$AA$12="Moderado"),CONCATENATE("R1C",'Riesgos de gestión'!$O$12),"")</f>
        <v/>
      </c>
      <c r="Y16" s="47" t="str">
        <f>IF(AND('Riesgos de gestión'!$Y$13="Alta",'Riesgos de gestión'!$AA$13="Moderado"),CONCATENATE("R1C",'Riesgos de gestión'!$O$13),"")</f>
        <v/>
      </c>
      <c r="Z16" s="47" t="str">
        <f>IF(AND('Riesgos de gestión'!$Y$14="Alta",'Riesgos de gestión'!$AA$14="Moderado"),CONCATENATE("R1C",'Riesgos de gestión'!$O$14),"")</f>
        <v/>
      </c>
      <c r="AA16" s="48" t="str">
        <f>IF(AND('Riesgos de gestión'!$Y$15="Alta",'Riesgos de gestión'!$AA$15="Moderado"),CONCATENATE("R1C",'Riesgos de gestión'!$O$15),"")</f>
        <v/>
      </c>
      <c r="AB16" s="46" t="str">
        <f ca="1">IF(AND('Riesgos de gestión'!$Y$10="Alta",'Riesgos de gestión'!$AA$10="Mayor"),CONCATENATE("R1C",'Riesgos de gestión'!$O$10),"")</f>
        <v/>
      </c>
      <c r="AC16" s="47" t="str">
        <f>IF(AND('Riesgos de gestión'!$Y$11="Alta",'Riesgos de gestión'!$AA$11="Mayor"),CONCATENATE("R1C",'Riesgos de gestión'!$O$11),"")</f>
        <v/>
      </c>
      <c r="AD16" s="47" t="str">
        <f>IF(AND('Riesgos de gestión'!$Y$12="Alta",'Riesgos de gestión'!$AA$12="Mayor"),CONCATENATE("R1C",'Riesgos de gestión'!$O$12),"")</f>
        <v/>
      </c>
      <c r="AE16" s="47" t="str">
        <f>IF(AND('Riesgos de gestión'!$Y$13="Alta",'Riesgos de gestión'!$AA$13="Mayor"),CONCATENATE("R1C",'Riesgos de gestión'!$O$13),"")</f>
        <v/>
      </c>
      <c r="AF16" s="47" t="str">
        <f>IF(AND('Riesgos de gestión'!$Y$14="Alta",'Riesgos de gestión'!$AA$14="Mayor"),CONCATENATE("R1C",'Riesgos de gestión'!$O$14),"")</f>
        <v/>
      </c>
      <c r="AG16" s="48" t="str">
        <f>IF(AND('Riesgos de gestión'!$Y$15="Alta",'Riesgos de gestión'!$AA$15="Mayor"),CONCATENATE("R1C",'Riesgos de gestión'!$O$15),"")</f>
        <v/>
      </c>
      <c r="AH16" s="49" t="str">
        <f ca="1">IF(AND('Riesgos de gestión'!$Y$10="Alta",'Riesgos de gestión'!$AA$10="Catastrófico"),CONCATENATE("R1C",'Riesgos de gestión'!$O$10),"")</f>
        <v/>
      </c>
      <c r="AI16" s="50" t="str">
        <f>IF(AND('Riesgos de gestión'!$Y$11="Alta",'Riesgos de gestión'!$AA$11="Catastrófico"),CONCATENATE("R1C",'Riesgos de gestión'!$O$11),"")</f>
        <v/>
      </c>
      <c r="AJ16" s="50" t="str">
        <f>IF(AND('Riesgos de gestión'!$Y$12="Alta",'Riesgos de gestión'!$AA$12="Catastrófico"),CONCATENATE("R1C",'Riesgos de gestión'!$O$12),"")</f>
        <v/>
      </c>
      <c r="AK16" s="50" t="str">
        <f>IF(AND('Riesgos de gestión'!$Y$13="Alta",'Riesgos de gestión'!$AA$13="Catastrófico"),CONCATENATE("R1C",'Riesgos de gestión'!$O$13),"")</f>
        <v/>
      </c>
      <c r="AL16" s="50" t="str">
        <f>IF(AND('Riesgos de gestión'!$Y$14="Alta",'Riesgos de gestión'!$AA$14="Catastrófico"),CONCATENATE("R1C",'Riesgos de gestión'!$O$14),"")</f>
        <v/>
      </c>
      <c r="AM16" s="51" t="str">
        <f>IF(AND('Riesgos de gestión'!$Y$15="Alta",'Riesgos de gestión'!$AA$15="Catastrófico"),CONCATENATE("R1C",'Riesgos de gestión'!$O$15),"")</f>
        <v/>
      </c>
      <c r="AN16" s="83"/>
      <c r="AO16" s="1192" t="s">
        <v>80</v>
      </c>
      <c r="AP16" s="1193"/>
      <c r="AQ16" s="1193"/>
      <c r="AR16" s="1193"/>
      <c r="AS16" s="1193"/>
      <c r="AT16" s="1194"/>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row>
    <row r="17" spans="1:76" ht="15" customHeight="1" x14ac:dyDescent="0.25">
      <c r="A17" s="83"/>
      <c r="B17" s="1144"/>
      <c r="C17" s="1144"/>
      <c r="D17" s="1145"/>
      <c r="E17" s="1201"/>
      <c r="F17" s="1186"/>
      <c r="G17" s="1186"/>
      <c r="H17" s="1186"/>
      <c r="I17" s="1186"/>
      <c r="J17" s="67" t="str">
        <f>IF(AND('Riesgos de gestión'!$Y$16="Alta",'Riesgos de gestión'!$AA$16="Leve"),CONCATENATE("R2C",'Riesgos de gestión'!$O$16),"")</f>
        <v/>
      </c>
      <c r="K17" s="68" t="str">
        <f>IF(AND('Riesgos de gestión'!$Y$17="Alta",'Riesgos de gestión'!$AA$17="Leve"),CONCATENATE("R2C",'Riesgos de gestión'!$O$17),"")</f>
        <v/>
      </c>
      <c r="L17" s="68" t="str">
        <f>IF(AND('Riesgos de gestión'!$Y$18="Alta",'Riesgos de gestión'!$AA$18="Leve"),CONCATENATE("R2C",'Riesgos de gestión'!$O$18),"")</f>
        <v/>
      </c>
      <c r="M17" s="68" t="str">
        <f>IF(AND('Riesgos de gestión'!$Y$19="Alta",'Riesgos de gestión'!$AA$19="Leve"),CONCATENATE("R2C",'Riesgos de gestión'!$O$19),"")</f>
        <v/>
      </c>
      <c r="N17" s="68" t="str">
        <f>IF(AND('Riesgos de gestión'!$Y$20="Alta",'Riesgos de gestión'!$AA$20="Leve"),CONCATENATE("R2C",'Riesgos de gestión'!$O$20),"")</f>
        <v/>
      </c>
      <c r="O17" s="69" t="str">
        <f>IF(AND('Riesgos de gestión'!$Y$21="Alta",'Riesgos de gestión'!$AA$21="Leve"),CONCATENATE("R2C",'Riesgos de gestión'!$O$21),"")</f>
        <v/>
      </c>
      <c r="P17" s="67" t="str">
        <f>IF(AND('Riesgos de gestión'!$Y$16="Alta",'Riesgos de gestión'!$AA$16="Menor"),CONCATENATE("R2C",'Riesgos de gestión'!$O$16),"")</f>
        <v/>
      </c>
      <c r="Q17" s="68" t="str">
        <f>IF(AND('Riesgos de gestión'!$Y$17="Alta",'Riesgos de gestión'!$AA$17="Menor"),CONCATENATE("R2C",'Riesgos de gestión'!$O$17),"")</f>
        <v/>
      </c>
      <c r="R17" s="68" t="str">
        <f>IF(AND('Riesgos de gestión'!$Y$18="Alta",'Riesgos de gestión'!$AA$18="Menor"),CONCATENATE("R2C",'Riesgos de gestión'!$O$18),"")</f>
        <v/>
      </c>
      <c r="S17" s="68" t="str">
        <f>IF(AND('Riesgos de gestión'!$Y$19="Alta",'Riesgos de gestión'!$AA$19="Menor"),CONCATENATE("R2C",'Riesgos de gestión'!$O$19),"")</f>
        <v/>
      </c>
      <c r="T17" s="68" t="str">
        <f>IF(AND('Riesgos de gestión'!$Y$20="Alta",'Riesgos de gestión'!$AA$20="Menor"),CONCATENATE("R2C",'Riesgos de gestión'!$O$20),"")</f>
        <v/>
      </c>
      <c r="U17" s="69" t="str">
        <f>IF(AND('Riesgos de gestión'!$Y$21="Alta",'Riesgos de gestión'!$AA$21="Menor"),CONCATENATE("R2C",'Riesgos de gestión'!$O$21),"")</f>
        <v/>
      </c>
      <c r="V17" s="52" t="str">
        <f>IF(AND('Riesgos de gestión'!$Y$16="Alta",'Riesgos de gestión'!$AA$16="Moderado"),CONCATENATE("R2C",'Riesgos de gestión'!$O$16),"")</f>
        <v/>
      </c>
      <c r="W17" s="53" t="str">
        <f>IF(AND('Riesgos de gestión'!$Y$17="Alta",'Riesgos de gestión'!$AA$17="Moderado"),CONCATENATE("R2C",'Riesgos de gestión'!$O$17),"")</f>
        <v/>
      </c>
      <c r="X17" s="53" t="str">
        <f>IF(AND('Riesgos de gestión'!$Y$18="Alta",'Riesgos de gestión'!$AA$18="Moderado"),CONCATENATE("R2C",'Riesgos de gestión'!$O$18),"")</f>
        <v/>
      </c>
      <c r="Y17" s="53" t="str">
        <f>IF(AND('Riesgos de gestión'!$Y$19="Alta",'Riesgos de gestión'!$AA$19="Moderado"),CONCATENATE("R2C",'Riesgos de gestión'!$O$19),"")</f>
        <v/>
      </c>
      <c r="Z17" s="53" t="str">
        <f>IF(AND('Riesgos de gestión'!$Y$20="Alta",'Riesgos de gestión'!$AA$20="Moderado"),CONCATENATE("R2C",'Riesgos de gestión'!$O$20),"")</f>
        <v/>
      </c>
      <c r="AA17" s="54" t="str">
        <f>IF(AND('Riesgos de gestión'!$Y$21="Alta",'Riesgos de gestión'!$AA$21="Moderado"),CONCATENATE("R2C",'Riesgos de gestión'!$O$21),"")</f>
        <v/>
      </c>
      <c r="AB17" s="52" t="str">
        <f>IF(AND('Riesgos de gestión'!$Y$16="Alta",'Riesgos de gestión'!$AA$16="Mayor"),CONCATENATE("R2C",'Riesgos de gestión'!$O$16),"")</f>
        <v/>
      </c>
      <c r="AC17" s="53" t="str">
        <f>IF(AND('Riesgos de gestión'!$Y$17="Alta",'Riesgos de gestión'!$AA$17="Mayor"),CONCATENATE("R2C",'Riesgos de gestión'!$O$17),"")</f>
        <v/>
      </c>
      <c r="AD17" s="53" t="str">
        <f>IF(AND('Riesgos de gestión'!$Y$18="Alta",'Riesgos de gestión'!$AA$18="Mayor"),CONCATENATE("R2C",'Riesgos de gestión'!$O$18),"")</f>
        <v/>
      </c>
      <c r="AE17" s="53" t="str">
        <f>IF(AND('Riesgos de gestión'!$Y$19="Alta",'Riesgos de gestión'!$AA$19="Mayor"),CONCATENATE("R2C",'Riesgos de gestión'!$O$19),"")</f>
        <v/>
      </c>
      <c r="AF17" s="53" t="str">
        <f>IF(AND('Riesgos de gestión'!$Y$20="Alta",'Riesgos de gestión'!$AA$20="Mayor"),CONCATENATE("R2C",'Riesgos de gestión'!$O$20),"")</f>
        <v/>
      </c>
      <c r="AG17" s="54" t="str">
        <f>IF(AND('Riesgos de gestión'!$Y$21="Alta",'Riesgos de gestión'!$AA$21="Mayor"),CONCATENATE("R2C",'Riesgos de gestión'!$O$21),"")</f>
        <v/>
      </c>
      <c r="AH17" s="55" t="str">
        <f>IF(AND('Riesgos de gestión'!$Y$16="Alta",'Riesgos de gestión'!$AA$16="Catastrófico"),CONCATENATE("R2C",'Riesgos de gestión'!$O$16),"")</f>
        <v/>
      </c>
      <c r="AI17" s="56" t="str">
        <f>IF(AND('Riesgos de gestión'!$Y$17="Alta",'Riesgos de gestión'!$AA$17="Catastrófico"),CONCATENATE("R2C",'Riesgos de gestión'!$O$17),"")</f>
        <v/>
      </c>
      <c r="AJ17" s="56" t="str">
        <f>IF(AND('Riesgos de gestión'!$Y$18="Alta",'Riesgos de gestión'!$AA$18="Catastrófico"),CONCATENATE("R2C",'Riesgos de gestión'!$O$18),"")</f>
        <v/>
      </c>
      <c r="AK17" s="56" t="str">
        <f>IF(AND('Riesgos de gestión'!$Y$19="Alta",'Riesgos de gestión'!$AA$19="Catastrófico"),CONCATENATE("R2C",'Riesgos de gestión'!$O$19),"")</f>
        <v/>
      </c>
      <c r="AL17" s="56" t="str">
        <f>IF(AND('Riesgos de gestión'!$Y$20="Alta",'Riesgos de gestión'!$AA$20="Catastrófico"),CONCATENATE("R2C",'Riesgos de gestión'!$O$20),"")</f>
        <v/>
      </c>
      <c r="AM17" s="57" t="str">
        <f>IF(AND('Riesgos de gestión'!$Y$21="Alta",'Riesgos de gestión'!$AA$21="Catastrófico"),CONCATENATE("R2C",'Riesgos de gestión'!$O$21),"")</f>
        <v/>
      </c>
      <c r="AN17" s="83"/>
      <c r="AO17" s="1195"/>
      <c r="AP17" s="1196"/>
      <c r="AQ17" s="1196"/>
      <c r="AR17" s="1196"/>
      <c r="AS17" s="1196"/>
      <c r="AT17" s="1197"/>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row>
    <row r="18" spans="1:76" ht="15" customHeight="1" x14ac:dyDescent="0.25">
      <c r="A18" s="83"/>
      <c r="B18" s="1144"/>
      <c r="C18" s="1144"/>
      <c r="D18" s="1145"/>
      <c r="E18" s="1185"/>
      <c r="F18" s="1186"/>
      <c r="G18" s="1186"/>
      <c r="H18" s="1186"/>
      <c r="I18" s="1186"/>
      <c r="J18" s="67" t="str">
        <f>IF(AND('Riesgos de gestión'!$Y$22="Alta",'Riesgos de gestión'!$AA$22="Leve"),CONCATENATE("R3C",'Riesgos de gestión'!$O$22),"")</f>
        <v/>
      </c>
      <c r="K18" s="68" t="str">
        <f>IF(AND('Riesgos de gestión'!$Y$23="Alta",'Riesgos de gestión'!$AA$23="Leve"),CONCATENATE("R3C",'Riesgos de gestión'!$O$23),"")</f>
        <v/>
      </c>
      <c r="L18" s="68" t="str">
        <f>IF(AND('Riesgos de gestión'!$Y$24="Alta",'Riesgos de gestión'!$AA$24="Leve"),CONCATENATE("R3C",'Riesgos de gestión'!$O$24),"")</f>
        <v/>
      </c>
      <c r="M18" s="68" t="str">
        <f>IF(AND('Riesgos de gestión'!$Y$25="Alta",'Riesgos de gestión'!$AA$25="Leve"),CONCATENATE("R3C",'Riesgos de gestión'!$O$25),"")</f>
        <v/>
      </c>
      <c r="N18" s="68" t="str">
        <f>IF(AND('Riesgos de gestión'!$Y$26="Alta",'Riesgos de gestión'!$AA$26="Leve"),CONCATENATE("R3C",'Riesgos de gestión'!$O$26),"")</f>
        <v/>
      </c>
      <c r="O18" s="69" t="str">
        <f>IF(AND('Riesgos de gestión'!$Y$27="Alta",'Riesgos de gestión'!$AA$27="Leve"),CONCATENATE("R3C",'Riesgos de gestión'!$O$27),"")</f>
        <v/>
      </c>
      <c r="P18" s="67" t="str">
        <f>IF(AND('Riesgos de gestión'!$Y$22="Alta",'Riesgos de gestión'!$AA$22="Menor"),CONCATENATE("R3C",'Riesgos de gestión'!$O$22),"")</f>
        <v/>
      </c>
      <c r="Q18" s="68" t="str">
        <f>IF(AND('Riesgos de gestión'!$Y$23="Alta",'Riesgos de gestión'!$AA$23="Menor"),CONCATENATE("R3C",'Riesgos de gestión'!$O$23),"")</f>
        <v/>
      </c>
      <c r="R18" s="68" t="str">
        <f>IF(AND('Riesgos de gestión'!$Y$24="Alta",'Riesgos de gestión'!$AA$24="Menor"),CONCATENATE("R3C",'Riesgos de gestión'!$O$24),"")</f>
        <v/>
      </c>
      <c r="S18" s="68" t="str">
        <f>IF(AND('Riesgos de gestión'!$Y$25="Alta",'Riesgos de gestión'!$AA$25="Menor"),CONCATENATE("R3C",'Riesgos de gestión'!$O$25),"")</f>
        <v/>
      </c>
      <c r="T18" s="68" t="str">
        <f>IF(AND('Riesgos de gestión'!$Y$26="Alta",'Riesgos de gestión'!$AA$26="Menor"),CONCATENATE("R3C",'Riesgos de gestión'!$O$26),"")</f>
        <v/>
      </c>
      <c r="U18" s="69" t="str">
        <f>IF(AND('Riesgos de gestión'!$Y$27="Alta",'Riesgos de gestión'!$AA$27="Menor"),CONCATENATE("R3C",'Riesgos de gestión'!$O$27),"")</f>
        <v/>
      </c>
      <c r="V18" s="52" t="str">
        <f>IF(AND('Riesgos de gestión'!$Y$22="Alta",'Riesgos de gestión'!$AA$22="Moderado"),CONCATENATE("R3C",'Riesgos de gestión'!$O$22),"")</f>
        <v/>
      </c>
      <c r="W18" s="53" t="str">
        <f>IF(AND('Riesgos de gestión'!$Y$23="Alta",'Riesgos de gestión'!$AA$23="Moderado"),CONCATENATE("R3C",'Riesgos de gestión'!$O$23),"")</f>
        <v/>
      </c>
      <c r="X18" s="53" t="str">
        <f>IF(AND('Riesgos de gestión'!$Y$24="Alta",'Riesgos de gestión'!$AA$24="Moderado"),CONCATENATE("R3C",'Riesgos de gestión'!$O$24),"")</f>
        <v/>
      </c>
      <c r="Y18" s="53" t="str">
        <f>IF(AND('Riesgos de gestión'!$Y$25="Alta",'Riesgos de gestión'!$AA$25="Moderado"),CONCATENATE("R3C",'Riesgos de gestión'!$O$25),"")</f>
        <v/>
      </c>
      <c r="Z18" s="53" t="str">
        <f>IF(AND('Riesgos de gestión'!$Y$26="Alta",'Riesgos de gestión'!$AA$26="Moderado"),CONCATENATE("R3C",'Riesgos de gestión'!$O$26),"")</f>
        <v/>
      </c>
      <c r="AA18" s="54" t="str">
        <f>IF(AND('Riesgos de gestión'!$Y$27="Alta",'Riesgos de gestión'!$AA$27="Moderado"),CONCATENATE("R3C",'Riesgos de gestión'!$O$27),"")</f>
        <v/>
      </c>
      <c r="AB18" s="52" t="str">
        <f>IF(AND('Riesgos de gestión'!$Y$22="Alta",'Riesgos de gestión'!$AA$22="Mayor"),CONCATENATE("R3C",'Riesgos de gestión'!$O$22),"")</f>
        <v/>
      </c>
      <c r="AC18" s="53" t="str">
        <f>IF(AND('Riesgos de gestión'!$Y$23="Alta",'Riesgos de gestión'!$AA$23="Mayor"),CONCATENATE("R3C",'Riesgos de gestión'!$O$23),"")</f>
        <v/>
      </c>
      <c r="AD18" s="53" t="str">
        <f>IF(AND('Riesgos de gestión'!$Y$24="Alta",'Riesgos de gestión'!$AA$24="Mayor"),CONCATENATE("R3C",'Riesgos de gestión'!$O$24),"")</f>
        <v/>
      </c>
      <c r="AE18" s="53" t="str">
        <f>IF(AND('Riesgos de gestión'!$Y$25="Alta",'Riesgos de gestión'!$AA$25="Mayor"),CONCATENATE("R3C",'Riesgos de gestión'!$O$25),"")</f>
        <v/>
      </c>
      <c r="AF18" s="53" t="str">
        <f>IF(AND('Riesgos de gestión'!$Y$26="Alta",'Riesgos de gestión'!$AA$26="Mayor"),CONCATENATE("R3C",'Riesgos de gestión'!$O$26),"")</f>
        <v/>
      </c>
      <c r="AG18" s="54" t="str">
        <f>IF(AND('Riesgos de gestión'!$Y$27="Alta",'Riesgos de gestión'!$AA$27="Mayor"),CONCATENATE("R3C",'Riesgos de gestión'!$O$27),"")</f>
        <v/>
      </c>
      <c r="AH18" s="55" t="str">
        <f>IF(AND('Riesgos de gestión'!$Y$22="Alta",'Riesgos de gestión'!$AA$22="Catastrófico"),CONCATENATE("R3C",'Riesgos de gestión'!$O$22),"")</f>
        <v/>
      </c>
      <c r="AI18" s="56" t="str">
        <f>IF(AND('Riesgos de gestión'!$Y$23="Alta",'Riesgos de gestión'!$AA$23="Catastrófico"),CONCATENATE("R3C",'Riesgos de gestión'!$O$23),"")</f>
        <v/>
      </c>
      <c r="AJ18" s="56" t="str">
        <f>IF(AND('Riesgos de gestión'!$Y$24="Alta",'Riesgos de gestión'!$AA$24="Catastrófico"),CONCATENATE("R3C",'Riesgos de gestión'!$O$24),"")</f>
        <v/>
      </c>
      <c r="AK18" s="56" t="str">
        <f>IF(AND('Riesgos de gestión'!$Y$25="Alta",'Riesgos de gestión'!$AA$25="Catastrófico"),CONCATENATE("R3C",'Riesgos de gestión'!$O$25),"")</f>
        <v/>
      </c>
      <c r="AL18" s="56" t="str">
        <f>IF(AND('Riesgos de gestión'!$Y$26="Alta",'Riesgos de gestión'!$AA$26="Catastrófico"),CONCATENATE("R3C",'Riesgos de gestión'!$O$26),"")</f>
        <v/>
      </c>
      <c r="AM18" s="57" t="str">
        <f>IF(AND('Riesgos de gestión'!$Y$27="Alta",'Riesgos de gestión'!$AA$27="Catastrófico"),CONCATENATE("R3C",'Riesgos de gestión'!$O$27),"")</f>
        <v/>
      </c>
      <c r="AN18" s="83"/>
      <c r="AO18" s="1195"/>
      <c r="AP18" s="1196"/>
      <c r="AQ18" s="1196"/>
      <c r="AR18" s="1196"/>
      <c r="AS18" s="1196"/>
      <c r="AT18" s="1197"/>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row>
    <row r="19" spans="1:76" ht="15" customHeight="1" x14ac:dyDescent="0.25">
      <c r="A19" s="83"/>
      <c r="B19" s="1144"/>
      <c r="C19" s="1144"/>
      <c r="D19" s="1145"/>
      <c r="E19" s="1185"/>
      <c r="F19" s="1186"/>
      <c r="G19" s="1186"/>
      <c r="H19" s="1186"/>
      <c r="I19" s="1186"/>
      <c r="J19" s="67" t="str">
        <f>IF(AND('Riesgos de gestión'!$Y$28="Alta",'Riesgos de gestión'!$AA$28="Leve"),CONCATENATE("R4C",'Riesgos de gestión'!$O$28),"")</f>
        <v/>
      </c>
      <c r="K19" s="68" t="str">
        <f>IF(AND('Riesgos de gestión'!$Y$29="Alta",'Riesgos de gestión'!$AA$29="Leve"),CONCATENATE("R4C",'Riesgos de gestión'!$O$29),"")</f>
        <v/>
      </c>
      <c r="L19" s="68" t="str">
        <f>IF(AND('Riesgos de gestión'!$Y$30="Alta",'Riesgos de gestión'!$AA$30="Leve"),CONCATENATE("R4C",'Riesgos de gestión'!$O$30),"")</f>
        <v/>
      </c>
      <c r="M19" s="68" t="str">
        <f>IF(AND('Riesgos de gestión'!$Y$31="Alta",'Riesgos de gestión'!$AA$31="Leve"),CONCATENATE("R4C",'Riesgos de gestión'!$O$31),"")</f>
        <v/>
      </c>
      <c r="N19" s="68" t="str">
        <f>IF(AND('Riesgos de gestión'!$Y$32="Alta",'Riesgos de gestión'!$AA$32="Leve"),CONCATENATE("R4C",'Riesgos de gestión'!$O$32),"")</f>
        <v/>
      </c>
      <c r="O19" s="69" t="str">
        <f>IF(AND('Riesgos de gestión'!$Y$33="Alta",'Riesgos de gestión'!$AA$33="Leve"),CONCATENATE("R4C",'Riesgos de gestión'!$O$33),"")</f>
        <v/>
      </c>
      <c r="P19" s="67" t="str">
        <f>IF(AND('Riesgos de gestión'!$Y$28="Alta",'Riesgos de gestión'!$AA$28="Menor"),CONCATENATE("R4C",'Riesgos de gestión'!$O$28),"")</f>
        <v/>
      </c>
      <c r="Q19" s="68" t="str">
        <f>IF(AND('Riesgos de gestión'!$Y$29="Alta",'Riesgos de gestión'!$AA$29="Menor"),CONCATENATE("R4C",'Riesgos de gestión'!$O$29),"")</f>
        <v/>
      </c>
      <c r="R19" s="68" t="str">
        <f>IF(AND('Riesgos de gestión'!$Y$30="Alta",'Riesgos de gestión'!$AA$30="Menor"),CONCATENATE("R4C",'Riesgos de gestión'!$O$30),"")</f>
        <v/>
      </c>
      <c r="S19" s="68" t="str">
        <f>IF(AND('Riesgos de gestión'!$Y$31="Alta",'Riesgos de gestión'!$AA$31="Menor"),CONCATENATE("R4C",'Riesgos de gestión'!$O$31),"")</f>
        <v/>
      </c>
      <c r="T19" s="68" t="str">
        <f>IF(AND('Riesgos de gestión'!$Y$32="Alta",'Riesgos de gestión'!$AA$32="Menor"),CONCATENATE("R4C",'Riesgos de gestión'!$O$32),"")</f>
        <v/>
      </c>
      <c r="U19" s="69" t="str">
        <f>IF(AND('Riesgos de gestión'!$Y$33="Alta",'Riesgos de gestión'!$AA$33="Menor"),CONCATENATE("R4C",'Riesgos de gestión'!$O$33),"")</f>
        <v/>
      </c>
      <c r="V19" s="52" t="str">
        <f>IF(AND('Riesgos de gestión'!$Y$28="Alta",'Riesgos de gestión'!$AA$28="Moderado"),CONCATENATE("R4C",'Riesgos de gestión'!$O$28),"")</f>
        <v/>
      </c>
      <c r="W19" s="53" t="str">
        <f>IF(AND('Riesgos de gestión'!$Y$29="Alta",'Riesgos de gestión'!$AA$29="Moderado"),CONCATENATE("R4C",'Riesgos de gestión'!$O$29),"")</f>
        <v/>
      </c>
      <c r="X19" s="53" t="str">
        <f>IF(AND('Riesgos de gestión'!$Y$30="Alta",'Riesgos de gestión'!$AA$30="Moderado"),CONCATENATE("R4C",'Riesgos de gestión'!$O$30),"")</f>
        <v/>
      </c>
      <c r="Y19" s="53" t="str">
        <f>IF(AND('Riesgos de gestión'!$Y$31="Alta",'Riesgos de gestión'!$AA$31="Moderado"),CONCATENATE("R4C",'Riesgos de gestión'!$O$31),"")</f>
        <v/>
      </c>
      <c r="Z19" s="53" t="str">
        <f>IF(AND('Riesgos de gestión'!$Y$32="Alta",'Riesgos de gestión'!$AA$32="Moderado"),CONCATENATE("R4C",'Riesgos de gestión'!$O$32),"")</f>
        <v/>
      </c>
      <c r="AA19" s="54" t="str">
        <f>IF(AND('Riesgos de gestión'!$Y$33="Alta",'Riesgos de gestión'!$AA$33="Moderado"),CONCATENATE("R4C",'Riesgos de gestión'!$O$33),"")</f>
        <v/>
      </c>
      <c r="AB19" s="52" t="str">
        <f>IF(AND('Riesgos de gestión'!$Y$28="Alta",'Riesgos de gestión'!$AA$28="Mayor"),CONCATENATE("R4C",'Riesgos de gestión'!$O$28),"")</f>
        <v/>
      </c>
      <c r="AC19" s="53" t="str">
        <f>IF(AND('Riesgos de gestión'!$Y$29="Alta",'Riesgos de gestión'!$AA$29="Mayor"),CONCATENATE("R4C",'Riesgos de gestión'!$O$29),"")</f>
        <v/>
      </c>
      <c r="AD19" s="53" t="str">
        <f>IF(AND('Riesgos de gestión'!$Y$30="Alta",'Riesgos de gestión'!$AA$30="Mayor"),CONCATENATE("R4C",'Riesgos de gestión'!$O$30),"")</f>
        <v/>
      </c>
      <c r="AE19" s="53" t="str">
        <f>IF(AND('Riesgos de gestión'!$Y$31="Alta",'Riesgos de gestión'!$AA$31="Mayor"),CONCATENATE("R4C",'Riesgos de gestión'!$O$31),"")</f>
        <v/>
      </c>
      <c r="AF19" s="53" t="str">
        <f>IF(AND('Riesgos de gestión'!$Y$32="Alta",'Riesgos de gestión'!$AA$32="Mayor"),CONCATENATE("R4C",'Riesgos de gestión'!$O$32),"")</f>
        <v/>
      </c>
      <c r="AG19" s="54" t="str">
        <f>IF(AND('Riesgos de gestión'!$Y$33="Alta",'Riesgos de gestión'!$AA$33="Mayor"),CONCATENATE("R4C",'Riesgos de gestión'!$O$33),"")</f>
        <v/>
      </c>
      <c r="AH19" s="55" t="str">
        <f>IF(AND('Riesgos de gestión'!$Y$28="Alta",'Riesgos de gestión'!$AA$28="Catastrófico"),CONCATENATE("R4C",'Riesgos de gestión'!$O$28),"")</f>
        <v/>
      </c>
      <c r="AI19" s="56" t="str">
        <f>IF(AND('Riesgos de gestión'!$Y$29="Alta",'Riesgos de gestión'!$AA$29="Catastrófico"),CONCATENATE("R4C",'Riesgos de gestión'!$O$29),"")</f>
        <v/>
      </c>
      <c r="AJ19" s="56" t="str">
        <f>IF(AND('Riesgos de gestión'!$Y$30="Alta",'Riesgos de gestión'!$AA$30="Catastrófico"),CONCATENATE("R4C",'Riesgos de gestión'!$O$30),"")</f>
        <v/>
      </c>
      <c r="AK19" s="56" t="str">
        <f>IF(AND('Riesgos de gestión'!$Y$31="Alta",'Riesgos de gestión'!$AA$31="Catastrófico"),CONCATENATE("R4C",'Riesgos de gestión'!$O$31),"")</f>
        <v/>
      </c>
      <c r="AL19" s="56" t="str">
        <f>IF(AND('Riesgos de gestión'!$Y$32="Alta",'Riesgos de gestión'!$AA$32="Catastrófico"),CONCATENATE("R4C",'Riesgos de gestión'!$O$32),"")</f>
        <v/>
      </c>
      <c r="AM19" s="57" t="str">
        <f>IF(AND('Riesgos de gestión'!$Y$33="Alta",'Riesgos de gestión'!$AA$33="Catastrófico"),CONCATENATE("R4C",'Riesgos de gestión'!$O$33),"")</f>
        <v/>
      </c>
      <c r="AN19" s="83"/>
      <c r="AO19" s="1195"/>
      <c r="AP19" s="1196"/>
      <c r="AQ19" s="1196"/>
      <c r="AR19" s="1196"/>
      <c r="AS19" s="1196"/>
      <c r="AT19" s="1197"/>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row>
    <row r="20" spans="1:76" ht="15" customHeight="1" x14ac:dyDescent="0.25">
      <c r="A20" s="83"/>
      <c r="B20" s="1144"/>
      <c r="C20" s="1144"/>
      <c r="D20" s="1145"/>
      <c r="E20" s="1185"/>
      <c r="F20" s="1186"/>
      <c r="G20" s="1186"/>
      <c r="H20" s="1186"/>
      <c r="I20" s="1186"/>
      <c r="J20" s="67" t="str">
        <f>IF(AND('Riesgos de gestión'!$Y$34="Alta",'Riesgos de gestión'!$AA$34="Leve"),CONCATENATE("R5C",'Riesgos de gestión'!$O$34),"")</f>
        <v/>
      </c>
      <c r="K20" s="68" t="str">
        <f>IF(AND('Riesgos de gestión'!$Y$35="Alta",'Riesgos de gestión'!$AA$35="Leve"),CONCATENATE("R5C",'Riesgos de gestión'!$O$35),"")</f>
        <v/>
      </c>
      <c r="L20" s="68" t="str">
        <f>IF(AND('Riesgos de gestión'!$Y$36="Alta",'Riesgos de gestión'!$AA$36="Leve"),CONCATENATE("R5C",'Riesgos de gestión'!$O$36),"")</f>
        <v/>
      </c>
      <c r="M20" s="68" t="str">
        <f>IF(AND('Riesgos de gestión'!$Y$37="Alta",'Riesgos de gestión'!$AA$37="Leve"),CONCATENATE("R5C",'Riesgos de gestión'!$O$37),"")</f>
        <v/>
      </c>
      <c r="N20" s="68" t="str">
        <f>IF(AND('Riesgos de gestión'!$Y$38="Alta",'Riesgos de gestión'!$AA$38="Leve"),CONCATENATE("R5C",'Riesgos de gestión'!$O$38),"")</f>
        <v/>
      </c>
      <c r="O20" s="69" t="str">
        <f>IF(AND('Riesgos de gestión'!$Y$39="Alta",'Riesgos de gestión'!$AA$39="Leve"),CONCATENATE("R5C",'Riesgos de gestión'!$O$39),"")</f>
        <v/>
      </c>
      <c r="P20" s="67" t="str">
        <f>IF(AND('Riesgos de gestión'!$Y$34="Alta",'Riesgos de gestión'!$AA$34="Menor"),CONCATENATE("R5C",'Riesgos de gestión'!$O$34),"")</f>
        <v/>
      </c>
      <c r="Q20" s="68" t="str">
        <f>IF(AND('Riesgos de gestión'!$Y$35="Alta",'Riesgos de gestión'!$AA$35="Menor"),CONCATENATE("R5C",'Riesgos de gestión'!$O$35),"")</f>
        <v/>
      </c>
      <c r="R20" s="68" t="str">
        <f>IF(AND('Riesgos de gestión'!$Y$36="Alta",'Riesgos de gestión'!$AA$36="Menor"),CONCATENATE("R5C",'Riesgos de gestión'!$O$36),"")</f>
        <v/>
      </c>
      <c r="S20" s="68" t="str">
        <f>IF(AND('Riesgos de gestión'!$Y$37="Alta",'Riesgos de gestión'!$AA$37="Menor"),CONCATENATE("R5C",'Riesgos de gestión'!$O$37),"")</f>
        <v/>
      </c>
      <c r="T20" s="68" t="str">
        <f>IF(AND('Riesgos de gestión'!$Y$38="Alta",'Riesgos de gestión'!$AA$38="Menor"),CONCATENATE("R5C",'Riesgos de gestión'!$O$38),"")</f>
        <v/>
      </c>
      <c r="U20" s="69" t="str">
        <f>IF(AND('Riesgos de gestión'!$Y$39="Alta",'Riesgos de gestión'!$AA$39="Menor"),CONCATENATE("R5C",'Riesgos de gestión'!$O$39),"")</f>
        <v/>
      </c>
      <c r="V20" s="52" t="str">
        <f>IF(AND('Riesgos de gestión'!$Y$34="Alta",'Riesgos de gestión'!$AA$34="Moderado"),CONCATENATE("R5C",'Riesgos de gestión'!$O$34),"")</f>
        <v/>
      </c>
      <c r="W20" s="53" t="str">
        <f>IF(AND('Riesgos de gestión'!$Y$35="Alta",'Riesgos de gestión'!$AA$35="Moderado"),CONCATENATE("R5C",'Riesgos de gestión'!$O$35),"")</f>
        <v/>
      </c>
      <c r="X20" s="53" t="str">
        <f>IF(AND('Riesgos de gestión'!$Y$36="Alta",'Riesgos de gestión'!$AA$36="Moderado"),CONCATENATE("R5C",'Riesgos de gestión'!$O$36),"")</f>
        <v/>
      </c>
      <c r="Y20" s="53" t="str">
        <f>IF(AND('Riesgos de gestión'!$Y$37="Alta",'Riesgos de gestión'!$AA$37="Moderado"),CONCATENATE("R5C",'Riesgos de gestión'!$O$37),"")</f>
        <v/>
      </c>
      <c r="Z20" s="53" t="str">
        <f>IF(AND('Riesgos de gestión'!$Y$38="Alta",'Riesgos de gestión'!$AA$38="Moderado"),CONCATENATE("R5C",'Riesgos de gestión'!$O$38),"")</f>
        <v/>
      </c>
      <c r="AA20" s="54" t="str">
        <f>IF(AND('Riesgos de gestión'!$Y$39="Alta",'Riesgos de gestión'!$AA$39="Moderado"),CONCATENATE("R5C",'Riesgos de gestión'!$O$39),"")</f>
        <v/>
      </c>
      <c r="AB20" s="52" t="str">
        <f>IF(AND('Riesgos de gestión'!$Y$34="Alta",'Riesgos de gestión'!$AA$34="Mayor"),CONCATENATE("R5C",'Riesgos de gestión'!$O$34),"")</f>
        <v/>
      </c>
      <c r="AC20" s="53" t="str">
        <f>IF(AND('Riesgos de gestión'!$Y$35="Alta",'Riesgos de gestión'!$AA$35="Mayor"),CONCATENATE("R5C",'Riesgos de gestión'!$O$35),"")</f>
        <v/>
      </c>
      <c r="AD20" s="53" t="str">
        <f>IF(AND('Riesgos de gestión'!$Y$36="Alta",'Riesgos de gestión'!$AA$36="Mayor"),CONCATENATE("R5C",'Riesgos de gestión'!$O$36),"")</f>
        <v/>
      </c>
      <c r="AE20" s="53" t="str">
        <f>IF(AND('Riesgos de gestión'!$Y$37="Alta",'Riesgos de gestión'!$AA$37="Mayor"),CONCATENATE("R5C",'Riesgos de gestión'!$O$37),"")</f>
        <v/>
      </c>
      <c r="AF20" s="53" t="str">
        <f>IF(AND('Riesgos de gestión'!$Y$38="Alta",'Riesgos de gestión'!$AA$38="Mayor"),CONCATENATE("R5C",'Riesgos de gestión'!$O$38),"")</f>
        <v/>
      </c>
      <c r="AG20" s="54" t="str">
        <f>IF(AND('Riesgos de gestión'!$Y$39="Alta",'Riesgos de gestión'!$AA$39="Mayor"),CONCATENATE("R5C",'Riesgos de gestión'!$O$39),"")</f>
        <v/>
      </c>
      <c r="AH20" s="55" t="str">
        <f>IF(AND('Riesgos de gestión'!$Y$34="Alta",'Riesgos de gestión'!$AA$34="Catastrófico"),CONCATENATE("R5C",'Riesgos de gestión'!$O$34),"")</f>
        <v/>
      </c>
      <c r="AI20" s="56" t="str">
        <f>IF(AND('Riesgos de gestión'!$Y$35="Alta",'Riesgos de gestión'!$AA$35="Catastrófico"),CONCATENATE("R5C",'Riesgos de gestión'!$O$35),"")</f>
        <v/>
      </c>
      <c r="AJ20" s="56" t="str">
        <f>IF(AND('Riesgos de gestión'!$Y$36="Alta",'Riesgos de gestión'!$AA$36="Catastrófico"),CONCATENATE("R5C",'Riesgos de gestión'!$O$36),"")</f>
        <v/>
      </c>
      <c r="AK20" s="56" t="str">
        <f>IF(AND('Riesgos de gestión'!$Y$37="Alta",'Riesgos de gestión'!$AA$37="Catastrófico"),CONCATENATE("R5C",'Riesgos de gestión'!$O$37),"")</f>
        <v/>
      </c>
      <c r="AL20" s="56" t="str">
        <f>IF(AND('Riesgos de gestión'!$Y$38="Alta",'Riesgos de gestión'!$AA$38="Catastrófico"),CONCATENATE("R5C",'Riesgos de gestión'!$O$38),"")</f>
        <v/>
      </c>
      <c r="AM20" s="57" t="str">
        <f>IF(AND('Riesgos de gestión'!$Y$39="Alta",'Riesgos de gestión'!$AA$39="Catastrófico"),CONCATENATE("R5C",'Riesgos de gestión'!$O$39),"")</f>
        <v/>
      </c>
      <c r="AN20" s="83"/>
      <c r="AO20" s="1195"/>
      <c r="AP20" s="1196"/>
      <c r="AQ20" s="1196"/>
      <c r="AR20" s="1196"/>
      <c r="AS20" s="1196"/>
      <c r="AT20" s="1197"/>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row>
    <row r="21" spans="1:76" ht="15" customHeight="1" x14ac:dyDescent="0.25">
      <c r="A21" s="83"/>
      <c r="B21" s="1144"/>
      <c r="C21" s="1144"/>
      <c r="D21" s="1145"/>
      <c r="E21" s="1185"/>
      <c r="F21" s="1186"/>
      <c r="G21" s="1186"/>
      <c r="H21" s="1186"/>
      <c r="I21" s="1186"/>
      <c r="J21" s="67" t="str">
        <f>IF(AND('Riesgos de gestión'!$Y$40="Alta",'Riesgos de gestión'!$AA$40="Leve"),CONCATENATE("R6C",'Riesgos de gestión'!$O$40),"")</f>
        <v/>
      </c>
      <c r="K21" s="68" t="str">
        <f>IF(AND('Riesgos de gestión'!$Y$41="Alta",'Riesgos de gestión'!$AA$41="Leve"),CONCATENATE("R6C",'Riesgos de gestión'!$O$41),"")</f>
        <v/>
      </c>
      <c r="L21" s="68" t="str">
        <f>IF(AND('Riesgos de gestión'!$Y$42="Alta",'Riesgos de gestión'!$AA$42="Leve"),CONCATENATE("R6C",'Riesgos de gestión'!$O$42),"")</f>
        <v/>
      </c>
      <c r="M21" s="68" t="str">
        <f>IF(AND('Riesgos de gestión'!$Y$43="Alta",'Riesgos de gestión'!$AA$43="Leve"),CONCATENATE("R6C",'Riesgos de gestión'!$O$43),"")</f>
        <v/>
      </c>
      <c r="N21" s="68" t="str">
        <f>IF(AND('Riesgos de gestión'!$Y$44="Alta",'Riesgos de gestión'!$AA$44="Leve"),CONCATENATE("R6C",'Riesgos de gestión'!$O$44),"")</f>
        <v/>
      </c>
      <c r="O21" s="69" t="str">
        <f>IF(AND('Riesgos de gestión'!$Y$45="Alta",'Riesgos de gestión'!$AA$45="Leve"),CONCATENATE("R6C",'Riesgos de gestión'!$O$45),"")</f>
        <v/>
      </c>
      <c r="P21" s="67" t="str">
        <f>IF(AND('Riesgos de gestión'!$Y$40="Alta",'Riesgos de gestión'!$AA$40="Menor"),CONCATENATE("R6C",'Riesgos de gestión'!$O$40),"")</f>
        <v/>
      </c>
      <c r="Q21" s="68" t="str">
        <f>IF(AND('Riesgos de gestión'!$Y$41="Alta",'Riesgos de gestión'!$AA$41="Menor"),CONCATENATE("R6C",'Riesgos de gestión'!$O$41),"")</f>
        <v/>
      </c>
      <c r="R21" s="68" t="str">
        <f>IF(AND('Riesgos de gestión'!$Y$42="Alta",'Riesgos de gestión'!$AA$42="Menor"),CONCATENATE("R6C",'Riesgos de gestión'!$O$42),"")</f>
        <v/>
      </c>
      <c r="S21" s="68" t="str">
        <f>IF(AND('Riesgos de gestión'!$Y$43="Alta",'Riesgos de gestión'!$AA$43="Menor"),CONCATENATE("R6C",'Riesgos de gestión'!$O$43),"")</f>
        <v/>
      </c>
      <c r="T21" s="68" t="str">
        <f>IF(AND('Riesgos de gestión'!$Y$44="Alta",'Riesgos de gestión'!$AA$44="Menor"),CONCATENATE("R6C",'Riesgos de gestión'!$O$44),"")</f>
        <v/>
      </c>
      <c r="U21" s="69" t="str">
        <f>IF(AND('Riesgos de gestión'!$Y$45="Alta",'Riesgos de gestión'!$AA$45="Menor"),CONCATENATE("R6C",'Riesgos de gestión'!$O$45),"")</f>
        <v/>
      </c>
      <c r="V21" s="52" t="str">
        <f>IF(AND('Riesgos de gestión'!$Y$40="Alta",'Riesgos de gestión'!$AA$40="Moderado"),CONCATENATE("R6C",'Riesgos de gestión'!$O$40),"")</f>
        <v/>
      </c>
      <c r="W21" s="53" t="str">
        <f>IF(AND('Riesgos de gestión'!$Y$41="Alta",'Riesgos de gestión'!$AA$41="Moderado"),CONCATENATE("R6C",'Riesgos de gestión'!$O$41),"")</f>
        <v/>
      </c>
      <c r="X21" s="53" t="str">
        <f>IF(AND('Riesgos de gestión'!$Y$42="Alta",'Riesgos de gestión'!$AA$42="Moderado"),CONCATENATE("R6C",'Riesgos de gestión'!$O$42),"")</f>
        <v/>
      </c>
      <c r="Y21" s="53" t="str">
        <f>IF(AND('Riesgos de gestión'!$Y$43="Alta",'Riesgos de gestión'!$AA$43="Moderado"),CONCATENATE("R6C",'Riesgos de gestión'!$O$43),"")</f>
        <v/>
      </c>
      <c r="Z21" s="53" t="str">
        <f>IF(AND('Riesgos de gestión'!$Y$44="Alta",'Riesgos de gestión'!$AA$44="Moderado"),CONCATENATE("R6C",'Riesgos de gestión'!$O$44),"")</f>
        <v/>
      </c>
      <c r="AA21" s="54" t="str">
        <f>IF(AND('Riesgos de gestión'!$Y$45="Alta",'Riesgos de gestión'!$AA$45="Moderado"),CONCATENATE("R6C",'Riesgos de gestión'!$O$45),"")</f>
        <v/>
      </c>
      <c r="AB21" s="52" t="str">
        <f>IF(AND('Riesgos de gestión'!$Y$40="Alta",'Riesgos de gestión'!$AA$40="Mayor"),CONCATENATE("R6C",'Riesgos de gestión'!$O$40),"")</f>
        <v/>
      </c>
      <c r="AC21" s="53" t="str">
        <f>IF(AND('Riesgos de gestión'!$Y$41="Alta",'Riesgos de gestión'!$AA$41="Mayor"),CONCATENATE("R6C",'Riesgos de gestión'!$O$41),"")</f>
        <v/>
      </c>
      <c r="AD21" s="53" t="str">
        <f>IF(AND('Riesgos de gestión'!$Y$42="Alta",'Riesgos de gestión'!$AA$42="Mayor"),CONCATENATE("R6C",'Riesgos de gestión'!$O$42),"")</f>
        <v/>
      </c>
      <c r="AE21" s="53" t="str">
        <f>IF(AND('Riesgos de gestión'!$Y$43="Alta",'Riesgos de gestión'!$AA$43="Mayor"),CONCATENATE("R6C",'Riesgos de gestión'!$O$43),"")</f>
        <v/>
      </c>
      <c r="AF21" s="53" t="str">
        <f>IF(AND('Riesgos de gestión'!$Y$44="Alta",'Riesgos de gestión'!$AA$44="Mayor"),CONCATENATE("R6C",'Riesgos de gestión'!$O$44),"")</f>
        <v/>
      </c>
      <c r="AG21" s="54" t="str">
        <f>IF(AND('Riesgos de gestión'!$Y$45="Alta",'Riesgos de gestión'!$AA$45="Mayor"),CONCATENATE("R6C",'Riesgos de gestión'!$O$45),"")</f>
        <v/>
      </c>
      <c r="AH21" s="55" t="str">
        <f>IF(AND('Riesgos de gestión'!$Y$40="Alta",'Riesgos de gestión'!$AA$40="Catastrófico"),CONCATENATE("R6C",'Riesgos de gestión'!$O$40),"")</f>
        <v/>
      </c>
      <c r="AI21" s="56" t="str">
        <f>IF(AND('Riesgos de gestión'!$Y$41="Alta",'Riesgos de gestión'!$AA$41="Catastrófico"),CONCATENATE("R6C",'Riesgos de gestión'!$O$41),"")</f>
        <v/>
      </c>
      <c r="AJ21" s="56" t="str">
        <f>IF(AND('Riesgos de gestión'!$Y$42="Alta",'Riesgos de gestión'!$AA$42="Catastrófico"),CONCATENATE("R6C",'Riesgos de gestión'!$O$42),"")</f>
        <v/>
      </c>
      <c r="AK21" s="56" t="str">
        <f>IF(AND('Riesgos de gestión'!$Y$43="Alta",'Riesgos de gestión'!$AA$43="Catastrófico"),CONCATENATE("R6C",'Riesgos de gestión'!$O$43),"")</f>
        <v/>
      </c>
      <c r="AL21" s="56" t="str">
        <f>IF(AND('Riesgos de gestión'!$Y$44="Alta",'Riesgos de gestión'!$AA$44="Catastrófico"),CONCATENATE("R6C",'Riesgos de gestión'!$O$44),"")</f>
        <v/>
      </c>
      <c r="AM21" s="57" t="str">
        <f>IF(AND('Riesgos de gestión'!$Y$45="Alta",'Riesgos de gestión'!$AA$45="Catastrófico"),CONCATENATE("R6C",'Riesgos de gestión'!$O$45),"")</f>
        <v/>
      </c>
      <c r="AN21" s="83"/>
      <c r="AO21" s="1195"/>
      <c r="AP21" s="1196"/>
      <c r="AQ21" s="1196"/>
      <c r="AR21" s="1196"/>
      <c r="AS21" s="1196"/>
      <c r="AT21" s="1197"/>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row>
    <row r="22" spans="1:76" ht="15" customHeight="1" x14ac:dyDescent="0.25">
      <c r="A22" s="83"/>
      <c r="B22" s="1144"/>
      <c r="C22" s="1144"/>
      <c r="D22" s="1145"/>
      <c r="E22" s="1185"/>
      <c r="F22" s="1186"/>
      <c r="G22" s="1186"/>
      <c r="H22" s="1186"/>
      <c r="I22" s="1186"/>
      <c r="J22" s="67" t="str">
        <f>IF(AND('Riesgos de gestión'!$Y$46="Alta",'Riesgos de gestión'!$AA$46="Leve"),CONCATENATE("R7C",'Riesgos de gestión'!$O$46),"")</f>
        <v/>
      </c>
      <c r="K22" s="68" t="str">
        <f>IF(AND('Riesgos de gestión'!$Y$47="Alta",'Riesgos de gestión'!$AA$47="Leve"),CONCATENATE("R7C",'Riesgos de gestión'!$O$47),"")</f>
        <v/>
      </c>
      <c r="L22" s="68" t="str">
        <f>IF(AND('Riesgos de gestión'!$Y$48="Alta",'Riesgos de gestión'!$AA$48="Leve"),CONCATENATE("R7C",'Riesgos de gestión'!$O$48),"")</f>
        <v/>
      </c>
      <c r="M22" s="68" t="str">
        <f>IF(AND('Riesgos de gestión'!$Y$49="Alta",'Riesgos de gestión'!$AA$49="Leve"),CONCATENATE("R7C",'Riesgos de gestión'!$O$49),"")</f>
        <v/>
      </c>
      <c r="N22" s="68" t="str">
        <f>IF(AND('Riesgos de gestión'!$Y$50="Alta",'Riesgos de gestión'!$AA$50="Leve"),CONCATENATE("R7C",'Riesgos de gestión'!$O$50),"")</f>
        <v/>
      </c>
      <c r="O22" s="69" t="str">
        <f>IF(AND('Riesgos de gestión'!$Y$51="Alta",'Riesgos de gestión'!$AA$51="Leve"),CONCATENATE("R7C",'Riesgos de gestión'!$O$51),"")</f>
        <v/>
      </c>
      <c r="P22" s="67" t="str">
        <f>IF(AND('Riesgos de gestión'!$Y$46="Alta",'Riesgos de gestión'!$AA$46="Menor"),CONCATENATE("R7C",'Riesgos de gestión'!$O$46),"")</f>
        <v/>
      </c>
      <c r="Q22" s="68" t="str">
        <f>IF(AND('Riesgos de gestión'!$Y$47="Alta",'Riesgos de gestión'!$AA$47="Menor"),CONCATENATE("R7C",'Riesgos de gestión'!$O$47),"")</f>
        <v/>
      </c>
      <c r="R22" s="68" t="str">
        <f>IF(AND('Riesgos de gestión'!$Y$48="Alta",'Riesgos de gestión'!$AA$48="Menor"),CONCATENATE("R7C",'Riesgos de gestión'!$O$48),"")</f>
        <v/>
      </c>
      <c r="S22" s="68" t="str">
        <f>IF(AND('Riesgos de gestión'!$Y$49="Alta",'Riesgos de gestión'!$AA$49="Menor"),CONCATENATE("R7C",'Riesgos de gestión'!$O$49),"")</f>
        <v/>
      </c>
      <c r="T22" s="68" t="str">
        <f>IF(AND('Riesgos de gestión'!$Y$50="Alta",'Riesgos de gestión'!$AA$50="Menor"),CONCATENATE("R7C",'Riesgos de gestión'!$O$50),"")</f>
        <v/>
      </c>
      <c r="U22" s="69" t="str">
        <f>IF(AND('Riesgos de gestión'!$Y$51="Alta",'Riesgos de gestión'!$AA$51="Menor"),CONCATENATE("R7C",'Riesgos de gestión'!$O$51),"")</f>
        <v/>
      </c>
      <c r="V22" s="52" t="str">
        <f>IF(AND('Riesgos de gestión'!$Y$46="Alta",'Riesgos de gestión'!$AA$46="Moderado"),CONCATENATE("R7C",'Riesgos de gestión'!$O$46),"")</f>
        <v/>
      </c>
      <c r="W22" s="53" t="str">
        <f>IF(AND('Riesgos de gestión'!$Y$47="Alta",'Riesgos de gestión'!$AA$47="Moderado"),CONCATENATE("R7C",'Riesgos de gestión'!$O$47),"")</f>
        <v/>
      </c>
      <c r="X22" s="53" t="str">
        <f>IF(AND('Riesgos de gestión'!$Y$48="Alta",'Riesgos de gestión'!$AA$48="Moderado"),CONCATENATE("R7C",'Riesgos de gestión'!$O$48),"")</f>
        <v/>
      </c>
      <c r="Y22" s="53" t="str">
        <f>IF(AND('Riesgos de gestión'!$Y$49="Alta",'Riesgos de gestión'!$AA$49="Moderado"),CONCATENATE("R7C",'Riesgos de gestión'!$O$49),"")</f>
        <v/>
      </c>
      <c r="Z22" s="53" t="str">
        <f>IF(AND('Riesgos de gestión'!$Y$50="Alta",'Riesgos de gestión'!$AA$50="Moderado"),CONCATENATE("R7C",'Riesgos de gestión'!$O$50),"")</f>
        <v/>
      </c>
      <c r="AA22" s="54" t="str">
        <f>IF(AND('Riesgos de gestión'!$Y$51="Alta",'Riesgos de gestión'!$AA$51="Moderado"),CONCATENATE("R7C",'Riesgos de gestión'!$O$51),"")</f>
        <v/>
      </c>
      <c r="AB22" s="52" t="str">
        <f>IF(AND('Riesgos de gestión'!$Y$46="Alta",'Riesgos de gestión'!$AA$46="Mayor"),CONCATENATE("R7C",'Riesgos de gestión'!$O$46),"")</f>
        <v/>
      </c>
      <c r="AC22" s="53" t="str">
        <f>IF(AND('Riesgos de gestión'!$Y$47="Alta",'Riesgos de gestión'!$AA$47="Mayor"),CONCATENATE("R7C",'Riesgos de gestión'!$O$47),"")</f>
        <v/>
      </c>
      <c r="AD22" s="53" t="str">
        <f>IF(AND('Riesgos de gestión'!$Y$48="Alta",'Riesgos de gestión'!$AA$48="Mayor"),CONCATENATE("R7C",'Riesgos de gestión'!$O$48),"")</f>
        <v/>
      </c>
      <c r="AE22" s="53" t="str">
        <f>IF(AND('Riesgos de gestión'!$Y$49="Alta",'Riesgos de gestión'!$AA$49="Mayor"),CONCATENATE("R7C",'Riesgos de gestión'!$O$49),"")</f>
        <v/>
      </c>
      <c r="AF22" s="53" t="str">
        <f>IF(AND('Riesgos de gestión'!$Y$50="Alta",'Riesgos de gestión'!$AA$50="Mayor"),CONCATENATE("R7C",'Riesgos de gestión'!$O$50),"")</f>
        <v/>
      </c>
      <c r="AG22" s="54" t="str">
        <f>IF(AND('Riesgos de gestión'!$Y$51="Alta",'Riesgos de gestión'!$AA$51="Mayor"),CONCATENATE("R7C",'Riesgos de gestión'!$O$51),"")</f>
        <v/>
      </c>
      <c r="AH22" s="55" t="str">
        <f>IF(AND('Riesgos de gestión'!$Y$46="Alta",'Riesgos de gestión'!$AA$46="Catastrófico"),CONCATENATE("R7C",'Riesgos de gestión'!$O$46),"")</f>
        <v/>
      </c>
      <c r="AI22" s="56" t="str">
        <f>IF(AND('Riesgos de gestión'!$Y$47="Alta",'Riesgos de gestión'!$AA$47="Catastrófico"),CONCATENATE("R7C",'Riesgos de gestión'!$O$47),"")</f>
        <v/>
      </c>
      <c r="AJ22" s="56" t="str">
        <f>IF(AND('Riesgos de gestión'!$Y$48="Alta",'Riesgos de gestión'!$AA$48="Catastrófico"),CONCATENATE("R7C",'Riesgos de gestión'!$O$48),"")</f>
        <v/>
      </c>
      <c r="AK22" s="56" t="str">
        <f>IF(AND('Riesgos de gestión'!$Y$49="Alta",'Riesgos de gestión'!$AA$49="Catastrófico"),CONCATENATE("R7C",'Riesgos de gestión'!$O$49),"")</f>
        <v/>
      </c>
      <c r="AL22" s="56" t="str">
        <f>IF(AND('Riesgos de gestión'!$Y$50="Alta",'Riesgos de gestión'!$AA$50="Catastrófico"),CONCATENATE("R7C",'Riesgos de gestión'!$O$50),"")</f>
        <v/>
      </c>
      <c r="AM22" s="57" t="str">
        <f>IF(AND('Riesgos de gestión'!$Y$51="Alta",'Riesgos de gestión'!$AA$51="Catastrófico"),CONCATENATE("R7C",'Riesgos de gestión'!$O$51),"")</f>
        <v/>
      </c>
      <c r="AN22" s="83"/>
      <c r="AO22" s="1195"/>
      <c r="AP22" s="1196"/>
      <c r="AQ22" s="1196"/>
      <c r="AR22" s="1196"/>
      <c r="AS22" s="1196"/>
      <c r="AT22" s="1197"/>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row>
    <row r="23" spans="1:76" ht="15" customHeight="1" x14ac:dyDescent="0.25">
      <c r="A23" s="83"/>
      <c r="B23" s="1144"/>
      <c r="C23" s="1144"/>
      <c r="D23" s="1145"/>
      <c r="E23" s="1185"/>
      <c r="F23" s="1186"/>
      <c r="G23" s="1186"/>
      <c r="H23" s="1186"/>
      <c r="I23" s="1186"/>
      <c r="J23" s="67" t="str">
        <f>IF(AND('Riesgos de gestión'!$Y$52="Alta",'Riesgos de gestión'!$AA$52="Leve"),CONCATENATE("R8C",'Riesgos de gestión'!$O$52),"")</f>
        <v/>
      </c>
      <c r="K23" s="68" t="str">
        <f>IF(AND('Riesgos de gestión'!$Y$53="Alta",'Riesgos de gestión'!$AA$53="Leve"),CONCATENATE("R8C",'Riesgos de gestión'!$O$53),"")</f>
        <v/>
      </c>
      <c r="L23" s="68" t="str">
        <f>IF(AND('Riesgos de gestión'!$Y$54="Alta",'Riesgos de gestión'!$AA$54="Leve"),CONCATENATE("R8C",'Riesgos de gestión'!$O$54),"")</f>
        <v/>
      </c>
      <c r="M23" s="68" t="str">
        <f>IF(AND('Riesgos de gestión'!$Y$55="Alta",'Riesgos de gestión'!$AA$55="Leve"),CONCATENATE("R8C",'Riesgos de gestión'!$O$55),"")</f>
        <v/>
      </c>
      <c r="N23" s="68" t="str">
        <f>IF(AND('Riesgos de gestión'!$Y$56="Alta",'Riesgos de gestión'!$AA$56="Leve"),CONCATENATE("R8C",'Riesgos de gestión'!$O$56),"")</f>
        <v/>
      </c>
      <c r="O23" s="69" t="str">
        <f>IF(AND('Riesgos de gestión'!$Y$57="Alta",'Riesgos de gestión'!$AA$57="Leve"),CONCATENATE("R8C",'Riesgos de gestión'!$O$57),"")</f>
        <v/>
      </c>
      <c r="P23" s="67" t="str">
        <f>IF(AND('Riesgos de gestión'!$Y$52="Alta",'Riesgos de gestión'!$AA$52="Menor"),CONCATENATE("R8C",'Riesgos de gestión'!$O$52),"")</f>
        <v/>
      </c>
      <c r="Q23" s="68" t="str">
        <f>IF(AND('Riesgos de gestión'!$Y$53="Alta",'Riesgos de gestión'!$AA$53="Menor"),CONCATENATE("R8C",'Riesgos de gestión'!$O$53),"")</f>
        <v/>
      </c>
      <c r="R23" s="68" t="str">
        <f>IF(AND('Riesgos de gestión'!$Y$54="Alta",'Riesgos de gestión'!$AA$54="Menor"),CONCATENATE("R8C",'Riesgos de gestión'!$O$54),"")</f>
        <v/>
      </c>
      <c r="S23" s="68" t="str">
        <f>IF(AND('Riesgos de gestión'!$Y$55="Alta",'Riesgos de gestión'!$AA$55="Menor"),CONCATENATE("R8C",'Riesgos de gestión'!$O$55),"")</f>
        <v/>
      </c>
      <c r="T23" s="68" t="str">
        <f>IF(AND('Riesgos de gestión'!$Y$56="Alta",'Riesgos de gestión'!$AA$56="Menor"),CONCATENATE("R8C",'Riesgos de gestión'!$O$56),"")</f>
        <v/>
      </c>
      <c r="U23" s="69" t="str">
        <f>IF(AND('Riesgos de gestión'!$Y$57="Alta",'Riesgos de gestión'!$AA$57="Menor"),CONCATENATE("R8C",'Riesgos de gestión'!$O$57),"")</f>
        <v/>
      </c>
      <c r="V23" s="52" t="str">
        <f>IF(AND('Riesgos de gestión'!$Y$52="Alta",'Riesgos de gestión'!$AA$52="Moderado"),CONCATENATE("R8C",'Riesgos de gestión'!$O$52),"")</f>
        <v/>
      </c>
      <c r="W23" s="53" t="str">
        <f>IF(AND('Riesgos de gestión'!$Y$53="Alta",'Riesgos de gestión'!$AA$53="Moderado"),CONCATENATE("R8C",'Riesgos de gestión'!$O$53),"")</f>
        <v/>
      </c>
      <c r="X23" s="53" t="str">
        <f>IF(AND('Riesgos de gestión'!$Y$54="Alta",'Riesgos de gestión'!$AA$54="Moderado"),CONCATENATE("R8C",'Riesgos de gestión'!$O$54),"")</f>
        <v/>
      </c>
      <c r="Y23" s="53" t="str">
        <f>IF(AND('Riesgos de gestión'!$Y$55="Alta",'Riesgos de gestión'!$AA$55="Moderado"),CONCATENATE("R8C",'Riesgos de gestión'!$O$55),"")</f>
        <v/>
      </c>
      <c r="Z23" s="53" t="str">
        <f>IF(AND('Riesgos de gestión'!$Y$56="Alta",'Riesgos de gestión'!$AA$56="Moderado"),CONCATENATE("R8C",'Riesgos de gestión'!$O$56),"")</f>
        <v/>
      </c>
      <c r="AA23" s="54" t="str">
        <f>IF(AND('Riesgos de gestión'!$Y$57="Alta",'Riesgos de gestión'!$AA$57="Moderado"),CONCATENATE("R8C",'Riesgos de gestión'!$O$57),"")</f>
        <v/>
      </c>
      <c r="AB23" s="52" t="str">
        <f>IF(AND('Riesgos de gestión'!$Y$52="Alta",'Riesgos de gestión'!$AA$52="Mayor"),CONCATENATE("R8C",'Riesgos de gestión'!$O$52),"")</f>
        <v/>
      </c>
      <c r="AC23" s="53" t="str">
        <f>IF(AND('Riesgos de gestión'!$Y$53="Alta",'Riesgos de gestión'!$AA$53="Mayor"),CONCATENATE("R8C",'Riesgos de gestión'!$O$53),"")</f>
        <v/>
      </c>
      <c r="AD23" s="53" t="str">
        <f>IF(AND('Riesgos de gestión'!$Y$54="Alta",'Riesgos de gestión'!$AA$54="Mayor"),CONCATENATE("R8C",'Riesgos de gestión'!$O$54),"")</f>
        <v/>
      </c>
      <c r="AE23" s="53" t="str">
        <f>IF(AND('Riesgos de gestión'!$Y$55="Alta",'Riesgos de gestión'!$AA$55="Mayor"),CONCATENATE("R8C",'Riesgos de gestión'!$O$55),"")</f>
        <v/>
      </c>
      <c r="AF23" s="53" t="str">
        <f>IF(AND('Riesgos de gestión'!$Y$56="Alta",'Riesgos de gestión'!$AA$56="Mayor"),CONCATENATE("R8C",'Riesgos de gestión'!$O$56),"")</f>
        <v/>
      </c>
      <c r="AG23" s="54" t="str">
        <f>IF(AND('Riesgos de gestión'!$Y$57="Alta",'Riesgos de gestión'!$AA$57="Mayor"),CONCATENATE("R8C",'Riesgos de gestión'!$O$57),"")</f>
        <v/>
      </c>
      <c r="AH23" s="55" t="str">
        <f>IF(AND('Riesgos de gestión'!$Y$52="Alta",'Riesgos de gestión'!$AA$52="Catastrófico"),CONCATENATE("R8C",'Riesgos de gestión'!$O$52),"")</f>
        <v/>
      </c>
      <c r="AI23" s="56" t="str">
        <f>IF(AND('Riesgos de gestión'!$Y$53="Alta",'Riesgos de gestión'!$AA$53="Catastrófico"),CONCATENATE("R8C",'Riesgos de gestión'!$O$53),"")</f>
        <v/>
      </c>
      <c r="AJ23" s="56" t="str">
        <f>IF(AND('Riesgos de gestión'!$Y$54="Alta",'Riesgos de gestión'!$AA$54="Catastrófico"),CONCATENATE("R8C",'Riesgos de gestión'!$O$54),"")</f>
        <v/>
      </c>
      <c r="AK23" s="56" t="str">
        <f>IF(AND('Riesgos de gestión'!$Y$55="Alta",'Riesgos de gestión'!$AA$55="Catastrófico"),CONCATENATE("R8C",'Riesgos de gestión'!$O$55),"")</f>
        <v/>
      </c>
      <c r="AL23" s="56" t="str">
        <f>IF(AND('Riesgos de gestión'!$Y$56="Alta",'Riesgos de gestión'!$AA$56="Catastrófico"),CONCATENATE("R8C",'Riesgos de gestión'!$O$56),"")</f>
        <v/>
      </c>
      <c r="AM23" s="57" t="str">
        <f>IF(AND('Riesgos de gestión'!$Y$57="Alta",'Riesgos de gestión'!$AA$57="Catastrófico"),CONCATENATE("R8C",'Riesgos de gestión'!$O$57),"")</f>
        <v/>
      </c>
      <c r="AN23" s="83"/>
      <c r="AO23" s="1195"/>
      <c r="AP23" s="1196"/>
      <c r="AQ23" s="1196"/>
      <c r="AR23" s="1196"/>
      <c r="AS23" s="1196"/>
      <c r="AT23" s="1197"/>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row>
    <row r="24" spans="1:76" ht="15" customHeight="1" x14ac:dyDescent="0.25">
      <c r="A24" s="83"/>
      <c r="B24" s="1144"/>
      <c r="C24" s="1144"/>
      <c r="D24" s="1145"/>
      <c r="E24" s="1185"/>
      <c r="F24" s="1186"/>
      <c r="G24" s="1186"/>
      <c r="H24" s="1186"/>
      <c r="I24" s="1186"/>
      <c r="J24" s="67" t="str">
        <f>IF(AND('Riesgos de gestión'!$Y$58="Alta",'Riesgos de gestión'!$AA$58="Leve"),CONCATENATE("R9C",'Riesgos de gestión'!$O$58),"")</f>
        <v/>
      </c>
      <c r="K24" s="68" t="str">
        <f>IF(AND('Riesgos de gestión'!$Y$59="Alta",'Riesgos de gestión'!$AA$59="Leve"),CONCATENATE("R9C",'Riesgos de gestión'!$O$59),"")</f>
        <v/>
      </c>
      <c r="L24" s="68" t="str">
        <f>IF(AND('Riesgos de gestión'!$Y$60="Alta",'Riesgos de gestión'!$AA$60="Leve"),CONCATENATE("R9C",'Riesgos de gestión'!$O$60),"")</f>
        <v/>
      </c>
      <c r="M24" s="68" t="str">
        <f>IF(AND('Riesgos de gestión'!$Y$61="Alta",'Riesgos de gestión'!$AA$61="Leve"),CONCATENATE("R9C",'Riesgos de gestión'!$O$61),"")</f>
        <v/>
      </c>
      <c r="N24" s="68" t="str">
        <f>IF(AND('Riesgos de gestión'!$Y$62="Alta",'Riesgos de gestión'!$AA$62="Leve"),CONCATENATE("R9C",'Riesgos de gestión'!$O$62),"")</f>
        <v/>
      </c>
      <c r="O24" s="69" t="str">
        <f>IF(AND('Riesgos de gestión'!$Y$63="Alta",'Riesgos de gestión'!$AA$63="Leve"),CONCATENATE("R9C",'Riesgos de gestión'!$O$63),"")</f>
        <v/>
      </c>
      <c r="P24" s="67" t="str">
        <f>IF(AND('Riesgos de gestión'!$Y$58="Alta",'Riesgos de gestión'!$AA$58="Menor"),CONCATENATE("R9C",'Riesgos de gestión'!$O$58),"")</f>
        <v/>
      </c>
      <c r="Q24" s="68" t="str">
        <f>IF(AND('Riesgos de gestión'!$Y$59="Alta",'Riesgos de gestión'!$AA$59="Menor"),CONCATENATE("R9C",'Riesgos de gestión'!$O$59),"")</f>
        <v/>
      </c>
      <c r="R24" s="68" t="str">
        <f>IF(AND('Riesgos de gestión'!$Y$60="Alta",'Riesgos de gestión'!$AA$60="Menor"),CONCATENATE("R9C",'Riesgos de gestión'!$O$60),"")</f>
        <v/>
      </c>
      <c r="S24" s="68" t="str">
        <f>IF(AND('Riesgos de gestión'!$Y$61="Alta",'Riesgos de gestión'!$AA$61="Menor"),CONCATENATE("R9C",'Riesgos de gestión'!$O$61),"")</f>
        <v/>
      </c>
      <c r="T24" s="68" t="str">
        <f>IF(AND('Riesgos de gestión'!$Y$62="Alta",'Riesgos de gestión'!$AA$62="Menor"),CONCATENATE("R9C",'Riesgos de gestión'!$O$62),"")</f>
        <v/>
      </c>
      <c r="U24" s="69" t="str">
        <f>IF(AND('Riesgos de gestión'!$Y$63="Alta",'Riesgos de gestión'!$AA$63="Menor"),CONCATENATE("R9C",'Riesgos de gestión'!$O$63),"")</f>
        <v/>
      </c>
      <c r="V24" s="52" t="str">
        <f>IF(AND('Riesgos de gestión'!$Y$58="Alta",'Riesgos de gestión'!$AA$58="Moderado"),CONCATENATE("R9C",'Riesgos de gestión'!$O$58),"")</f>
        <v/>
      </c>
      <c r="W24" s="53" t="str">
        <f>IF(AND('Riesgos de gestión'!$Y$59="Alta",'Riesgos de gestión'!$AA$59="Moderado"),CONCATENATE("R9C",'Riesgos de gestión'!$O$59),"")</f>
        <v/>
      </c>
      <c r="X24" s="53" t="str">
        <f>IF(AND('Riesgos de gestión'!$Y$60="Alta",'Riesgos de gestión'!$AA$60="Moderado"),CONCATENATE("R9C",'Riesgos de gestión'!$O$60),"")</f>
        <v/>
      </c>
      <c r="Y24" s="53" t="str">
        <f>IF(AND('Riesgos de gestión'!$Y$61="Alta",'Riesgos de gestión'!$AA$61="Moderado"),CONCATENATE("R9C",'Riesgos de gestión'!$O$61),"")</f>
        <v/>
      </c>
      <c r="Z24" s="53" t="str">
        <f>IF(AND('Riesgos de gestión'!$Y$62="Alta",'Riesgos de gestión'!$AA$62="Moderado"),CONCATENATE("R9C",'Riesgos de gestión'!$O$62),"")</f>
        <v/>
      </c>
      <c r="AA24" s="54" t="str">
        <f>IF(AND('Riesgos de gestión'!$Y$63="Alta",'Riesgos de gestión'!$AA$63="Moderado"),CONCATENATE("R9C",'Riesgos de gestión'!$O$63),"")</f>
        <v/>
      </c>
      <c r="AB24" s="52" t="str">
        <f>IF(AND('Riesgos de gestión'!$Y$58="Alta",'Riesgos de gestión'!$AA$58="Mayor"),CONCATENATE("R9C",'Riesgos de gestión'!$O$58),"")</f>
        <v/>
      </c>
      <c r="AC24" s="53" t="str">
        <f>IF(AND('Riesgos de gestión'!$Y$59="Alta",'Riesgos de gestión'!$AA$59="Mayor"),CONCATENATE("R9C",'Riesgos de gestión'!$O$59),"")</f>
        <v/>
      </c>
      <c r="AD24" s="53" t="str">
        <f>IF(AND('Riesgos de gestión'!$Y$60="Alta",'Riesgos de gestión'!$AA$60="Mayor"),CONCATENATE("R9C",'Riesgos de gestión'!$O$60),"")</f>
        <v/>
      </c>
      <c r="AE24" s="53" t="str">
        <f>IF(AND('Riesgos de gestión'!$Y$61="Alta",'Riesgos de gestión'!$AA$61="Mayor"),CONCATENATE("R9C",'Riesgos de gestión'!$O$61),"")</f>
        <v/>
      </c>
      <c r="AF24" s="53" t="str">
        <f>IF(AND('Riesgos de gestión'!$Y$62="Alta",'Riesgos de gestión'!$AA$62="Mayor"),CONCATENATE("R9C",'Riesgos de gestión'!$O$62),"")</f>
        <v/>
      </c>
      <c r="AG24" s="54" t="str">
        <f>IF(AND('Riesgos de gestión'!$Y$63="Alta",'Riesgos de gestión'!$AA$63="Mayor"),CONCATENATE("R9C",'Riesgos de gestión'!$O$63),"")</f>
        <v/>
      </c>
      <c r="AH24" s="55" t="str">
        <f>IF(AND('Riesgos de gestión'!$Y$58="Alta",'Riesgos de gestión'!$AA$58="Catastrófico"),CONCATENATE("R9C",'Riesgos de gestión'!$O$58),"")</f>
        <v/>
      </c>
      <c r="AI24" s="56" t="str">
        <f>IF(AND('Riesgos de gestión'!$Y$59="Alta",'Riesgos de gestión'!$AA$59="Catastrófico"),CONCATENATE("R9C",'Riesgos de gestión'!$O$59),"")</f>
        <v/>
      </c>
      <c r="AJ24" s="56" t="str">
        <f>IF(AND('Riesgos de gestión'!$Y$60="Alta",'Riesgos de gestión'!$AA$60="Catastrófico"),CONCATENATE("R9C",'Riesgos de gestión'!$O$60),"")</f>
        <v/>
      </c>
      <c r="AK24" s="56" t="str">
        <f>IF(AND('Riesgos de gestión'!$Y$61="Alta",'Riesgos de gestión'!$AA$61="Catastrófico"),CONCATENATE("R9C",'Riesgos de gestión'!$O$61),"")</f>
        <v/>
      </c>
      <c r="AL24" s="56" t="str">
        <f>IF(AND('Riesgos de gestión'!$Y$62="Alta",'Riesgos de gestión'!$AA$62="Catastrófico"),CONCATENATE("R9C",'Riesgos de gestión'!$O$62),"")</f>
        <v/>
      </c>
      <c r="AM24" s="57" t="str">
        <f>IF(AND('Riesgos de gestión'!$Y$63="Alta",'Riesgos de gestión'!$AA$63="Catastrófico"),CONCATENATE("R9C",'Riesgos de gestión'!$O$63),"")</f>
        <v/>
      </c>
      <c r="AN24" s="83"/>
      <c r="AO24" s="1195"/>
      <c r="AP24" s="1196"/>
      <c r="AQ24" s="1196"/>
      <c r="AR24" s="1196"/>
      <c r="AS24" s="1196"/>
      <c r="AT24" s="1197"/>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row>
    <row r="25" spans="1:76" ht="15.75" customHeight="1" thickBot="1" x14ac:dyDescent="0.3">
      <c r="A25" s="83"/>
      <c r="B25" s="1144"/>
      <c r="C25" s="1144"/>
      <c r="D25" s="1145"/>
      <c r="E25" s="1188"/>
      <c r="F25" s="1189"/>
      <c r="G25" s="1189"/>
      <c r="H25" s="1189"/>
      <c r="I25" s="1189"/>
      <c r="J25" s="70" t="str">
        <f>IF(AND('Riesgos de gestión'!$Y$64="Alta",'Riesgos de gestión'!$AA$64="Leve"),CONCATENATE("R10C",'Riesgos de gestión'!$O$64),"")</f>
        <v/>
      </c>
      <c r="K25" s="71" t="str">
        <f>IF(AND('Riesgos de gestión'!$Y$65="Alta",'Riesgos de gestión'!$AA$65="Leve"),CONCATENATE("R10C",'Riesgos de gestión'!$O$65),"")</f>
        <v/>
      </c>
      <c r="L25" s="71" t="str">
        <f>IF(AND('Riesgos de gestión'!$Y$66="Alta",'Riesgos de gestión'!$AA$66="Leve"),CONCATENATE("R10C",'Riesgos de gestión'!$O$66),"")</f>
        <v/>
      </c>
      <c r="M25" s="71" t="str">
        <f>IF(AND('Riesgos de gestión'!$Y$67="Alta",'Riesgos de gestión'!$AA$67="Leve"),CONCATENATE("R10C",'Riesgos de gestión'!$O$67),"")</f>
        <v/>
      </c>
      <c r="N25" s="71" t="str">
        <f>IF(AND('Riesgos de gestión'!$Y$68="Alta",'Riesgos de gestión'!$AA$68="Leve"),CONCATENATE("R10C",'Riesgos de gestión'!$O$68),"")</f>
        <v/>
      </c>
      <c r="O25" s="72" t="str">
        <f>IF(AND('Riesgos de gestión'!$Y$69="Alta",'Riesgos de gestión'!$AA$69="Leve"),CONCATENATE("R10C",'Riesgos de gestión'!$O$69),"")</f>
        <v/>
      </c>
      <c r="P25" s="70" t="str">
        <f>IF(AND('Riesgos de gestión'!$Y$64="Alta",'Riesgos de gestión'!$AA$64="Menor"),CONCATENATE("R10C",'Riesgos de gestión'!$O$64),"")</f>
        <v/>
      </c>
      <c r="Q25" s="71" t="str">
        <f>IF(AND('Riesgos de gestión'!$Y$65="Alta",'Riesgos de gestión'!$AA$65="Menor"),CONCATENATE("R10C",'Riesgos de gestión'!$O$65),"")</f>
        <v/>
      </c>
      <c r="R25" s="71" t="str">
        <f>IF(AND('Riesgos de gestión'!$Y$66="Alta",'Riesgos de gestión'!$AA$66="Menor"),CONCATENATE("R10C",'Riesgos de gestión'!$O$66),"")</f>
        <v/>
      </c>
      <c r="S25" s="71" t="str">
        <f>IF(AND('Riesgos de gestión'!$Y$67="Alta",'Riesgos de gestión'!$AA$67="Menor"),CONCATENATE("R10C",'Riesgos de gestión'!$O$67),"")</f>
        <v/>
      </c>
      <c r="T25" s="71" t="str">
        <f>IF(AND('Riesgos de gestión'!$Y$68="Alta",'Riesgos de gestión'!$AA$68="Menor"),CONCATENATE("R10C",'Riesgos de gestión'!$O$68),"")</f>
        <v/>
      </c>
      <c r="U25" s="72" t="str">
        <f>IF(AND('Riesgos de gestión'!$Y$69="Alta",'Riesgos de gestión'!$AA$69="Menor"),CONCATENATE("R10C",'Riesgos de gestión'!$O$69),"")</f>
        <v/>
      </c>
      <c r="V25" s="58" t="str">
        <f>IF(AND('Riesgos de gestión'!$Y$64="Alta",'Riesgos de gestión'!$AA$64="Moderado"),CONCATENATE("R10C",'Riesgos de gestión'!$O$64),"")</f>
        <v/>
      </c>
      <c r="W25" s="59" t="str">
        <f>IF(AND('Riesgos de gestión'!$Y$65="Alta",'Riesgos de gestión'!$AA$65="Moderado"),CONCATENATE("R10C",'Riesgos de gestión'!$O$65),"")</f>
        <v/>
      </c>
      <c r="X25" s="59" t="str">
        <f>IF(AND('Riesgos de gestión'!$Y$66="Alta",'Riesgos de gestión'!$AA$66="Moderado"),CONCATENATE("R10C",'Riesgos de gestión'!$O$66),"")</f>
        <v/>
      </c>
      <c r="Y25" s="59" t="str">
        <f>IF(AND('Riesgos de gestión'!$Y$67="Alta",'Riesgos de gestión'!$AA$67="Moderado"),CONCATENATE("R10C",'Riesgos de gestión'!$O$67),"")</f>
        <v/>
      </c>
      <c r="Z25" s="59" t="str">
        <f>IF(AND('Riesgos de gestión'!$Y$68="Alta",'Riesgos de gestión'!$AA$68="Moderado"),CONCATENATE("R10C",'Riesgos de gestión'!$O$68),"")</f>
        <v/>
      </c>
      <c r="AA25" s="60" t="str">
        <f>IF(AND('Riesgos de gestión'!$Y$69="Alta",'Riesgos de gestión'!$AA$69="Moderado"),CONCATENATE("R10C",'Riesgos de gestión'!$O$69),"")</f>
        <v/>
      </c>
      <c r="AB25" s="58" t="str">
        <f>IF(AND('Riesgos de gestión'!$Y$64="Alta",'Riesgos de gestión'!$AA$64="Mayor"),CONCATENATE("R10C",'Riesgos de gestión'!$O$64),"")</f>
        <v/>
      </c>
      <c r="AC25" s="59" t="str">
        <f>IF(AND('Riesgos de gestión'!$Y$65="Alta",'Riesgos de gestión'!$AA$65="Mayor"),CONCATENATE("R10C",'Riesgos de gestión'!$O$65),"")</f>
        <v/>
      </c>
      <c r="AD25" s="59" t="str">
        <f>IF(AND('Riesgos de gestión'!$Y$66="Alta",'Riesgos de gestión'!$AA$66="Mayor"),CONCATENATE("R10C",'Riesgos de gestión'!$O$66),"")</f>
        <v/>
      </c>
      <c r="AE25" s="59" t="str">
        <f>IF(AND('Riesgos de gestión'!$Y$67="Alta",'Riesgos de gestión'!$AA$67="Mayor"),CONCATENATE("R10C",'Riesgos de gestión'!$O$67),"")</f>
        <v/>
      </c>
      <c r="AF25" s="59" t="str">
        <f>IF(AND('Riesgos de gestión'!$Y$68="Alta",'Riesgos de gestión'!$AA$68="Mayor"),CONCATENATE("R10C",'Riesgos de gestión'!$O$68),"")</f>
        <v/>
      </c>
      <c r="AG25" s="60" t="str">
        <f>IF(AND('Riesgos de gestión'!$Y$69="Alta",'Riesgos de gestión'!$AA$69="Mayor"),CONCATENATE("R10C",'Riesgos de gestión'!$O$69),"")</f>
        <v/>
      </c>
      <c r="AH25" s="61" t="str">
        <f>IF(AND('Riesgos de gestión'!$Y$64="Alta",'Riesgos de gestión'!$AA$64="Catastrófico"),CONCATENATE("R10C",'Riesgos de gestión'!$O$64),"")</f>
        <v/>
      </c>
      <c r="AI25" s="62" t="str">
        <f>IF(AND('Riesgos de gestión'!$Y$65="Alta",'Riesgos de gestión'!$AA$65="Catastrófico"),CONCATENATE("R10C",'Riesgos de gestión'!$O$65),"")</f>
        <v/>
      </c>
      <c r="AJ25" s="62" t="str">
        <f>IF(AND('Riesgos de gestión'!$Y$66="Alta",'Riesgos de gestión'!$AA$66="Catastrófico"),CONCATENATE("R10C",'Riesgos de gestión'!$O$66),"")</f>
        <v/>
      </c>
      <c r="AK25" s="62" t="str">
        <f>IF(AND('Riesgos de gestión'!$Y$67="Alta",'Riesgos de gestión'!$AA$67="Catastrófico"),CONCATENATE("R10C",'Riesgos de gestión'!$O$67),"")</f>
        <v/>
      </c>
      <c r="AL25" s="62" t="str">
        <f>IF(AND('Riesgos de gestión'!$Y$68="Alta",'Riesgos de gestión'!$AA$68="Catastrófico"),CONCATENATE("R10C",'Riesgos de gestión'!$O$68),"")</f>
        <v/>
      </c>
      <c r="AM25" s="63" t="str">
        <f>IF(AND('Riesgos de gestión'!$Y$69="Alta",'Riesgos de gestión'!$AA$69="Catastrófico"),CONCATENATE("R10C",'Riesgos de gestión'!$O$69),"")</f>
        <v/>
      </c>
      <c r="AN25" s="83"/>
      <c r="AO25" s="1198"/>
      <c r="AP25" s="1199"/>
      <c r="AQ25" s="1199"/>
      <c r="AR25" s="1199"/>
      <c r="AS25" s="1199"/>
      <c r="AT25" s="1200"/>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row>
    <row r="26" spans="1:76" ht="15" customHeight="1" x14ac:dyDescent="0.25">
      <c r="A26" s="83"/>
      <c r="B26" s="1144"/>
      <c r="C26" s="1144"/>
      <c r="D26" s="1145"/>
      <c r="E26" s="1182" t="s">
        <v>117</v>
      </c>
      <c r="F26" s="1183"/>
      <c r="G26" s="1183"/>
      <c r="H26" s="1183"/>
      <c r="I26" s="1184"/>
      <c r="J26" s="64" t="str">
        <f ca="1">IF(AND('Riesgos de gestión'!$Y$10="Media",'Riesgos de gestión'!$AA$10="Leve"),CONCATENATE("R1C",'Riesgos de gestión'!$O$10),"")</f>
        <v/>
      </c>
      <c r="K26" s="65" t="str">
        <f>IF(AND('Riesgos de gestión'!$Y$11="Media",'Riesgos de gestión'!$AA$11="Leve"),CONCATENATE("R1C",'Riesgos de gestión'!$O$11),"")</f>
        <v/>
      </c>
      <c r="L26" s="65" t="str">
        <f>IF(AND('Riesgos de gestión'!$Y$12="Media",'Riesgos de gestión'!$AA$12="Leve"),CONCATENATE("R1C",'Riesgos de gestión'!$O$12),"")</f>
        <v/>
      </c>
      <c r="M26" s="65" t="str">
        <f>IF(AND('Riesgos de gestión'!$Y$13="Media",'Riesgos de gestión'!$AA$13="Leve"),CONCATENATE("R1C",'Riesgos de gestión'!$O$13),"")</f>
        <v/>
      </c>
      <c r="N26" s="65" t="str">
        <f>IF(AND('Riesgos de gestión'!$Y$14="Media",'Riesgos de gestión'!$AA$14="Leve"),CONCATENATE("R1C",'Riesgos de gestión'!$O$14),"")</f>
        <v/>
      </c>
      <c r="O26" s="66" t="str">
        <f>IF(AND('Riesgos de gestión'!$Y$15="Media",'Riesgos de gestión'!$AA$15="Leve"),CONCATENATE("R1C",'Riesgos de gestión'!$O$15),"")</f>
        <v/>
      </c>
      <c r="P26" s="64" t="str">
        <f ca="1">IF(AND('Riesgos de gestión'!$Y$10="Media",'Riesgos de gestión'!$AA$10="Menor"),CONCATENATE("R1C",'Riesgos de gestión'!$O$10),"")</f>
        <v/>
      </c>
      <c r="Q26" s="65" t="str">
        <f>IF(AND('Riesgos de gestión'!$Y$11="Media",'Riesgos de gestión'!$AA$11="Menor"),CONCATENATE("R1C",'Riesgos de gestión'!$O$11),"")</f>
        <v/>
      </c>
      <c r="R26" s="65" t="str">
        <f>IF(AND('Riesgos de gestión'!$Y$12="Media",'Riesgos de gestión'!$AA$12="Menor"),CONCATENATE("R1C",'Riesgos de gestión'!$O$12),"")</f>
        <v/>
      </c>
      <c r="S26" s="65" t="str">
        <f>IF(AND('Riesgos de gestión'!$Y$13="Media",'Riesgos de gestión'!$AA$13="Menor"),CONCATENATE("R1C",'Riesgos de gestión'!$O$13),"")</f>
        <v/>
      </c>
      <c r="T26" s="65" t="str">
        <f>IF(AND('Riesgos de gestión'!$Y$14="Media",'Riesgos de gestión'!$AA$14="Menor"),CONCATENATE("R1C",'Riesgos de gestión'!$O$14),"")</f>
        <v/>
      </c>
      <c r="U26" s="66" t="str">
        <f>IF(AND('Riesgos de gestión'!$Y$15="Media",'Riesgos de gestión'!$AA$15="Menor"),CONCATENATE("R1C",'Riesgos de gestión'!$O$15),"")</f>
        <v/>
      </c>
      <c r="V26" s="64" t="str">
        <f ca="1">IF(AND('Riesgos de gestión'!$Y$10="Media",'Riesgos de gestión'!$AA$10="Moderado"),CONCATENATE("R1C",'Riesgos de gestión'!$O$10),"")</f>
        <v/>
      </c>
      <c r="W26" s="65" t="str">
        <f>IF(AND('Riesgos de gestión'!$Y$11="Media",'Riesgos de gestión'!$AA$11="Moderado"),CONCATENATE("R1C",'Riesgos de gestión'!$O$11),"")</f>
        <v/>
      </c>
      <c r="X26" s="65" t="str">
        <f>IF(AND('Riesgos de gestión'!$Y$12="Media",'Riesgos de gestión'!$AA$12="Moderado"),CONCATENATE("R1C",'Riesgos de gestión'!$O$12),"")</f>
        <v/>
      </c>
      <c r="Y26" s="65" t="str">
        <f>IF(AND('Riesgos de gestión'!$Y$13="Media",'Riesgos de gestión'!$AA$13="Moderado"),CONCATENATE("R1C",'Riesgos de gestión'!$O$13),"")</f>
        <v/>
      </c>
      <c r="Z26" s="65" t="str">
        <f>IF(AND('Riesgos de gestión'!$Y$14="Media",'Riesgos de gestión'!$AA$14="Moderado"),CONCATENATE("R1C",'Riesgos de gestión'!$O$14),"")</f>
        <v/>
      </c>
      <c r="AA26" s="66" t="str">
        <f>IF(AND('Riesgos de gestión'!$Y$15="Media",'Riesgos de gestión'!$AA$15="Moderado"),CONCATENATE("R1C",'Riesgos de gestión'!$O$15),"")</f>
        <v/>
      </c>
      <c r="AB26" s="46" t="str">
        <f ca="1">IF(AND('Riesgos de gestión'!$Y$10="Media",'Riesgos de gestión'!$AA$10="Mayor"),CONCATENATE("R1C",'Riesgos de gestión'!$O$10),"")</f>
        <v/>
      </c>
      <c r="AC26" s="47" t="str">
        <f>IF(AND('Riesgos de gestión'!$Y$11="Media",'Riesgos de gestión'!$AA$11="Mayor"),CONCATENATE("R1C",'Riesgos de gestión'!$O$11),"")</f>
        <v/>
      </c>
      <c r="AD26" s="47" t="str">
        <f>IF(AND('Riesgos de gestión'!$Y$12="Media",'Riesgos de gestión'!$AA$12="Mayor"),CONCATENATE("R1C",'Riesgos de gestión'!$O$12),"")</f>
        <v/>
      </c>
      <c r="AE26" s="47" t="str">
        <f>IF(AND('Riesgos de gestión'!$Y$13="Media",'Riesgos de gestión'!$AA$13="Mayor"),CONCATENATE("R1C",'Riesgos de gestión'!$O$13),"")</f>
        <v/>
      </c>
      <c r="AF26" s="47" t="str">
        <f>IF(AND('Riesgos de gestión'!$Y$14="Media",'Riesgos de gestión'!$AA$14="Mayor"),CONCATENATE("R1C",'Riesgos de gestión'!$O$14),"")</f>
        <v/>
      </c>
      <c r="AG26" s="48" t="str">
        <f>IF(AND('Riesgos de gestión'!$Y$15="Media",'Riesgos de gestión'!$AA$15="Mayor"),CONCATENATE("R1C",'Riesgos de gestión'!$O$15),"")</f>
        <v/>
      </c>
      <c r="AH26" s="49" t="str">
        <f ca="1">IF(AND('Riesgos de gestión'!$Y$10="Media",'Riesgos de gestión'!$AA$10="Catastrófico"),CONCATENATE("R1C",'Riesgos de gestión'!$O$10),"")</f>
        <v/>
      </c>
      <c r="AI26" s="50" t="str">
        <f>IF(AND('Riesgos de gestión'!$Y$11="Media",'Riesgos de gestión'!$AA$11="Catastrófico"),CONCATENATE("R1C",'Riesgos de gestión'!$O$11),"")</f>
        <v/>
      </c>
      <c r="AJ26" s="50" t="str">
        <f>IF(AND('Riesgos de gestión'!$Y$12="Media",'Riesgos de gestión'!$AA$12="Catastrófico"),CONCATENATE("R1C",'Riesgos de gestión'!$O$12),"")</f>
        <v/>
      </c>
      <c r="AK26" s="50" t="str">
        <f>IF(AND('Riesgos de gestión'!$Y$13="Media",'Riesgos de gestión'!$AA$13="Catastrófico"),CONCATENATE("R1C",'Riesgos de gestión'!$O$13),"")</f>
        <v/>
      </c>
      <c r="AL26" s="50" t="str">
        <f>IF(AND('Riesgos de gestión'!$Y$14="Media",'Riesgos de gestión'!$AA$14="Catastrófico"),CONCATENATE("R1C",'Riesgos de gestión'!$O$14),"")</f>
        <v/>
      </c>
      <c r="AM26" s="51" t="str">
        <f>IF(AND('Riesgos de gestión'!$Y$15="Media",'Riesgos de gestión'!$AA$15="Catastrófico"),CONCATENATE("R1C",'Riesgos de gestión'!$O$15),"")</f>
        <v/>
      </c>
      <c r="AN26" s="83"/>
      <c r="AO26" s="1222" t="s">
        <v>81</v>
      </c>
      <c r="AP26" s="1223"/>
      <c r="AQ26" s="1223"/>
      <c r="AR26" s="1223"/>
      <c r="AS26" s="1223"/>
      <c r="AT26" s="1224"/>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row>
    <row r="27" spans="1:76" ht="15" customHeight="1" x14ac:dyDescent="0.25">
      <c r="A27" s="83"/>
      <c r="B27" s="1144"/>
      <c r="C27" s="1144"/>
      <c r="D27" s="1145"/>
      <c r="E27" s="1201"/>
      <c r="F27" s="1186"/>
      <c r="G27" s="1186"/>
      <c r="H27" s="1186"/>
      <c r="I27" s="1187"/>
      <c r="J27" s="67" t="str">
        <f>IF(AND('Riesgos de gestión'!$Y$16="Media",'Riesgos de gestión'!$AA$16="Leve"),CONCATENATE("R2C",'Riesgos de gestión'!$O$16),"")</f>
        <v/>
      </c>
      <c r="K27" s="68" t="str">
        <f>IF(AND('Riesgos de gestión'!$Y$17="Media",'Riesgos de gestión'!$AA$17="Leve"),CONCATENATE("R2C",'Riesgos de gestión'!$O$17),"")</f>
        <v/>
      </c>
      <c r="L27" s="68" t="str">
        <f>IF(AND('Riesgos de gestión'!$Y$18="Media",'Riesgos de gestión'!$AA$18="Leve"),CONCATENATE("R2C",'Riesgos de gestión'!$O$18),"")</f>
        <v/>
      </c>
      <c r="M27" s="68" t="str">
        <f>IF(AND('Riesgos de gestión'!$Y$19="Media",'Riesgos de gestión'!$AA$19="Leve"),CONCATENATE("R2C",'Riesgos de gestión'!$O$19),"")</f>
        <v/>
      </c>
      <c r="N27" s="68" t="str">
        <f>IF(AND('Riesgos de gestión'!$Y$20="Media",'Riesgos de gestión'!$AA$20="Leve"),CONCATENATE("R2C",'Riesgos de gestión'!$O$20),"")</f>
        <v/>
      </c>
      <c r="O27" s="69" t="str">
        <f>IF(AND('Riesgos de gestión'!$Y$21="Media",'Riesgos de gestión'!$AA$21="Leve"),CONCATENATE("R2C",'Riesgos de gestión'!$O$21),"")</f>
        <v/>
      </c>
      <c r="P27" s="67" t="str">
        <f>IF(AND('Riesgos de gestión'!$Y$16="Media",'Riesgos de gestión'!$AA$16="Menor"),CONCATENATE("R2C",'Riesgos de gestión'!$O$16),"")</f>
        <v/>
      </c>
      <c r="Q27" s="68" t="str">
        <f>IF(AND('Riesgos de gestión'!$Y$17="Media",'Riesgos de gestión'!$AA$17="Menor"),CONCATENATE("R2C",'Riesgos de gestión'!$O$17),"")</f>
        <v/>
      </c>
      <c r="R27" s="68" t="str">
        <f>IF(AND('Riesgos de gestión'!$Y$18="Media",'Riesgos de gestión'!$AA$18="Menor"),CONCATENATE("R2C",'Riesgos de gestión'!$O$18),"")</f>
        <v/>
      </c>
      <c r="S27" s="68" t="str">
        <f>IF(AND('Riesgos de gestión'!$Y$19="Media",'Riesgos de gestión'!$AA$19="Menor"),CONCATENATE("R2C",'Riesgos de gestión'!$O$19),"")</f>
        <v/>
      </c>
      <c r="T27" s="68" t="str">
        <f>IF(AND('Riesgos de gestión'!$Y$20="Media",'Riesgos de gestión'!$AA$20="Menor"),CONCATENATE("R2C",'Riesgos de gestión'!$O$20),"")</f>
        <v/>
      </c>
      <c r="U27" s="69" t="str">
        <f>IF(AND('Riesgos de gestión'!$Y$21="Media",'Riesgos de gestión'!$AA$21="Menor"),CONCATENATE("R2C",'Riesgos de gestión'!$O$21),"")</f>
        <v/>
      </c>
      <c r="V27" s="67" t="str">
        <f>IF(AND('Riesgos de gestión'!$Y$16="Media",'Riesgos de gestión'!$AA$16="Moderado"),CONCATENATE("R2C",'Riesgos de gestión'!$O$16),"")</f>
        <v/>
      </c>
      <c r="W27" s="68" t="str">
        <f>IF(AND('Riesgos de gestión'!$Y$17="Media",'Riesgos de gestión'!$AA$17="Moderado"),CONCATENATE("R2C",'Riesgos de gestión'!$O$17),"")</f>
        <v/>
      </c>
      <c r="X27" s="68" t="str">
        <f>IF(AND('Riesgos de gestión'!$Y$18="Media",'Riesgos de gestión'!$AA$18="Moderado"),CONCATENATE("R2C",'Riesgos de gestión'!$O$18),"")</f>
        <v/>
      </c>
      <c r="Y27" s="68" t="str">
        <f>IF(AND('Riesgos de gestión'!$Y$19="Media",'Riesgos de gestión'!$AA$19="Moderado"),CONCATENATE("R2C",'Riesgos de gestión'!$O$19),"")</f>
        <v/>
      </c>
      <c r="Z27" s="68" t="str">
        <f>IF(AND('Riesgos de gestión'!$Y$20="Media",'Riesgos de gestión'!$AA$20="Moderado"),CONCATENATE("R2C",'Riesgos de gestión'!$O$20),"")</f>
        <v/>
      </c>
      <c r="AA27" s="69" t="str">
        <f>IF(AND('Riesgos de gestión'!$Y$21="Media",'Riesgos de gestión'!$AA$21="Moderado"),CONCATENATE("R2C",'Riesgos de gestión'!$O$21),"")</f>
        <v/>
      </c>
      <c r="AB27" s="52" t="str">
        <f>IF(AND('Riesgos de gestión'!$Y$16="Media",'Riesgos de gestión'!$AA$16="Mayor"),CONCATENATE("R2C",'Riesgos de gestión'!$O$16),"")</f>
        <v/>
      </c>
      <c r="AC27" s="53" t="str">
        <f>IF(AND('Riesgos de gestión'!$Y$17="Media",'Riesgos de gestión'!$AA$17="Mayor"),CONCATENATE("R2C",'Riesgos de gestión'!$O$17),"")</f>
        <v/>
      </c>
      <c r="AD27" s="53" t="str">
        <f>IF(AND('Riesgos de gestión'!$Y$18="Media",'Riesgos de gestión'!$AA$18="Mayor"),CONCATENATE("R2C",'Riesgos de gestión'!$O$18),"")</f>
        <v/>
      </c>
      <c r="AE27" s="53" t="str">
        <f>IF(AND('Riesgos de gestión'!$Y$19="Media",'Riesgos de gestión'!$AA$19="Mayor"),CONCATENATE("R2C",'Riesgos de gestión'!$O$19),"")</f>
        <v/>
      </c>
      <c r="AF27" s="53" t="str">
        <f>IF(AND('Riesgos de gestión'!$Y$20="Media",'Riesgos de gestión'!$AA$20="Mayor"),CONCATENATE("R2C",'Riesgos de gestión'!$O$20),"")</f>
        <v/>
      </c>
      <c r="AG27" s="54" t="str">
        <f>IF(AND('Riesgos de gestión'!$Y$21="Media",'Riesgos de gestión'!$AA$21="Mayor"),CONCATENATE("R2C",'Riesgos de gestión'!$O$21),"")</f>
        <v/>
      </c>
      <c r="AH27" s="55" t="str">
        <f>IF(AND('Riesgos de gestión'!$Y$16="Media",'Riesgos de gestión'!$AA$16="Catastrófico"),CONCATENATE("R2C",'Riesgos de gestión'!$O$16),"")</f>
        <v/>
      </c>
      <c r="AI27" s="56" t="str">
        <f>IF(AND('Riesgos de gestión'!$Y$17="Media",'Riesgos de gestión'!$AA$17="Catastrófico"),CONCATENATE("R2C",'Riesgos de gestión'!$O$17),"")</f>
        <v/>
      </c>
      <c r="AJ27" s="56" t="str">
        <f>IF(AND('Riesgos de gestión'!$Y$18="Media",'Riesgos de gestión'!$AA$18="Catastrófico"),CONCATENATE("R2C",'Riesgos de gestión'!$O$18),"")</f>
        <v/>
      </c>
      <c r="AK27" s="56" t="str">
        <f>IF(AND('Riesgos de gestión'!$Y$19="Media",'Riesgos de gestión'!$AA$19="Catastrófico"),CONCATENATE("R2C",'Riesgos de gestión'!$O$19),"")</f>
        <v/>
      </c>
      <c r="AL27" s="56" t="str">
        <f>IF(AND('Riesgos de gestión'!$Y$20="Media",'Riesgos de gestión'!$AA$20="Catastrófico"),CONCATENATE("R2C",'Riesgos de gestión'!$O$20),"")</f>
        <v/>
      </c>
      <c r="AM27" s="57" t="str">
        <f>IF(AND('Riesgos de gestión'!$Y$21="Media",'Riesgos de gestión'!$AA$21="Catastrófico"),CONCATENATE("R2C",'Riesgos de gestión'!$O$21),"")</f>
        <v/>
      </c>
      <c r="AN27" s="83"/>
      <c r="AO27" s="1225"/>
      <c r="AP27" s="1226"/>
      <c r="AQ27" s="1226"/>
      <c r="AR27" s="1226"/>
      <c r="AS27" s="1226"/>
      <c r="AT27" s="1227"/>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row>
    <row r="28" spans="1:76" ht="15" customHeight="1" x14ac:dyDescent="0.25">
      <c r="A28" s="83"/>
      <c r="B28" s="1144"/>
      <c r="C28" s="1144"/>
      <c r="D28" s="1145"/>
      <c r="E28" s="1185"/>
      <c r="F28" s="1186"/>
      <c r="G28" s="1186"/>
      <c r="H28" s="1186"/>
      <c r="I28" s="1187"/>
      <c r="J28" s="67" t="str">
        <f>IF(AND('Riesgos de gestión'!$Y$22="Media",'Riesgos de gestión'!$AA$22="Leve"),CONCATENATE("R3C",'Riesgos de gestión'!$O$22),"")</f>
        <v/>
      </c>
      <c r="K28" s="68" t="str">
        <f>IF(AND('Riesgos de gestión'!$Y$23="Media",'Riesgos de gestión'!$AA$23="Leve"),CONCATENATE("R3C",'Riesgos de gestión'!$O$23),"")</f>
        <v/>
      </c>
      <c r="L28" s="68" t="str">
        <f>IF(AND('Riesgos de gestión'!$Y$24="Media",'Riesgos de gestión'!$AA$24="Leve"),CONCATENATE("R3C",'Riesgos de gestión'!$O$24),"")</f>
        <v/>
      </c>
      <c r="M28" s="68" t="str">
        <f>IF(AND('Riesgos de gestión'!$Y$25="Media",'Riesgos de gestión'!$AA$25="Leve"),CONCATENATE("R3C",'Riesgos de gestión'!$O$25),"")</f>
        <v/>
      </c>
      <c r="N28" s="68" t="str">
        <f>IF(AND('Riesgos de gestión'!$Y$26="Media",'Riesgos de gestión'!$AA$26="Leve"),CONCATENATE("R3C",'Riesgos de gestión'!$O$26),"")</f>
        <v/>
      </c>
      <c r="O28" s="69" t="str">
        <f>IF(AND('Riesgos de gestión'!$Y$27="Media",'Riesgos de gestión'!$AA$27="Leve"),CONCATENATE("R3C",'Riesgos de gestión'!$O$27),"")</f>
        <v/>
      </c>
      <c r="P28" s="67" t="str">
        <f>IF(AND('Riesgos de gestión'!$Y$22="Media",'Riesgos de gestión'!$AA$22="Menor"),CONCATENATE("R3C",'Riesgos de gestión'!$O$22),"")</f>
        <v/>
      </c>
      <c r="Q28" s="68" t="str">
        <f>IF(AND('Riesgos de gestión'!$Y$23="Media",'Riesgos de gestión'!$AA$23="Menor"),CONCATENATE("R3C",'Riesgos de gestión'!$O$23),"")</f>
        <v/>
      </c>
      <c r="R28" s="68" t="str">
        <f>IF(AND('Riesgos de gestión'!$Y$24="Media",'Riesgos de gestión'!$AA$24="Menor"),CONCATENATE("R3C",'Riesgos de gestión'!$O$24),"")</f>
        <v/>
      </c>
      <c r="S28" s="68" t="str">
        <f>IF(AND('Riesgos de gestión'!$Y$25="Media",'Riesgos de gestión'!$AA$25="Menor"),CONCATENATE("R3C",'Riesgos de gestión'!$O$25),"")</f>
        <v/>
      </c>
      <c r="T28" s="68" t="str">
        <f>IF(AND('Riesgos de gestión'!$Y$26="Media",'Riesgos de gestión'!$AA$26="Menor"),CONCATENATE("R3C",'Riesgos de gestión'!$O$26),"")</f>
        <v/>
      </c>
      <c r="U28" s="69" t="str">
        <f>IF(AND('Riesgos de gestión'!$Y$27="Media",'Riesgos de gestión'!$AA$27="Menor"),CONCATENATE("R3C",'Riesgos de gestión'!$O$27),"")</f>
        <v/>
      </c>
      <c r="V28" s="67" t="str">
        <f>IF(AND('Riesgos de gestión'!$Y$22="Media",'Riesgos de gestión'!$AA$22="Moderado"),CONCATENATE("R3C",'Riesgos de gestión'!$O$22),"")</f>
        <v/>
      </c>
      <c r="W28" s="68" t="str">
        <f>IF(AND('Riesgos de gestión'!$Y$23="Media",'Riesgos de gestión'!$AA$23="Moderado"),CONCATENATE("R3C",'Riesgos de gestión'!$O$23),"")</f>
        <v/>
      </c>
      <c r="X28" s="68" t="str">
        <f>IF(AND('Riesgos de gestión'!$Y$24="Media",'Riesgos de gestión'!$AA$24="Moderado"),CONCATENATE("R3C",'Riesgos de gestión'!$O$24),"")</f>
        <v/>
      </c>
      <c r="Y28" s="68" t="str">
        <f>IF(AND('Riesgos de gestión'!$Y$25="Media",'Riesgos de gestión'!$AA$25="Moderado"),CONCATENATE("R3C",'Riesgos de gestión'!$O$25),"")</f>
        <v/>
      </c>
      <c r="Z28" s="68" t="str">
        <f>IF(AND('Riesgos de gestión'!$Y$26="Media",'Riesgos de gestión'!$AA$26="Moderado"),CONCATENATE("R3C",'Riesgos de gestión'!$O$26),"")</f>
        <v/>
      </c>
      <c r="AA28" s="69" t="str">
        <f>IF(AND('Riesgos de gestión'!$Y$27="Media",'Riesgos de gestión'!$AA$27="Moderado"),CONCATENATE("R3C",'Riesgos de gestión'!$O$27),"")</f>
        <v/>
      </c>
      <c r="AB28" s="52" t="str">
        <f>IF(AND('Riesgos de gestión'!$Y$22="Media",'Riesgos de gestión'!$AA$22="Mayor"),CONCATENATE("R3C",'Riesgos de gestión'!$O$22),"")</f>
        <v/>
      </c>
      <c r="AC28" s="53" t="str">
        <f>IF(AND('Riesgos de gestión'!$Y$23="Media",'Riesgos de gestión'!$AA$23="Mayor"),CONCATENATE("R3C",'Riesgos de gestión'!$O$23),"")</f>
        <v/>
      </c>
      <c r="AD28" s="53" t="str">
        <f>IF(AND('Riesgos de gestión'!$Y$24="Media",'Riesgos de gestión'!$AA$24="Mayor"),CONCATENATE("R3C",'Riesgos de gestión'!$O$24),"")</f>
        <v/>
      </c>
      <c r="AE28" s="53" t="str">
        <f>IF(AND('Riesgos de gestión'!$Y$25="Media",'Riesgos de gestión'!$AA$25="Mayor"),CONCATENATE("R3C",'Riesgos de gestión'!$O$25),"")</f>
        <v/>
      </c>
      <c r="AF28" s="53" t="str">
        <f>IF(AND('Riesgos de gestión'!$Y$26="Media",'Riesgos de gestión'!$AA$26="Mayor"),CONCATENATE("R3C",'Riesgos de gestión'!$O$26),"")</f>
        <v/>
      </c>
      <c r="AG28" s="54" t="str">
        <f>IF(AND('Riesgos de gestión'!$Y$27="Media",'Riesgos de gestión'!$AA$27="Mayor"),CONCATENATE("R3C",'Riesgos de gestión'!$O$27),"")</f>
        <v/>
      </c>
      <c r="AH28" s="55" t="str">
        <f>IF(AND('Riesgos de gestión'!$Y$22="Media",'Riesgos de gestión'!$AA$22="Catastrófico"),CONCATENATE("R3C",'Riesgos de gestión'!$O$22),"")</f>
        <v/>
      </c>
      <c r="AI28" s="56" t="str">
        <f>IF(AND('Riesgos de gestión'!$Y$23="Media",'Riesgos de gestión'!$AA$23="Catastrófico"),CONCATENATE("R3C",'Riesgos de gestión'!$O$23),"")</f>
        <v/>
      </c>
      <c r="AJ28" s="56" t="str">
        <f>IF(AND('Riesgos de gestión'!$Y$24="Media",'Riesgos de gestión'!$AA$24="Catastrófico"),CONCATENATE("R3C",'Riesgos de gestión'!$O$24),"")</f>
        <v/>
      </c>
      <c r="AK28" s="56" t="str">
        <f>IF(AND('Riesgos de gestión'!$Y$25="Media",'Riesgos de gestión'!$AA$25="Catastrófico"),CONCATENATE("R3C",'Riesgos de gestión'!$O$25),"")</f>
        <v/>
      </c>
      <c r="AL28" s="56" t="str">
        <f>IF(AND('Riesgos de gestión'!$Y$26="Media",'Riesgos de gestión'!$AA$26="Catastrófico"),CONCATENATE("R3C",'Riesgos de gestión'!$O$26),"")</f>
        <v/>
      </c>
      <c r="AM28" s="57" t="str">
        <f>IF(AND('Riesgos de gestión'!$Y$27="Media",'Riesgos de gestión'!$AA$27="Catastrófico"),CONCATENATE("R3C",'Riesgos de gestión'!$O$27),"")</f>
        <v/>
      </c>
      <c r="AN28" s="83"/>
      <c r="AO28" s="1225"/>
      <c r="AP28" s="1226"/>
      <c r="AQ28" s="1226"/>
      <c r="AR28" s="1226"/>
      <c r="AS28" s="1226"/>
      <c r="AT28" s="1227"/>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row>
    <row r="29" spans="1:76" ht="15" customHeight="1" x14ac:dyDescent="0.25">
      <c r="A29" s="83"/>
      <c r="B29" s="1144"/>
      <c r="C29" s="1144"/>
      <c r="D29" s="1145"/>
      <c r="E29" s="1185"/>
      <c r="F29" s="1186"/>
      <c r="G29" s="1186"/>
      <c r="H29" s="1186"/>
      <c r="I29" s="1187"/>
      <c r="J29" s="67" t="str">
        <f>IF(AND('Riesgos de gestión'!$Y$28="Media",'Riesgos de gestión'!$AA$28="Leve"),CONCATENATE("R4C",'Riesgos de gestión'!$O$28),"")</f>
        <v/>
      </c>
      <c r="K29" s="68" t="str">
        <f>IF(AND('Riesgos de gestión'!$Y$29="Media",'Riesgos de gestión'!$AA$29="Leve"),CONCATENATE("R4C",'Riesgos de gestión'!$O$29),"")</f>
        <v/>
      </c>
      <c r="L29" s="68" t="str">
        <f>IF(AND('Riesgos de gestión'!$Y$30="Media",'Riesgos de gestión'!$AA$30="Leve"),CONCATENATE("R4C",'Riesgos de gestión'!$O$30),"")</f>
        <v/>
      </c>
      <c r="M29" s="68" t="str">
        <f>IF(AND('Riesgos de gestión'!$Y$31="Media",'Riesgos de gestión'!$AA$31="Leve"),CONCATENATE("R4C",'Riesgos de gestión'!$O$31),"")</f>
        <v/>
      </c>
      <c r="N29" s="68" t="str">
        <f>IF(AND('Riesgos de gestión'!$Y$32="Media",'Riesgos de gestión'!$AA$32="Leve"),CONCATENATE("R4C",'Riesgos de gestión'!$O$32),"")</f>
        <v/>
      </c>
      <c r="O29" s="69" t="str">
        <f>IF(AND('Riesgos de gestión'!$Y$33="Media",'Riesgos de gestión'!$AA$33="Leve"),CONCATENATE("R4C",'Riesgos de gestión'!$O$33),"")</f>
        <v/>
      </c>
      <c r="P29" s="67" t="str">
        <f>IF(AND('Riesgos de gestión'!$Y$28="Media",'Riesgos de gestión'!$AA$28="Menor"),CONCATENATE("R4C",'Riesgos de gestión'!$O$28),"")</f>
        <v/>
      </c>
      <c r="Q29" s="68" t="str">
        <f>IF(AND('Riesgos de gestión'!$Y$29="Media",'Riesgos de gestión'!$AA$29="Menor"),CONCATENATE("R4C",'Riesgos de gestión'!$O$29),"")</f>
        <v/>
      </c>
      <c r="R29" s="68" t="str">
        <f>IF(AND('Riesgos de gestión'!$Y$30="Media",'Riesgos de gestión'!$AA$30="Menor"),CONCATENATE("R4C",'Riesgos de gestión'!$O$30),"")</f>
        <v/>
      </c>
      <c r="S29" s="68" t="str">
        <f>IF(AND('Riesgos de gestión'!$Y$31="Media",'Riesgos de gestión'!$AA$31="Menor"),CONCATENATE("R4C",'Riesgos de gestión'!$O$31),"")</f>
        <v/>
      </c>
      <c r="T29" s="68" t="str">
        <f>IF(AND('Riesgos de gestión'!$Y$32="Media",'Riesgos de gestión'!$AA$32="Menor"),CONCATENATE("R4C",'Riesgos de gestión'!$O$32),"")</f>
        <v/>
      </c>
      <c r="U29" s="69" t="str">
        <f>IF(AND('Riesgos de gestión'!$Y$33="Media",'Riesgos de gestión'!$AA$33="Menor"),CONCATENATE("R4C",'Riesgos de gestión'!$O$33),"")</f>
        <v/>
      </c>
      <c r="V29" s="67" t="str">
        <f>IF(AND('Riesgos de gestión'!$Y$28="Media",'Riesgos de gestión'!$AA$28="Moderado"),CONCATENATE("R4C",'Riesgos de gestión'!$O$28),"")</f>
        <v/>
      </c>
      <c r="W29" s="68" t="str">
        <f>IF(AND('Riesgos de gestión'!$Y$29="Media",'Riesgos de gestión'!$AA$29="Moderado"),CONCATENATE("R4C",'Riesgos de gestión'!$O$29),"")</f>
        <v/>
      </c>
      <c r="X29" s="68" t="str">
        <f>IF(AND('Riesgos de gestión'!$Y$30="Media",'Riesgos de gestión'!$AA$30="Moderado"),CONCATENATE("R4C",'Riesgos de gestión'!$O$30),"")</f>
        <v/>
      </c>
      <c r="Y29" s="68" t="str">
        <f>IF(AND('Riesgos de gestión'!$Y$31="Media",'Riesgos de gestión'!$AA$31="Moderado"),CONCATENATE("R4C",'Riesgos de gestión'!$O$31),"")</f>
        <v/>
      </c>
      <c r="Z29" s="68" t="str">
        <f>IF(AND('Riesgos de gestión'!$Y$32="Media",'Riesgos de gestión'!$AA$32="Moderado"),CONCATENATE("R4C",'Riesgos de gestión'!$O$32),"")</f>
        <v/>
      </c>
      <c r="AA29" s="69" t="str">
        <f>IF(AND('Riesgos de gestión'!$Y$33="Media",'Riesgos de gestión'!$AA$33="Moderado"),CONCATENATE("R4C",'Riesgos de gestión'!$O$33),"")</f>
        <v/>
      </c>
      <c r="AB29" s="52" t="str">
        <f>IF(AND('Riesgos de gestión'!$Y$28="Media",'Riesgos de gestión'!$AA$28="Mayor"),CONCATENATE("R4C",'Riesgos de gestión'!$O$28),"")</f>
        <v/>
      </c>
      <c r="AC29" s="53" t="str">
        <f>IF(AND('Riesgos de gestión'!$Y$29="Media",'Riesgos de gestión'!$AA$29="Mayor"),CONCATENATE("R4C",'Riesgos de gestión'!$O$29),"")</f>
        <v/>
      </c>
      <c r="AD29" s="53" t="str">
        <f>IF(AND('Riesgos de gestión'!$Y$30="Media",'Riesgos de gestión'!$AA$30="Mayor"),CONCATENATE("R4C",'Riesgos de gestión'!$O$30),"")</f>
        <v/>
      </c>
      <c r="AE29" s="53" t="str">
        <f>IF(AND('Riesgos de gestión'!$Y$31="Media",'Riesgos de gestión'!$AA$31="Mayor"),CONCATENATE("R4C",'Riesgos de gestión'!$O$31),"")</f>
        <v/>
      </c>
      <c r="AF29" s="53" t="str">
        <f>IF(AND('Riesgos de gestión'!$Y$32="Media",'Riesgos de gestión'!$AA$32="Mayor"),CONCATENATE("R4C",'Riesgos de gestión'!$O$32),"")</f>
        <v/>
      </c>
      <c r="AG29" s="54" t="str">
        <f>IF(AND('Riesgos de gestión'!$Y$33="Media",'Riesgos de gestión'!$AA$33="Mayor"),CONCATENATE("R4C",'Riesgos de gestión'!$O$33),"")</f>
        <v/>
      </c>
      <c r="AH29" s="55" t="str">
        <f>IF(AND('Riesgos de gestión'!$Y$28="Media",'Riesgos de gestión'!$AA$28="Catastrófico"),CONCATENATE("R4C",'Riesgos de gestión'!$O$28),"")</f>
        <v/>
      </c>
      <c r="AI29" s="56" t="str">
        <f>IF(AND('Riesgos de gestión'!$Y$29="Media",'Riesgos de gestión'!$AA$29="Catastrófico"),CONCATENATE("R4C",'Riesgos de gestión'!$O$29),"")</f>
        <v/>
      </c>
      <c r="AJ29" s="56" t="str">
        <f>IF(AND('Riesgos de gestión'!$Y$30="Media",'Riesgos de gestión'!$AA$30="Catastrófico"),CONCATENATE("R4C",'Riesgos de gestión'!$O$30),"")</f>
        <v/>
      </c>
      <c r="AK29" s="56" t="str">
        <f>IF(AND('Riesgos de gestión'!$Y$31="Media",'Riesgos de gestión'!$AA$31="Catastrófico"),CONCATENATE("R4C",'Riesgos de gestión'!$O$31),"")</f>
        <v/>
      </c>
      <c r="AL29" s="56" t="str">
        <f>IF(AND('Riesgos de gestión'!$Y$32="Media",'Riesgos de gestión'!$AA$32="Catastrófico"),CONCATENATE("R4C",'Riesgos de gestión'!$O$32),"")</f>
        <v/>
      </c>
      <c r="AM29" s="57" t="str">
        <f>IF(AND('Riesgos de gestión'!$Y$33="Media",'Riesgos de gestión'!$AA$33="Catastrófico"),CONCATENATE("R4C",'Riesgos de gestión'!$O$33),"")</f>
        <v/>
      </c>
      <c r="AN29" s="83"/>
      <c r="AO29" s="1225"/>
      <c r="AP29" s="1226"/>
      <c r="AQ29" s="1226"/>
      <c r="AR29" s="1226"/>
      <c r="AS29" s="1226"/>
      <c r="AT29" s="1227"/>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row>
    <row r="30" spans="1:76" ht="15" customHeight="1" x14ac:dyDescent="0.25">
      <c r="A30" s="83"/>
      <c r="B30" s="1144"/>
      <c r="C30" s="1144"/>
      <c r="D30" s="1145"/>
      <c r="E30" s="1185"/>
      <c r="F30" s="1186"/>
      <c r="G30" s="1186"/>
      <c r="H30" s="1186"/>
      <c r="I30" s="1187"/>
      <c r="J30" s="67" t="str">
        <f>IF(AND('Riesgos de gestión'!$Y$34="Media",'Riesgos de gestión'!$AA$34="Leve"),CONCATENATE("R5C",'Riesgos de gestión'!$O$34),"")</f>
        <v/>
      </c>
      <c r="K30" s="68" t="str">
        <f>IF(AND('Riesgos de gestión'!$Y$35="Media",'Riesgos de gestión'!$AA$35="Leve"),CONCATENATE("R5C",'Riesgos de gestión'!$O$35),"")</f>
        <v/>
      </c>
      <c r="L30" s="68" t="str">
        <f>IF(AND('Riesgos de gestión'!$Y$36="Media",'Riesgos de gestión'!$AA$36="Leve"),CONCATENATE("R5C",'Riesgos de gestión'!$O$36),"")</f>
        <v/>
      </c>
      <c r="M30" s="68" t="str">
        <f>IF(AND('Riesgos de gestión'!$Y$37="Media",'Riesgos de gestión'!$AA$37="Leve"),CONCATENATE("R5C",'Riesgos de gestión'!$O$37),"")</f>
        <v/>
      </c>
      <c r="N30" s="68" t="str">
        <f>IF(AND('Riesgos de gestión'!$Y$38="Media",'Riesgos de gestión'!$AA$38="Leve"),CONCATENATE("R5C",'Riesgos de gestión'!$O$38),"")</f>
        <v/>
      </c>
      <c r="O30" s="69" t="str">
        <f>IF(AND('Riesgos de gestión'!$Y$39="Media",'Riesgos de gestión'!$AA$39="Leve"),CONCATENATE("R5C",'Riesgos de gestión'!$O$39),"")</f>
        <v/>
      </c>
      <c r="P30" s="67" t="str">
        <f>IF(AND('Riesgos de gestión'!$Y$34="Media",'Riesgos de gestión'!$AA$34="Menor"),CONCATENATE("R5C",'Riesgos de gestión'!$O$34),"")</f>
        <v/>
      </c>
      <c r="Q30" s="68" t="str">
        <f>IF(AND('Riesgos de gestión'!$Y$35="Media",'Riesgos de gestión'!$AA$35="Menor"),CONCATENATE("R5C",'Riesgos de gestión'!$O$35),"")</f>
        <v/>
      </c>
      <c r="R30" s="68" t="str">
        <f>IF(AND('Riesgos de gestión'!$Y$36="Media",'Riesgos de gestión'!$AA$36="Menor"),CONCATENATE("R5C",'Riesgos de gestión'!$O$36),"")</f>
        <v/>
      </c>
      <c r="S30" s="68" t="str">
        <f>IF(AND('Riesgos de gestión'!$Y$37="Media",'Riesgos de gestión'!$AA$37="Menor"),CONCATENATE("R5C",'Riesgos de gestión'!$O$37),"")</f>
        <v/>
      </c>
      <c r="T30" s="68" t="str">
        <f>IF(AND('Riesgos de gestión'!$Y$38="Media",'Riesgos de gestión'!$AA$38="Menor"),CONCATENATE("R5C",'Riesgos de gestión'!$O$38),"")</f>
        <v/>
      </c>
      <c r="U30" s="69" t="str">
        <f>IF(AND('Riesgos de gestión'!$Y$39="Media",'Riesgos de gestión'!$AA$39="Menor"),CONCATENATE("R5C",'Riesgos de gestión'!$O$39),"")</f>
        <v/>
      </c>
      <c r="V30" s="67" t="str">
        <f>IF(AND('Riesgos de gestión'!$Y$34="Media",'Riesgos de gestión'!$AA$34="Moderado"),CONCATENATE("R5C",'Riesgos de gestión'!$O$34),"")</f>
        <v/>
      </c>
      <c r="W30" s="68" t="str">
        <f>IF(AND('Riesgos de gestión'!$Y$35="Media",'Riesgos de gestión'!$AA$35="Moderado"),CONCATENATE("R5C",'Riesgos de gestión'!$O$35),"")</f>
        <v/>
      </c>
      <c r="X30" s="68" t="str">
        <f>IF(AND('Riesgos de gestión'!$Y$36="Media",'Riesgos de gestión'!$AA$36="Moderado"),CONCATENATE("R5C",'Riesgos de gestión'!$O$36),"")</f>
        <v/>
      </c>
      <c r="Y30" s="68" t="str">
        <f>IF(AND('Riesgos de gestión'!$Y$37="Media",'Riesgos de gestión'!$AA$37="Moderado"),CONCATENATE("R5C",'Riesgos de gestión'!$O$37),"")</f>
        <v/>
      </c>
      <c r="Z30" s="68" t="str">
        <f>IF(AND('Riesgos de gestión'!$Y$38="Media",'Riesgos de gestión'!$AA$38="Moderado"),CONCATENATE("R5C",'Riesgos de gestión'!$O$38),"")</f>
        <v/>
      </c>
      <c r="AA30" s="69" t="str">
        <f>IF(AND('Riesgos de gestión'!$Y$39="Media",'Riesgos de gestión'!$AA$39="Moderado"),CONCATENATE("R5C",'Riesgos de gestión'!$O$39),"")</f>
        <v/>
      </c>
      <c r="AB30" s="52" t="str">
        <f>IF(AND('Riesgos de gestión'!$Y$34="Media",'Riesgos de gestión'!$AA$34="Mayor"),CONCATENATE("R5C",'Riesgos de gestión'!$O$34),"")</f>
        <v/>
      </c>
      <c r="AC30" s="53" t="str">
        <f>IF(AND('Riesgos de gestión'!$Y$35="Media",'Riesgos de gestión'!$AA$35="Mayor"),CONCATENATE("R5C",'Riesgos de gestión'!$O$35),"")</f>
        <v/>
      </c>
      <c r="AD30" s="53" t="str">
        <f>IF(AND('Riesgos de gestión'!$Y$36="Media",'Riesgos de gestión'!$AA$36="Mayor"),CONCATENATE("R5C",'Riesgos de gestión'!$O$36),"")</f>
        <v/>
      </c>
      <c r="AE30" s="53" t="str">
        <f>IF(AND('Riesgos de gestión'!$Y$37="Media",'Riesgos de gestión'!$AA$37="Mayor"),CONCATENATE("R5C",'Riesgos de gestión'!$O$37),"")</f>
        <v/>
      </c>
      <c r="AF30" s="53" t="str">
        <f>IF(AND('Riesgos de gestión'!$Y$38="Media",'Riesgos de gestión'!$AA$38="Mayor"),CONCATENATE("R5C",'Riesgos de gestión'!$O$38),"")</f>
        <v/>
      </c>
      <c r="AG30" s="54" t="str">
        <f>IF(AND('Riesgos de gestión'!$Y$39="Media",'Riesgos de gestión'!$AA$39="Mayor"),CONCATENATE("R5C",'Riesgos de gestión'!$O$39),"")</f>
        <v/>
      </c>
      <c r="AH30" s="55" t="str">
        <f>IF(AND('Riesgos de gestión'!$Y$34="Media",'Riesgos de gestión'!$AA$34="Catastrófico"),CONCATENATE("R5C",'Riesgos de gestión'!$O$34),"")</f>
        <v/>
      </c>
      <c r="AI30" s="56" t="str">
        <f>IF(AND('Riesgos de gestión'!$Y$35="Media",'Riesgos de gestión'!$AA$35="Catastrófico"),CONCATENATE("R5C",'Riesgos de gestión'!$O$35),"")</f>
        <v/>
      </c>
      <c r="AJ30" s="56" t="str">
        <f>IF(AND('Riesgos de gestión'!$Y$36="Media",'Riesgos de gestión'!$AA$36="Catastrófico"),CONCATENATE("R5C",'Riesgos de gestión'!$O$36),"")</f>
        <v/>
      </c>
      <c r="AK30" s="56" t="str">
        <f>IF(AND('Riesgos de gestión'!$Y$37="Media",'Riesgos de gestión'!$AA$37="Catastrófico"),CONCATENATE("R5C",'Riesgos de gestión'!$O$37),"")</f>
        <v/>
      </c>
      <c r="AL30" s="56" t="str">
        <f>IF(AND('Riesgos de gestión'!$Y$38="Media",'Riesgos de gestión'!$AA$38="Catastrófico"),CONCATENATE("R5C",'Riesgos de gestión'!$O$38),"")</f>
        <v/>
      </c>
      <c r="AM30" s="57" t="str">
        <f>IF(AND('Riesgos de gestión'!$Y$39="Media",'Riesgos de gestión'!$AA$39="Catastrófico"),CONCATENATE("R5C",'Riesgos de gestión'!$O$39),"")</f>
        <v/>
      </c>
      <c r="AN30" s="83"/>
      <c r="AO30" s="1225"/>
      <c r="AP30" s="1226"/>
      <c r="AQ30" s="1226"/>
      <c r="AR30" s="1226"/>
      <c r="AS30" s="1226"/>
      <c r="AT30" s="1227"/>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row>
    <row r="31" spans="1:76" ht="15" customHeight="1" x14ac:dyDescent="0.25">
      <c r="A31" s="83"/>
      <c r="B31" s="1144"/>
      <c r="C31" s="1144"/>
      <c r="D31" s="1145"/>
      <c r="E31" s="1185"/>
      <c r="F31" s="1186"/>
      <c r="G31" s="1186"/>
      <c r="H31" s="1186"/>
      <c r="I31" s="1187"/>
      <c r="J31" s="67" t="str">
        <f>IF(AND('Riesgos de gestión'!$Y$40="Media",'Riesgos de gestión'!$AA$40="Leve"),CONCATENATE("R6C",'Riesgos de gestión'!$O$40),"")</f>
        <v/>
      </c>
      <c r="K31" s="68" t="str">
        <f>IF(AND('Riesgos de gestión'!$Y$41="Media",'Riesgos de gestión'!$AA$41="Leve"),CONCATENATE("R6C",'Riesgos de gestión'!$O$41),"")</f>
        <v/>
      </c>
      <c r="L31" s="68" t="str">
        <f>IF(AND('Riesgos de gestión'!$Y$42="Media",'Riesgos de gestión'!$AA$42="Leve"),CONCATENATE("R6C",'Riesgos de gestión'!$O$42),"")</f>
        <v/>
      </c>
      <c r="M31" s="68" t="str">
        <f>IF(AND('Riesgos de gestión'!$Y$43="Media",'Riesgos de gestión'!$AA$43="Leve"),CONCATENATE("R6C",'Riesgos de gestión'!$O$43),"")</f>
        <v/>
      </c>
      <c r="N31" s="68" t="str">
        <f>IF(AND('Riesgos de gestión'!$Y$44="Media",'Riesgos de gestión'!$AA$44="Leve"),CONCATENATE("R6C",'Riesgos de gestión'!$O$44),"")</f>
        <v/>
      </c>
      <c r="O31" s="69" t="str">
        <f>IF(AND('Riesgos de gestión'!$Y$45="Media",'Riesgos de gestión'!$AA$45="Leve"),CONCATENATE("R6C",'Riesgos de gestión'!$O$45),"")</f>
        <v/>
      </c>
      <c r="P31" s="67" t="str">
        <f>IF(AND('Riesgos de gestión'!$Y$40="Media",'Riesgos de gestión'!$AA$40="Menor"),CONCATENATE("R6C",'Riesgos de gestión'!$O$40),"")</f>
        <v/>
      </c>
      <c r="Q31" s="68" t="str">
        <f>IF(AND('Riesgos de gestión'!$Y$41="Media",'Riesgos de gestión'!$AA$41="Menor"),CONCATENATE("R6C",'Riesgos de gestión'!$O$41),"")</f>
        <v/>
      </c>
      <c r="R31" s="68" t="str">
        <f>IF(AND('Riesgos de gestión'!$Y$42="Media",'Riesgos de gestión'!$AA$42="Menor"),CONCATENATE("R6C",'Riesgos de gestión'!$O$42),"")</f>
        <v/>
      </c>
      <c r="S31" s="68" t="str">
        <f>IF(AND('Riesgos de gestión'!$Y$43="Media",'Riesgos de gestión'!$AA$43="Menor"),CONCATENATE("R6C",'Riesgos de gestión'!$O$43),"")</f>
        <v/>
      </c>
      <c r="T31" s="68" t="str">
        <f>IF(AND('Riesgos de gestión'!$Y$44="Media",'Riesgos de gestión'!$AA$44="Menor"),CONCATENATE("R6C",'Riesgos de gestión'!$O$44),"")</f>
        <v/>
      </c>
      <c r="U31" s="69" t="str">
        <f>IF(AND('Riesgos de gestión'!$Y$45="Media",'Riesgos de gestión'!$AA$45="Menor"),CONCATENATE("R6C",'Riesgos de gestión'!$O$45),"")</f>
        <v/>
      </c>
      <c r="V31" s="67" t="str">
        <f>IF(AND('Riesgos de gestión'!$Y$40="Media",'Riesgos de gestión'!$AA$40="Moderado"),CONCATENATE("R6C",'Riesgos de gestión'!$O$40),"")</f>
        <v/>
      </c>
      <c r="W31" s="68" t="str">
        <f>IF(AND('Riesgos de gestión'!$Y$41="Media",'Riesgos de gestión'!$AA$41="Moderado"),CONCATENATE("R6C",'Riesgos de gestión'!$O$41),"")</f>
        <v/>
      </c>
      <c r="X31" s="68" t="str">
        <f>IF(AND('Riesgos de gestión'!$Y$42="Media",'Riesgos de gestión'!$AA$42="Moderado"),CONCATENATE("R6C",'Riesgos de gestión'!$O$42),"")</f>
        <v/>
      </c>
      <c r="Y31" s="68" t="str">
        <f>IF(AND('Riesgos de gestión'!$Y$43="Media",'Riesgos de gestión'!$AA$43="Moderado"),CONCATENATE("R6C",'Riesgos de gestión'!$O$43),"")</f>
        <v/>
      </c>
      <c r="Z31" s="68" t="str">
        <f>IF(AND('Riesgos de gestión'!$Y$44="Media",'Riesgos de gestión'!$AA$44="Moderado"),CONCATENATE("R6C",'Riesgos de gestión'!$O$44),"")</f>
        <v/>
      </c>
      <c r="AA31" s="69" t="str">
        <f>IF(AND('Riesgos de gestión'!$Y$45="Media",'Riesgos de gestión'!$AA$45="Moderado"),CONCATENATE("R6C",'Riesgos de gestión'!$O$45),"")</f>
        <v/>
      </c>
      <c r="AB31" s="52" t="str">
        <f>IF(AND('Riesgos de gestión'!$Y$40="Media",'Riesgos de gestión'!$AA$40="Mayor"),CONCATENATE("R6C",'Riesgos de gestión'!$O$40),"")</f>
        <v/>
      </c>
      <c r="AC31" s="53" t="str">
        <f>IF(AND('Riesgos de gestión'!$Y$41="Media",'Riesgos de gestión'!$AA$41="Mayor"),CONCATENATE("R6C",'Riesgos de gestión'!$O$41),"")</f>
        <v/>
      </c>
      <c r="AD31" s="53" t="str">
        <f>IF(AND('Riesgos de gestión'!$Y$42="Media",'Riesgos de gestión'!$AA$42="Mayor"),CONCATENATE("R6C",'Riesgos de gestión'!$O$42),"")</f>
        <v/>
      </c>
      <c r="AE31" s="53" t="str">
        <f>IF(AND('Riesgos de gestión'!$Y$43="Media",'Riesgos de gestión'!$AA$43="Mayor"),CONCATENATE("R6C",'Riesgos de gestión'!$O$43),"")</f>
        <v/>
      </c>
      <c r="AF31" s="53" t="str">
        <f>IF(AND('Riesgos de gestión'!$Y$44="Media",'Riesgos de gestión'!$AA$44="Mayor"),CONCATENATE("R6C",'Riesgos de gestión'!$O$44),"")</f>
        <v/>
      </c>
      <c r="AG31" s="54" t="str">
        <f>IF(AND('Riesgos de gestión'!$Y$45="Media",'Riesgos de gestión'!$AA$45="Mayor"),CONCATENATE("R6C",'Riesgos de gestión'!$O$45),"")</f>
        <v/>
      </c>
      <c r="AH31" s="55" t="str">
        <f>IF(AND('Riesgos de gestión'!$Y$40="Media",'Riesgos de gestión'!$AA$40="Catastrófico"),CONCATENATE("R6C",'Riesgos de gestión'!$O$40),"")</f>
        <v/>
      </c>
      <c r="AI31" s="56" t="str">
        <f>IF(AND('Riesgos de gestión'!$Y$41="Media",'Riesgos de gestión'!$AA$41="Catastrófico"),CONCATENATE("R6C",'Riesgos de gestión'!$O$41),"")</f>
        <v/>
      </c>
      <c r="AJ31" s="56" t="str">
        <f>IF(AND('Riesgos de gestión'!$Y$42="Media",'Riesgos de gestión'!$AA$42="Catastrófico"),CONCATENATE("R6C",'Riesgos de gestión'!$O$42),"")</f>
        <v/>
      </c>
      <c r="AK31" s="56" t="str">
        <f>IF(AND('Riesgos de gestión'!$Y$43="Media",'Riesgos de gestión'!$AA$43="Catastrófico"),CONCATENATE("R6C",'Riesgos de gestión'!$O$43),"")</f>
        <v/>
      </c>
      <c r="AL31" s="56" t="str">
        <f>IF(AND('Riesgos de gestión'!$Y$44="Media",'Riesgos de gestión'!$AA$44="Catastrófico"),CONCATENATE("R6C",'Riesgos de gestión'!$O$44),"")</f>
        <v/>
      </c>
      <c r="AM31" s="57" t="str">
        <f>IF(AND('Riesgos de gestión'!$Y$45="Media",'Riesgos de gestión'!$AA$45="Catastrófico"),CONCATENATE("R6C",'Riesgos de gestión'!$O$45),"")</f>
        <v/>
      </c>
      <c r="AN31" s="83"/>
      <c r="AO31" s="1225"/>
      <c r="AP31" s="1226"/>
      <c r="AQ31" s="1226"/>
      <c r="AR31" s="1226"/>
      <c r="AS31" s="1226"/>
      <c r="AT31" s="1227"/>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row>
    <row r="32" spans="1:76" ht="15" customHeight="1" x14ac:dyDescent="0.25">
      <c r="A32" s="83"/>
      <c r="B32" s="1144"/>
      <c r="C32" s="1144"/>
      <c r="D32" s="1145"/>
      <c r="E32" s="1185"/>
      <c r="F32" s="1186"/>
      <c r="G32" s="1186"/>
      <c r="H32" s="1186"/>
      <c r="I32" s="1187"/>
      <c r="J32" s="67" t="str">
        <f>IF(AND('Riesgos de gestión'!$Y$46="Media",'Riesgos de gestión'!$AA$46="Leve"),CONCATENATE("R7C",'Riesgos de gestión'!$O$46),"")</f>
        <v/>
      </c>
      <c r="K32" s="68" t="str">
        <f>IF(AND('Riesgos de gestión'!$Y$47="Media",'Riesgos de gestión'!$AA$47="Leve"),CONCATENATE("R7C",'Riesgos de gestión'!$O$47),"")</f>
        <v/>
      </c>
      <c r="L32" s="68" t="str">
        <f>IF(AND('Riesgos de gestión'!$Y$48="Media",'Riesgos de gestión'!$AA$48="Leve"),CONCATENATE("R7C",'Riesgos de gestión'!$O$48),"")</f>
        <v/>
      </c>
      <c r="M32" s="68" t="str">
        <f>IF(AND('Riesgos de gestión'!$Y$49="Media",'Riesgos de gestión'!$AA$49="Leve"),CONCATENATE("R7C",'Riesgos de gestión'!$O$49),"")</f>
        <v/>
      </c>
      <c r="N32" s="68" t="str">
        <f>IF(AND('Riesgos de gestión'!$Y$50="Media",'Riesgos de gestión'!$AA$50="Leve"),CONCATENATE("R7C",'Riesgos de gestión'!$O$50),"")</f>
        <v/>
      </c>
      <c r="O32" s="69" t="str">
        <f>IF(AND('Riesgos de gestión'!$Y$51="Media",'Riesgos de gestión'!$AA$51="Leve"),CONCATENATE("R7C",'Riesgos de gestión'!$O$51),"")</f>
        <v/>
      </c>
      <c r="P32" s="67" t="str">
        <f>IF(AND('Riesgos de gestión'!$Y$46="Media",'Riesgos de gestión'!$AA$46="Menor"),CONCATENATE("R7C",'Riesgos de gestión'!$O$46),"")</f>
        <v/>
      </c>
      <c r="Q32" s="68" t="str">
        <f>IF(AND('Riesgos de gestión'!$Y$47="Media",'Riesgos de gestión'!$AA$47="Menor"),CONCATENATE("R7C",'Riesgos de gestión'!$O$47),"")</f>
        <v/>
      </c>
      <c r="R32" s="68" t="str">
        <f>IF(AND('Riesgos de gestión'!$Y$48="Media",'Riesgos de gestión'!$AA$48="Menor"),CONCATENATE("R7C",'Riesgos de gestión'!$O$48),"")</f>
        <v/>
      </c>
      <c r="S32" s="68" t="str">
        <f>IF(AND('Riesgos de gestión'!$Y$49="Media",'Riesgos de gestión'!$AA$49="Menor"),CONCATENATE("R7C",'Riesgos de gestión'!$O$49),"")</f>
        <v/>
      </c>
      <c r="T32" s="68" t="str">
        <f>IF(AND('Riesgos de gestión'!$Y$50="Media",'Riesgos de gestión'!$AA$50="Menor"),CONCATENATE("R7C",'Riesgos de gestión'!$O$50),"")</f>
        <v/>
      </c>
      <c r="U32" s="69" t="str">
        <f>IF(AND('Riesgos de gestión'!$Y$51="Media",'Riesgos de gestión'!$AA$51="Menor"),CONCATENATE("R7C",'Riesgos de gestión'!$O$51),"")</f>
        <v/>
      </c>
      <c r="V32" s="67" t="str">
        <f>IF(AND('Riesgos de gestión'!$Y$46="Media",'Riesgos de gestión'!$AA$46="Moderado"),CONCATENATE("R7C",'Riesgos de gestión'!$O$46),"")</f>
        <v/>
      </c>
      <c r="W32" s="68" t="str">
        <f>IF(AND('Riesgos de gestión'!$Y$47="Media",'Riesgos de gestión'!$AA$47="Moderado"),CONCATENATE("R7C",'Riesgos de gestión'!$O$47),"")</f>
        <v/>
      </c>
      <c r="X32" s="68" t="str">
        <f>IF(AND('Riesgos de gestión'!$Y$48="Media",'Riesgos de gestión'!$AA$48="Moderado"),CONCATENATE("R7C",'Riesgos de gestión'!$O$48),"")</f>
        <v/>
      </c>
      <c r="Y32" s="68" t="str">
        <f>IF(AND('Riesgos de gestión'!$Y$49="Media",'Riesgos de gestión'!$AA$49="Moderado"),CONCATENATE("R7C",'Riesgos de gestión'!$O$49),"")</f>
        <v/>
      </c>
      <c r="Z32" s="68" t="str">
        <f>IF(AND('Riesgos de gestión'!$Y$50="Media",'Riesgos de gestión'!$AA$50="Moderado"),CONCATENATE("R7C",'Riesgos de gestión'!$O$50),"")</f>
        <v/>
      </c>
      <c r="AA32" s="69" t="str">
        <f>IF(AND('Riesgos de gestión'!$Y$51="Media",'Riesgos de gestión'!$AA$51="Moderado"),CONCATENATE("R7C",'Riesgos de gestión'!$O$51),"")</f>
        <v/>
      </c>
      <c r="AB32" s="52" t="str">
        <f>IF(AND('Riesgos de gestión'!$Y$46="Media",'Riesgos de gestión'!$AA$46="Mayor"),CONCATENATE("R7C",'Riesgos de gestión'!$O$46),"")</f>
        <v/>
      </c>
      <c r="AC32" s="53" t="str">
        <f>IF(AND('Riesgos de gestión'!$Y$47="Media",'Riesgos de gestión'!$AA$47="Mayor"),CONCATENATE("R7C",'Riesgos de gestión'!$O$47),"")</f>
        <v/>
      </c>
      <c r="AD32" s="53" t="str">
        <f>IF(AND('Riesgos de gestión'!$Y$48="Media",'Riesgos de gestión'!$AA$48="Mayor"),CONCATENATE("R7C",'Riesgos de gestión'!$O$48),"")</f>
        <v/>
      </c>
      <c r="AE32" s="53" t="str">
        <f>IF(AND('Riesgos de gestión'!$Y$49="Media",'Riesgos de gestión'!$AA$49="Mayor"),CONCATENATE("R7C",'Riesgos de gestión'!$O$49),"")</f>
        <v/>
      </c>
      <c r="AF32" s="53" t="str">
        <f>IF(AND('Riesgos de gestión'!$Y$50="Media",'Riesgos de gestión'!$AA$50="Mayor"),CONCATENATE("R7C",'Riesgos de gestión'!$O$50),"")</f>
        <v/>
      </c>
      <c r="AG32" s="54" t="str">
        <f>IF(AND('Riesgos de gestión'!$Y$51="Media",'Riesgos de gestión'!$AA$51="Mayor"),CONCATENATE("R7C",'Riesgos de gestión'!$O$51),"")</f>
        <v/>
      </c>
      <c r="AH32" s="55" t="str">
        <f>IF(AND('Riesgos de gestión'!$Y$46="Media",'Riesgos de gestión'!$AA$46="Catastrófico"),CONCATENATE("R7C",'Riesgos de gestión'!$O$46),"")</f>
        <v/>
      </c>
      <c r="AI32" s="56" t="str">
        <f>IF(AND('Riesgos de gestión'!$Y$47="Media",'Riesgos de gestión'!$AA$47="Catastrófico"),CONCATENATE("R7C",'Riesgos de gestión'!$O$47),"")</f>
        <v/>
      </c>
      <c r="AJ32" s="56" t="str">
        <f>IF(AND('Riesgos de gestión'!$Y$48="Media",'Riesgos de gestión'!$AA$48="Catastrófico"),CONCATENATE("R7C",'Riesgos de gestión'!$O$48),"")</f>
        <v/>
      </c>
      <c r="AK32" s="56" t="str">
        <f>IF(AND('Riesgos de gestión'!$Y$49="Media",'Riesgos de gestión'!$AA$49="Catastrófico"),CONCATENATE("R7C",'Riesgos de gestión'!$O$49),"")</f>
        <v/>
      </c>
      <c r="AL32" s="56" t="str">
        <f>IF(AND('Riesgos de gestión'!$Y$50="Media",'Riesgos de gestión'!$AA$50="Catastrófico"),CONCATENATE("R7C",'Riesgos de gestión'!$O$50),"")</f>
        <v/>
      </c>
      <c r="AM32" s="57" t="str">
        <f>IF(AND('Riesgos de gestión'!$Y$51="Media",'Riesgos de gestión'!$AA$51="Catastrófico"),CONCATENATE("R7C",'Riesgos de gestión'!$O$51),"")</f>
        <v/>
      </c>
      <c r="AN32" s="83"/>
      <c r="AO32" s="1225"/>
      <c r="AP32" s="1226"/>
      <c r="AQ32" s="1226"/>
      <c r="AR32" s="1226"/>
      <c r="AS32" s="1226"/>
      <c r="AT32" s="1227"/>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row>
    <row r="33" spans="1:80" ht="15" customHeight="1" x14ac:dyDescent="0.25">
      <c r="A33" s="83"/>
      <c r="B33" s="1144"/>
      <c r="C33" s="1144"/>
      <c r="D33" s="1145"/>
      <c r="E33" s="1185"/>
      <c r="F33" s="1186"/>
      <c r="G33" s="1186"/>
      <c r="H33" s="1186"/>
      <c r="I33" s="1187"/>
      <c r="J33" s="67" t="str">
        <f>IF(AND('Riesgos de gestión'!$Y$52="Media",'Riesgos de gestión'!$AA$52="Leve"),CONCATENATE("R8C",'Riesgos de gestión'!$O$52),"")</f>
        <v/>
      </c>
      <c r="K33" s="68" t="str">
        <f>IF(AND('Riesgos de gestión'!$Y$53="Media",'Riesgos de gestión'!$AA$53="Leve"),CONCATENATE("R8C",'Riesgos de gestión'!$O$53),"")</f>
        <v/>
      </c>
      <c r="L33" s="68" t="str">
        <f>IF(AND('Riesgos de gestión'!$Y$54="Media",'Riesgos de gestión'!$AA$54="Leve"),CONCATENATE("R8C",'Riesgos de gestión'!$O$54),"")</f>
        <v/>
      </c>
      <c r="M33" s="68" t="str">
        <f>IF(AND('Riesgos de gestión'!$Y$55="Media",'Riesgos de gestión'!$AA$55="Leve"),CONCATENATE("R8C",'Riesgos de gestión'!$O$55),"")</f>
        <v/>
      </c>
      <c r="N33" s="68" t="str">
        <f>IF(AND('Riesgos de gestión'!$Y$56="Media",'Riesgos de gestión'!$AA$56="Leve"),CONCATENATE("R8C",'Riesgos de gestión'!$O$56),"")</f>
        <v/>
      </c>
      <c r="O33" s="69" t="str">
        <f>IF(AND('Riesgos de gestión'!$Y$57="Media",'Riesgos de gestión'!$AA$57="Leve"),CONCATENATE("R8C",'Riesgos de gestión'!$O$57),"")</f>
        <v/>
      </c>
      <c r="P33" s="67" t="str">
        <f>IF(AND('Riesgos de gestión'!$Y$52="Media",'Riesgos de gestión'!$AA$52="Menor"),CONCATENATE("R8C",'Riesgos de gestión'!$O$52),"")</f>
        <v/>
      </c>
      <c r="Q33" s="68" t="str">
        <f>IF(AND('Riesgos de gestión'!$Y$53="Media",'Riesgos de gestión'!$AA$53="Menor"),CONCATENATE("R8C",'Riesgos de gestión'!$O$53),"")</f>
        <v/>
      </c>
      <c r="R33" s="68" t="str">
        <f>IF(AND('Riesgos de gestión'!$Y$54="Media",'Riesgos de gestión'!$AA$54="Menor"),CONCATENATE("R8C",'Riesgos de gestión'!$O$54),"")</f>
        <v/>
      </c>
      <c r="S33" s="68" t="str">
        <f>IF(AND('Riesgos de gestión'!$Y$55="Media",'Riesgos de gestión'!$AA$55="Menor"),CONCATENATE("R8C",'Riesgos de gestión'!$O$55),"")</f>
        <v/>
      </c>
      <c r="T33" s="68" t="str">
        <f>IF(AND('Riesgos de gestión'!$Y$56="Media",'Riesgos de gestión'!$AA$56="Menor"),CONCATENATE("R8C",'Riesgos de gestión'!$O$56),"")</f>
        <v/>
      </c>
      <c r="U33" s="69" t="str">
        <f>IF(AND('Riesgos de gestión'!$Y$57="Media",'Riesgos de gestión'!$AA$57="Menor"),CONCATENATE("R8C",'Riesgos de gestión'!$O$57),"")</f>
        <v/>
      </c>
      <c r="V33" s="67" t="str">
        <f>IF(AND('Riesgos de gestión'!$Y$52="Media",'Riesgos de gestión'!$AA$52="Moderado"),CONCATENATE("R8C",'Riesgos de gestión'!$O$52),"")</f>
        <v/>
      </c>
      <c r="W33" s="68" t="str">
        <f>IF(AND('Riesgos de gestión'!$Y$53="Media",'Riesgos de gestión'!$AA$53="Moderado"),CONCATENATE("R8C",'Riesgos de gestión'!$O$53),"")</f>
        <v/>
      </c>
      <c r="X33" s="68" t="str">
        <f>IF(AND('Riesgos de gestión'!$Y$54="Media",'Riesgos de gestión'!$AA$54="Moderado"),CONCATENATE("R8C",'Riesgos de gestión'!$O$54),"")</f>
        <v/>
      </c>
      <c r="Y33" s="68" t="str">
        <f>IF(AND('Riesgos de gestión'!$Y$55="Media",'Riesgos de gestión'!$AA$55="Moderado"),CONCATENATE("R8C",'Riesgos de gestión'!$O$55),"")</f>
        <v/>
      </c>
      <c r="Z33" s="68" t="str">
        <f>IF(AND('Riesgos de gestión'!$Y$56="Media",'Riesgos de gestión'!$AA$56="Moderado"),CONCATENATE("R8C",'Riesgos de gestión'!$O$56),"")</f>
        <v/>
      </c>
      <c r="AA33" s="69" t="str">
        <f>IF(AND('Riesgos de gestión'!$Y$57="Media",'Riesgos de gestión'!$AA$57="Moderado"),CONCATENATE("R8C",'Riesgos de gestión'!$O$57),"")</f>
        <v/>
      </c>
      <c r="AB33" s="52" t="str">
        <f>IF(AND('Riesgos de gestión'!$Y$52="Media",'Riesgos de gestión'!$AA$52="Mayor"),CONCATENATE("R8C",'Riesgos de gestión'!$O$52),"")</f>
        <v/>
      </c>
      <c r="AC33" s="53" t="str">
        <f>IF(AND('Riesgos de gestión'!$Y$53="Media",'Riesgos de gestión'!$AA$53="Mayor"),CONCATENATE("R8C",'Riesgos de gestión'!$O$53),"")</f>
        <v/>
      </c>
      <c r="AD33" s="53" t="str">
        <f>IF(AND('Riesgos de gestión'!$Y$54="Media",'Riesgos de gestión'!$AA$54="Mayor"),CONCATENATE("R8C",'Riesgos de gestión'!$O$54),"")</f>
        <v/>
      </c>
      <c r="AE33" s="53" t="str">
        <f>IF(AND('Riesgos de gestión'!$Y$55="Media",'Riesgos de gestión'!$AA$55="Mayor"),CONCATENATE("R8C",'Riesgos de gestión'!$O$55),"")</f>
        <v/>
      </c>
      <c r="AF33" s="53" t="str">
        <f>IF(AND('Riesgos de gestión'!$Y$56="Media",'Riesgos de gestión'!$AA$56="Mayor"),CONCATENATE("R8C",'Riesgos de gestión'!$O$56),"")</f>
        <v/>
      </c>
      <c r="AG33" s="54" t="str">
        <f>IF(AND('Riesgos de gestión'!$Y$57="Media",'Riesgos de gestión'!$AA$57="Mayor"),CONCATENATE("R8C",'Riesgos de gestión'!$O$57),"")</f>
        <v/>
      </c>
      <c r="AH33" s="55" t="str">
        <f>IF(AND('Riesgos de gestión'!$Y$52="Media",'Riesgos de gestión'!$AA$52="Catastrófico"),CONCATENATE("R8C",'Riesgos de gestión'!$O$52),"")</f>
        <v/>
      </c>
      <c r="AI33" s="56" t="str">
        <f>IF(AND('Riesgos de gestión'!$Y$53="Media",'Riesgos de gestión'!$AA$53="Catastrófico"),CONCATENATE("R8C",'Riesgos de gestión'!$O$53),"")</f>
        <v/>
      </c>
      <c r="AJ33" s="56" t="str">
        <f>IF(AND('Riesgos de gestión'!$Y$54="Media",'Riesgos de gestión'!$AA$54="Catastrófico"),CONCATENATE("R8C",'Riesgos de gestión'!$O$54),"")</f>
        <v/>
      </c>
      <c r="AK33" s="56" t="str">
        <f>IF(AND('Riesgos de gestión'!$Y$55="Media",'Riesgos de gestión'!$AA$55="Catastrófico"),CONCATENATE("R8C",'Riesgos de gestión'!$O$55),"")</f>
        <v/>
      </c>
      <c r="AL33" s="56" t="str">
        <f>IF(AND('Riesgos de gestión'!$Y$56="Media",'Riesgos de gestión'!$AA$56="Catastrófico"),CONCATENATE("R8C",'Riesgos de gestión'!$O$56),"")</f>
        <v/>
      </c>
      <c r="AM33" s="57" t="str">
        <f>IF(AND('Riesgos de gestión'!$Y$57="Media",'Riesgos de gestión'!$AA$57="Catastrófico"),CONCATENATE("R8C",'Riesgos de gestión'!$O$57),"")</f>
        <v/>
      </c>
      <c r="AN33" s="83"/>
      <c r="AO33" s="1225"/>
      <c r="AP33" s="1226"/>
      <c r="AQ33" s="1226"/>
      <c r="AR33" s="1226"/>
      <c r="AS33" s="1226"/>
      <c r="AT33" s="1227"/>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row>
    <row r="34" spans="1:80" ht="15" customHeight="1" x14ac:dyDescent="0.25">
      <c r="A34" s="83"/>
      <c r="B34" s="1144"/>
      <c r="C34" s="1144"/>
      <c r="D34" s="1145"/>
      <c r="E34" s="1185"/>
      <c r="F34" s="1186"/>
      <c r="G34" s="1186"/>
      <c r="H34" s="1186"/>
      <c r="I34" s="1187"/>
      <c r="J34" s="67" t="str">
        <f>IF(AND('Riesgos de gestión'!$Y$58="Media",'Riesgos de gestión'!$AA$58="Leve"),CONCATENATE("R9C",'Riesgos de gestión'!$O$58),"")</f>
        <v/>
      </c>
      <c r="K34" s="68" t="str">
        <f>IF(AND('Riesgos de gestión'!$Y$59="Media",'Riesgos de gestión'!$AA$59="Leve"),CONCATENATE("R9C",'Riesgos de gestión'!$O$59),"")</f>
        <v/>
      </c>
      <c r="L34" s="68" t="str">
        <f>IF(AND('Riesgos de gestión'!$Y$60="Media",'Riesgos de gestión'!$AA$60="Leve"),CONCATENATE("R9C",'Riesgos de gestión'!$O$60),"")</f>
        <v/>
      </c>
      <c r="M34" s="68" t="str">
        <f>IF(AND('Riesgos de gestión'!$Y$61="Media",'Riesgos de gestión'!$AA$61="Leve"),CONCATENATE("R9C",'Riesgos de gestión'!$O$61),"")</f>
        <v/>
      </c>
      <c r="N34" s="68" t="str">
        <f>IF(AND('Riesgos de gestión'!$Y$62="Media",'Riesgos de gestión'!$AA$62="Leve"),CONCATENATE("R9C",'Riesgos de gestión'!$O$62),"")</f>
        <v/>
      </c>
      <c r="O34" s="69" t="str">
        <f>IF(AND('Riesgos de gestión'!$Y$63="Media",'Riesgos de gestión'!$AA$63="Leve"),CONCATENATE("R9C",'Riesgos de gestión'!$O$63),"")</f>
        <v/>
      </c>
      <c r="P34" s="67" t="str">
        <f>IF(AND('Riesgos de gestión'!$Y$58="Media",'Riesgos de gestión'!$AA$58="Menor"),CONCATENATE("R9C",'Riesgos de gestión'!$O$58),"")</f>
        <v/>
      </c>
      <c r="Q34" s="68" t="str">
        <f>IF(AND('Riesgos de gestión'!$Y$59="Media",'Riesgos de gestión'!$AA$59="Menor"),CONCATENATE("R9C",'Riesgos de gestión'!$O$59),"")</f>
        <v/>
      </c>
      <c r="R34" s="68" t="str">
        <f>IF(AND('Riesgos de gestión'!$Y$60="Media",'Riesgos de gestión'!$AA$60="Menor"),CONCATENATE("R9C",'Riesgos de gestión'!$O$60),"")</f>
        <v/>
      </c>
      <c r="S34" s="68" t="str">
        <f>IF(AND('Riesgos de gestión'!$Y$61="Media",'Riesgos de gestión'!$AA$61="Menor"),CONCATENATE("R9C",'Riesgos de gestión'!$O$61),"")</f>
        <v/>
      </c>
      <c r="T34" s="68" t="str">
        <f>IF(AND('Riesgos de gestión'!$Y$62="Media",'Riesgos de gestión'!$AA$62="Menor"),CONCATENATE("R9C",'Riesgos de gestión'!$O$62),"")</f>
        <v/>
      </c>
      <c r="U34" s="69" t="str">
        <f>IF(AND('Riesgos de gestión'!$Y$63="Media",'Riesgos de gestión'!$AA$63="Menor"),CONCATENATE("R9C",'Riesgos de gestión'!$O$63),"")</f>
        <v/>
      </c>
      <c r="V34" s="67" t="str">
        <f>IF(AND('Riesgos de gestión'!$Y$58="Media",'Riesgos de gestión'!$AA$58="Moderado"),CONCATENATE("R9C",'Riesgos de gestión'!$O$58),"")</f>
        <v/>
      </c>
      <c r="W34" s="68" t="str">
        <f>IF(AND('Riesgos de gestión'!$Y$59="Media",'Riesgos de gestión'!$AA$59="Moderado"),CONCATENATE("R9C",'Riesgos de gestión'!$O$59),"")</f>
        <v/>
      </c>
      <c r="X34" s="68" t="str">
        <f>IF(AND('Riesgos de gestión'!$Y$60="Media",'Riesgos de gestión'!$AA$60="Moderado"),CONCATENATE("R9C",'Riesgos de gestión'!$O$60),"")</f>
        <v/>
      </c>
      <c r="Y34" s="68" t="str">
        <f>IF(AND('Riesgos de gestión'!$Y$61="Media",'Riesgos de gestión'!$AA$61="Moderado"),CONCATENATE("R9C",'Riesgos de gestión'!$O$61),"")</f>
        <v/>
      </c>
      <c r="Z34" s="68" t="str">
        <f>IF(AND('Riesgos de gestión'!$Y$62="Media",'Riesgos de gestión'!$AA$62="Moderado"),CONCATENATE("R9C",'Riesgos de gestión'!$O$62),"")</f>
        <v/>
      </c>
      <c r="AA34" s="69" t="str">
        <f>IF(AND('Riesgos de gestión'!$Y$63="Media",'Riesgos de gestión'!$AA$63="Moderado"),CONCATENATE("R9C",'Riesgos de gestión'!$O$63),"")</f>
        <v/>
      </c>
      <c r="AB34" s="52" t="str">
        <f>IF(AND('Riesgos de gestión'!$Y$58="Media",'Riesgos de gestión'!$AA$58="Mayor"),CONCATENATE("R9C",'Riesgos de gestión'!$O$58),"")</f>
        <v/>
      </c>
      <c r="AC34" s="53" t="str">
        <f>IF(AND('Riesgos de gestión'!$Y$59="Media",'Riesgos de gestión'!$AA$59="Mayor"),CONCATENATE("R9C",'Riesgos de gestión'!$O$59),"")</f>
        <v/>
      </c>
      <c r="AD34" s="53" t="str">
        <f>IF(AND('Riesgos de gestión'!$Y$60="Media",'Riesgos de gestión'!$AA$60="Mayor"),CONCATENATE("R9C",'Riesgos de gestión'!$O$60),"")</f>
        <v/>
      </c>
      <c r="AE34" s="53" t="str">
        <f>IF(AND('Riesgos de gestión'!$Y$61="Media",'Riesgos de gestión'!$AA$61="Mayor"),CONCATENATE("R9C",'Riesgos de gestión'!$O$61),"")</f>
        <v/>
      </c>
      <c r="AF34" s="53" t="str">
        <f>IF(AND('Riesgos de gestión'!$Y$62="Media",'Riesgos de gestión'!$AA$62="Mayor"),CONCATENATE("R9C",'Riesgos de gestión'!$O$62),"")</f>
        <v/>
      </c>
      <c r="AG34" s="54" t="str">
        <f>IF(AND('Riesgos de gestión'!$Y$63="Media",'Riesgos de gestión'!$AA$63="Mayor"),CONCATENATE("R9C",'Riesgos de gestión'!$O$63),"")</f>
        <v/>
      </c>
      <c r="AH34" s="55" t="str">
        <f>IF(AND('Riesgos de gestión'!$Y$58="Media",'Riesgos de gestión'!$AA$58="Catastrófico"),CONCATENATE("R9C",'Riesgos de gestión'!$O$58),"")</f>
        <v/>
      </c>
      <c r="AI34" s="56" t="str">
        <f>IF(AND('Riesgos de gestión'!$Y$59="Media",'Riesgos de gestión'!$AA$59="Catastrófico"),CONCATENATE("R9C",'Riesgos de gestión'!$O$59),"")</f>
        <v/>
      </c>
      <c r="AJ34" s="56" t="str">
        <f>IF(AND('Riesgos de gestión'!$Y$60="Media",'Riesgos de gestión'!$AA$60="Catastrófico"),CONCATENATE("R9C",'Riesgos de gestión'!$O$60),"")</f>
        <v/>
      </c>
      <c r="AK34" s="56" t="str">
        <f>IF(AND('Riesgos de gestión'!$Y$61="Media",'Riesgos de gestión'!$AA$61="Catastrófico"),CONCATENATE("R9C",'Riesgos de gestión'!$O$61),"")</f>
        <v/>
      </c>
      <c r="AL34" s="56" t="str">
        <f>IF(AND('Riesgos de gestión'!$Y$62="Media",'Riesgos de gestión'!$AA$62="Catastrófico"),CONCATENATE("R9C",'Riesgos de gestión'!$O$62),"")</f>
        <v/>
      </c>
      <c r="AM34" s="57" t="str">
        <f>IF(AND('Riesgos de gestión'!$Y$63="Media",'Riesgos de gestión'!$AA$63="Catastrófico"),CONCATENATE("R9C",'Riesgos de gestión'!$O$63),"")</f>
        <v/>
      </c>
      <c r="AN34" s="83"/>
      <c r="AO34" s="1225"/>
      <c r="AP34" s="1226"/>
      <c r="AQ34" s="1226"/>
      <c r="AR34" s="1226"/>
      <c r="AS34" s="1226"/>
      <c r="AT34" s="1227"/>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row>
    <row r="35" spans="1:80" ht="15.75" customHeight="1" thickBot="1" x14ac:dyDescent="0.3">
      <c r="A35" s="83"/>
      <c r="B35" s="1144"/>
      <c r="C35" s="1144"/>
      <c r="D35" s="1145"/>
      <c r="E35" s="1188"/>
      <c r="F35" s="1189"/>
      <c r="G35" s="1189"/>
      <c r="H35" s="1189"/>
      <c r="I35" s="1190"/>
      <c r="J35" s="67" t="str">
        <f>IF(AND('Riesgos de gestión'!$Y$64="Media",'Riesgos de gestión'!$AA$64="Leve"),CONCATENATE("R10C",'Riesgos de gestión'!$O$64),"")</f>
        <v/>
      </c>
      <c r="K35" s="68" t="str">
        <f>IF(AND('Riesgos de gestión'!$Y$65="Media",'Riesgos de gestión'!$AA$65="Leve"),CONCATENATE("R10C",'Riesgos de gestión'!$O$65),"")</f>
        <v/>
      </c>
      <c r="L35" s="68" t="str">
        <f>IF(AND('Riesgos de gestión'!$Y$66="Media",'Riesgos de gestión'!$AA$66="Leve"),CONCATENATE("R10C",'Riesgos de gestión'!$O$66),"")</f>
        <v/>
      </c>
      <c r="M35" s="68" t="str">
        <f>IF(AND('Riesgos de gestión'!$Y$67="Media",'Riesgos de gestión'!$AA$67="Leve"),CONCATENATE("R10C",'Riesgos de gestión'!$O$67),"")</f>
        <v/>
      </c>
      <c r="N35" s="68" t="str">
        <f>IF(AND('Riesgos de gestión'!$Y$68="Media",'Riesgos de gestión'!$AA$68="Leve"),CONCATENATE("R10C",'Riesgos de gestión'!$O$68),"")</f>
        <v/>
      </c>
      <c r="O35" s="69" t="str">
        <f>IF(AND('Riesgos de gestión'!$Y$69="Media",'Riesgos de gestión'!$AA$69="Leve"),CONCATENATE("R10C",'Riesgos de gestión'!$O$69),"")</f>
        <v/>
      </c>
      <c r="P35" s="67" t="str">
        <f>IF(AND('Riesgos de gestión'!$Y$64="Media",'Riesgos de gestión'!$AA$64="Menor"),CONCATENATE("R10C",'Riesgos de gestión'!$O$64),"")</f>
        <v/>
      </c>
      <c r="Q35" s="68" t="str">
        <f>IF(AND('Riesgos de gestión'!$Y$65="Media",'Riesgos de gestión'!$AA$65="Menor"),CONCATENATE("R10C",'Riesgos de gestión'!$O$65),"")</f>
        <v/>
      </c>
      <c r="R35" s="68" t="str">
        <f>IF(AND('Riesgos de gestión'!$Y$66="Media",'Riesgos de gestión'!$AA$66="Menor"),CONCATENATE("R10C",'Riesgos de gestión'!$O$66),"")</f>
        <v/>
      </c>
      <c r="S35" s="68" t="str">
        <f>IF(AND('Riesgos de gestión'!$Y$67="Media",'Riesgos de gestión'!$AA$67="Menor"),CONCATENATE("R10C",'Riesgos de gestión'!$O$67),"")</f>
        <v/>
      </c>
      <c r="T35" s="68" t="str">
        <f>IF(AND('Riesgos de gestión'!$Y$68="Media",'Riesgos de gestión'!$AA$68="Menor"),CONCATENATE("R10C",'Riesgos de gestión'!$O$68),"")</f>
        <v/>
      </c>
      <c r="U35" s="69" t="str">
        <f>IF(AND('Riesgos de gestión'!$Y$69="Media",'Riesgos de gestión'!$AA$69="Menor"),CONCATENATE("R10C",'Riesgos de gestión'!$O$69),"")</f>
        <v/>
      </c>
      <c r="V35" s="67" t="str">
        <f>IF(AND('Riesgos de gestión'!$Y$64="Media",'Riesgos de gestión'!$AA$64="Moderado"),CONCATENATE("R10C",'Riesgos de gestión'!$O$64),"")</f>
        <v/>
      </c>
      <c r="W35" s="68" t="str">
        <f>IF(AND('Riesgos de gestión'!$Y$65="Media",'Riesgos de gestión'!$AA$65="Moderado"),CONCATENATE("R10C",'Riesgos de gestión'!$O$65),"")</f>
        <v/>
      </c>
      <c r="X35" s="68" t="str">
        <f>IF(AND('Riesgos de gestión'!$Y$66="Media",'Riesgos de gestión'!$AA$66="Moderado"),CONCATENATE("R10C",'Riesgos de gestión'!$O$66),"")</f>
        <v/>
      </c>
      <c r="Y35" s="68" t="str">
        <f>IF(AND('Riesgos de gestión'!$Y$67="Media",'Riesgos de gestión'!$AA$67="Moderado"),CONCATENATE("R10C",'Riesgos de gestión'!$O$67),"")</f>
        <v/>
      </c>
      <c r="Z35" s="68" t="str">
        <f>IF(AND('Riesgos de gestión'!$Y$68="Media",'Riesgos de gestión'!$AA$68="Moderado"),CONCATENATE("R10C",'Riesgos de gestión'!$O$68),"")</f>
        <v/>
      </c>
      <c r="AA35" s="69" t="str">
        <f>IF(AND('Riesgos de gestión'!$Y$69="Media",'Riesgos de gestión'!$AA$69="Moderado"),CONCATENATE("R10C",'Riesgos de gestión'!$O$69),"")</f>
        <v/>
      </c>
      <c r="AB35" s="58" t="str">
        <f>IF(AND('Riesgos de gestión'!$Y$64="Media",'Riesgos de gestión'!$AA$64="Mayor"),CONCATENATE("R10C",'Riesgos de gestión'!$O$64),"")</f>
        <v/>
      </c>
      <c r="AC35" s="59" t="str">
        <f>IF(AND('Riesgos de gestión'!$Y$65="Media",'Riesgos de gestión'!$AA$65="Mayor"),CONCATENATE("R10C",'Riesgos de gestión'!$O$65),"")</f>
        <v/>
      </c>
      <c r="AD35" s="59" t="str">
        <f>IF(AND('Riesgos de gestión'!$Y$66="Media",'Riesgos de gestión'!$AA$66="Mayor"),CONCATENATE("R10C",'Riesgos de gestión'!$O$66),"")</f>
        <v/>
      </c>
      <c r="AE35" s="59" t="str">
        <f>IF(AND('Riesgos de gestión'!$Y$67="Media",'Riesgos de gestión'!$AA$67="Mayor"),CONCATENATE("R10C",'Riesgos de gestión'!$O$67),"")</f>
        <v/>
      </c>
      <c r="AF35" s="59" t="str">
        <f>IF(AND('Riesgos de gestión'!$Y$68="Media",'Riesgos de gestión'!$AA$68="Mayor"),CONCATENATE("R10C",'Riesgos de gestión'!$O$68),"")</f>
        <v/>
      </c>
      <c r="AG35" s="60" t="str">
        <f>IF(AND('Riesgos de gestión'!$Y$69="Media",'Riesgos de gestión'!$AA$69="Mayor"),CONCATENATE("R10C",'Riesgos de gestión'!$O$69),"")</f>
        <v/>
      </c>
      <c r="AH35" s="61" t="str">
        <f>IF(AND('Riesgos de gestión'!$Y$64="Media",'Riesgos de gestión'!$AA$64="Catastrófico"),CONCATENATE("R10C",'Riesgos de gestión'!$O$64),"")</f>
        <v/>
      </c>
      <c r="AI35" s="62" t="str">
        <f>IF(AND('Riesgos de gestión'!$Y$65="Media",'Riesgos de gestión'!$AA$65="Catastrófico"),CONCATENATE("R10C",'Riesgos de gestión'!$O$65),"")</f>
        <v/>
      </c>
      <c r="AJ35" s="62" t="str">
        <f>IF(AND('Riesgos de gestión'!$Y$66="Media",'Riesgos de gestión'!$AA$66="Catastrófico"),CONCATENATE("R10C",'Riesgos de gestión'!$O$66),"")</f>
        <v/>
      </c>
      <c r="AK35" s="62" t="str">
        <f>IF(AND('Riesgos de gestión'!$Y$67="Media",'Riesgos de gestión'!$AA$67="Catastrófico"),CONCATENATE("R10C",'Riesgos de gestión'!$O$67),"")</f>
        <v/>
      </c>
      <c r="AL35" s="62" t="str">
        <f>IF(AND('Riesgos de gestión'!$Y$68="Media",'Riesgos de gestión'!$AA$68="Catastrófico"),CONCATENATE("R10C",'Riesgos de gestión'!$O$68),"")</f>
        <v/>
      </c>
      <c r="AM35" s="63" t="str">
        <f>IF(AND('Riesgos de gestión'!$Y$69="Media",'Riesgos de gestión'!$AA$69="Catastrófico"),CONCATENATE("R10C",'Riesgos de gestión'!$O$69),"")</f>
        <v/>
      </c>
      <c r="AN35" s="83"/>
      <c r="AO35" s="1228"/>
      <c r="AP35" s="1229"/>
      <c r="AQ35" s="1229"/>
      <c r="AR35" s="1229"/>
      <c r="AS35" s="1229"/>
      <c r="AT35" s="1230"/>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row>
    <row r="36" spans="1:80" ht="15" customHeight="1" x14ac:dyDescent="0.25">
      <c r="A36" s="83"/>
      <c r="B36" s="1144"/>
      <c r="C36" s="1144"/>
      <c r="D36" s="1145"/>
      <c r="E36" s="1182" t="s">
        <v>114</v>
      </c>
      <c r="F36" s="1183"/>
      <c r="G36" s="1183"/>
      <c r="H36" s="1183"/>
      <c r="I36" s="1183"/>
      <c r="J36" s="73" t="str">
        <f ca="1">IF(AND('Riesgos de gestión'!$Y$10="Baja",'Riesgos de gestión'!$AA$10="Leve"),CONCATENATE("R1C",'Riesgos de gestión'!$O$10),"")</f>
        <v/>
      </c>
      <c r="K36" s="74" t="str">
        <f>IF(AND('Riesgos de gestión'!$Y$11="Baja",'Riesgos de gestión'!$AA$11="Leve"),CONCATENATE("R1C",'Riesgos de gestión'!$O$11),"")</f>
        <v/>
      </c>
      <c r="L36" s="74" t="str">
        <f>IF(AND('Riesgos de gestión'!$Y$12="Baja",'Riesgos de gestión'!$AA$12="Leve"),CONCATENATE("R1C",'Riesgos de gestión'!$O$12),"")</f>
        <v/>
      </c>
      <c r="M36" s="74" t="str">
        <f>IF(AND('Riesgos de gestión'!$Y$13="Baja",'Riesgos de gestión'!$AA$13="Leve"),CONCATENATE("R1C",'Riesgos de gestión'!$O$13),"")</f>
        <v/>
      </c>
      <c r="N36" s="74" t="str">
        <f>IF(AND('Riesgos de gestión'!$Y$14="Baja",'Riesgos de gestión'!$AA$14="Leve"),CONCATENATE("R1C",'Riesgos de gestión'!$O$14),"")</f>
        <v/>
      </c>
      <c r="O36" s="75" t="str">
        <f>IF(AND('Riesgos de gestión'!$Y$15="Baja",'Riesgos de gestión'!$AA$15="Leve"),CONCATENATE("R1C",'Riesgos de gestión'!$O$15),"")</f>
        <v/>
      </c>
      <c r="P36" s="64" t="str">
        <f ca="1">IF(AND('Riesgos de gestión'!$Y$10="Baja",'Riesgos de gestión'!$AA$10="Menor"),CONCATENATE("R1C",'Riesgos de gestión'!$O$10),"")</f>
        <v/>
      </c>
      <c r="Q36" s="65" t="str">
        <f>IF(AND('Riesgos de gestión'!$Y$11="Baja",'Riesgos de gestión'!$AA$11="Menor"),CONCATENATE("R1C",'Riesgos de gestión'!$O$11),"")</f>
        <v/>
      </c>
      <c r="R36" s="65" t="str">
        <f>IF(AND('Riesgos de gestión'!$Y$12="Baja",'Riesgos de gestión'!$AA$12="Menor"),CONCATENATE("R1C",'Riesgos de gestión'!$O$12),"")</f>
        <v/>
      </c>
      <c r="S36" s="65" t="str">
        <f>IF(AND('Riesgos de gestión'!$Y$13="Baja",'Riesgos de gestión'!$AA$13="Menor"),CONCATENATE("R1C",'Riesgos de gestión'!$O$13),"")</f>
        <v/>
      </c>
      <c r="T36" s="65" t="str">
        <f>IF(AND('Riesgos de gestión'!$Y$14="Baja",'Riesgos de gestión'!$AA$14="Menor"),CONCATENATE("R1C",'Riesgos de gestión'!$O$14),"")</f>
        <v/>
      </c>
      <c r="U36" s="66" t="str">
        <f>IF(AND('Riesgos de gestión'!$Y$15="Baja",'Riesgos de gestión'!$AA$15="Menor"),CONCATENATE("R1C",'Riesgos de gestión'!$O$15),"")</f>
        <v/>
      </c>
      <c r="V36" s="64" t="str">
        <f ca="1">IF(AND('Riesgos de gestión'!$Y$10="Baja",'Riesgos de gestión'!$AA$10="Moderado"),CONCATENATE("R1C",'Riesgos de gestión'!$O$10),"")</f>
        <v/>
      </c>
      <c r="W36" s="65" t="str">
        <f>IF(AND('Riesgos de gestión'!$Y$11="Baja",'Riesgos de gestión'!$AA$11="Moderado"),CONCATENATE("R1C",'Riesgos de gestión'!$O$11),"")</f>
        <v/>
      </c>
      <c r="X36" s="65" t="str">
        <f>IF(AND('Riesgos de gestión'!$Y$12="Baja",'Riesgos de gestión'!$AA$12="Moderado"),CONCATENATE("R1C",'Riesgos de gestión'!$O$12),"")</f>
        <v/>
      </c>
      <c r="Y36" s="65" t="str">
        <f>IF(AND('Riesgos de gestión'!$Y$13="Baja",'Riesgos de gestión'!$AA$13="Moderado"),CONCATENATE("R1C",'Riesgos de gestión'!$O$13),"")</f>
        <v/>
      </c>
      <c r="Z36" s="65" t="str">
        <f>IF(AND('Riesgos de gestión'!$Y$14="Baja",'Riesgos de gestión'!$AA$14="Moderado"),CONCATENATE("R1C",'Riesgos de gestión'!$O$14),"")</f>
        <v/>
      </c>
      <c r="AA36" s="66" t="str">
        <f>IF(AND('Riesgos de gestión'!$Y$15="Baja",'Riesgos de gestión'!$AA$15="Moderado"),CONCATENATE("R1C",'Riesgos de gestión'!$O$15),"")</f>
        <v/>
      </c>
      <c r="AB36" s="46" t="str">
        <f ca="1">IF(AND('Riesgos de gestión'!$Y$10="Baja",'Riesgos de gestión'!$AA$10="Mayor"),CONCATENATE("R1C",'Riesgos de gestión'!$O$10),"")</f>
        <v/>
      </c>
      <c r="AC36" s="47" t="str">
        <f>IF(AND('Riesgos de gestión'!$Y$11="Baja",'Riesgos de gestión'!$AA$11="Mayor"),CONCATENATE("R1C",'Riesgos de gestión'!$O$11),"")</f>
        <v/>
      </c>
      <c r="AD36" s="47" t="str">
        <f>IF(AND('Riesgos de gestión'!$Y$12="Baja",'Riesgos de gestión'!$AA$12="Mayor"),CONCATENATE("R1C",'Riesgos de gestión'!$O$12),"")</f>
        <v/>
      </c>
      <c r="AE36" s="47" t="str">
        <f>IF(AND('Riesgos de gestión'!$Y$13="Baja",'Riesgos de gestión'!$AA$13="Mayor"),CONCATENATE("R1C",'Riesgos de gestión'!$O$13),"")</f>
        <v/>
      </c>
      <c r="AF36" s="47" t="str">
        <f>IF(AND('Riesgos de gestión'!$Y$14="Baja",'Riesgos de gestión'!$AA$14="Mayor"),CONCATENATE("R1C",'Riesgos de gestión'!$O$14),"")</f>
        <v/>
      </c>
      <c r="AG36" s="48" t="str">
        <f>IF(AND('Riesgos de gestión'!$Y$15="Baja",'Riesgos de gestión'!$AA$15="Mayor"),CONCATENATE("R1C",'Riesgos de gestión'!$O$15),"")</f>
        <v/>
      </c>
      <c r="AH36" s="49" t="str">
        <f ca="1">IF(AND('Riesgos de gestión'!$Y$10="Baja",'Riesgos de gestión'!$AA$10="Catastrófico"),CONCATENATE("R1C",'Riesgos de gestión'!$O$10),"")</f>
        <v/>
      </c>
      <c r="AI36" s="50" t="str">
        <f>IF(AND('Riesgos de gestión'!$Y$11="Baja",'Riesgos de gestión'!$AA$11="Catastrófico"),CONCATENATE("R1C",'Riesgos de gestión'!$O$11),"")</f>
        <v/>
      </c>
      <c r="AJ36" s="50" t="str">
        <f>IF(AND('Riesgos de gestión'!$Y$12="Baja",'Riesgos de gestión'!$AA$12="Catastrófico"),CONCATENATE("R1C",'Riesgos de gestión'!$O$12),"")</f>
        <v/>
      </c>
      <c r="AK36" s="50" t="str">
        <f>IF(AND('Riesgos de gestión'!$Y$13="Baja",'Riesgos de gestión'!$AA$13="Catastrófico"),CONCATENATE("R1C",'Riesgos de gestión'!$O$13),"")</f>
        <v/>
      </c>
      <c r="AL36" s="50" t="str">
        <f>IF(AND('Riesgos de gestión'!$Y$14="Baja",'Riesgos de gestión'!$AA$14="Catastrófico"),CONCATENATE("R1C",'Riesgos de gestión'!$O$14),"")</f>
        <v/>
      </c>
      <c r="AM36" s="51" t="str">
        <f>IF(AND('Riesgos de gestión'!$Y$15="Baja",'Riesgos de gestión'!$AA$15="Catastrófico"),CONCATENATE("R1C",'Riesgos de gestión'!$O$15),"")</f>
        <v/>
      </c>
      <c r="AN36" s="83"/>
      <c r="AO36" s="1213" t="s">
        <v>82</v>
      </c>
      <c r="AP36" s="1214"/>
      <c r="AQ36" s="1214"/>
      <c r="AR36" s="1214"/>
      <c r="AS36" s="1214"/>
      <c r="AT36" s="1215"/>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row>
    <row r="37" spans="1:80" ht="15" customHeight="1" x14ac:dyDescent="0.25">
      <c r="A37" s="83"/>
      <c r="B37" s="1144"/>
      <c r="C37" s="1144"/>
      <c r="D37" s="1145"/>
      <c r="E37" s="1201"/>
      <c r="F37" s="1186"/>
      <c r="G37" s="1186"/>
      <c r="H37" s="1186"/>
      <c r="I37" s="1186"/>
      <c r="J37" s="76" t="str">
        <f>IF(AND('Riesgos de gestión'!$Y$16="Baja",'Riesgos de gestión'!$AA$16="Leve"),CONCATENATE("R2C",'Riesgos de gestión'!$O$16),"")</f>
        <v/>
      </c>
      <c r="K37" s="77" t="str">
        <f>IF(AND('Riesgos de gestión'!$Y$17="Baja",'Riesgos de gestión'!$AA$17="Leve"),CONCATENATE("R2C",'Riesgos de gestión'!$O$17),"")</f>
        <v/>
      </c>
      <c r="L37" s="77" t="str">
        <f>IF(AND('Riesgos de gestión'!$Y$18="Baja",'Riesgos de gestión'!$AA$18="Leve"),CONCATENATE("R2C",'Riesgos de gestión'!$O$18),"")</f>
        <v/>
      </c>
      <c r="M37" s="77" t="str">
        <f>IF(AND('Riesgos de gestión'!$Y$19="Baja",'Riesgos de gestión'!$AA$19="Leve"),CONCATENATE("R2C",'Riesgos de gestión'!$O$19),"")</f>
        <v/>
      </c>
      <c r="N37" s="77" t="str">
        <f>IF(AND('Riesgos de gestión'!$Y$20="Baja",'Riesgos de gestión'!$AA$20="Leve"),CONCATENATE("R2C",'Riesgos de gestión'!$O$20),"")</f>
        <v/>
      </c>
      <c r="O37" s="78" t="str">
        <f>IF(AND('Riesgos de gestión'!$Y$21="Baja",'Riesgos de gestión'!$AA$21="Leve"),CONCATENATE("R2C",'Riesgos de gestión'!$O$21),"")</f>
        <v/>
      </c>
      <c r="P37" s="67" t="str">
        <f>IF(AND('Riesgos de gestión'!$Y$16="Baja",'Riesgos de gestión'!$AA$16="Menor"),CONCATENATE("R2C",'Riesgos de gestión'!$O$16),"")</f>
        <v/>
      </c>
      <c r="Q37" s="68" t="str">
        <f>IF(AND('Riesgos de gestión'!$Y$17="Baja",'Riesgos de gestión'!$AA$17="Menor"),CONCATENATE("R2C",'Riesgos de gestión'!$O$17),"")</f>
        <v/>
      </c>
      <c r="R37" s="68" t="str">
        <f>IF(AND('Riesgos de gestión'!$Y$18="Baja",'Riesgos de gestión'!$AA$18="Menor"),CONCATENATE("R2C",'Riesgos de gestión'!$O$18),"")</f>
        <v/>
      </c>
      <c r="S37" s="68" t="str">
        <f>IF(AND('Riesgos de gestión'!$Y$19="Baja",'Riesgos de gestión'!$AA$19="Menor"),CONCATENATE("R2C",'Riesgos de gestión'!$O$19),"")</f>
        <v/>
      </c>
      <c r="T37" s="68" t="str">
        <f>IF(AND('Riesgos de gestión'!$Y$20="Baja",'Riesgos de gestión'!$AA$20="Menor"),CONCATENATE("R2C",'Riesgos de gestión'!$O$20),"")</f>
        <v/>
      </c>
      <c r="U37" s="69" t="str">
        <f>IF(AND('Riesgos de gestión'!$Y$21="Baja",'Riesgos de gestión'!$AA$21="Menor"),CONCATENATE("R2C",'Riesgos de gestión'!$O$21),"")</f>
        <v/>
      </c>
      <c r="V37" s="67" t="str">
        <f>IF(AND('Riesgos de gestión'!$Y$16="Baja",'Riesgos de gestión'!$AA$16="Moderado"),CONCATENATE("R2C",'Riesgos de gestión'!$O$16),"")</f>
        <v/>
      </c>
      <c r="W37" s="68" t="str">
        <f>IF(AND('Riesgos de gestión'!$Y$17="Baja",'Riesgos de gestión'!$AA$17="Moderado"),CONCATENATE("R2C",'Riesgos de gestión'!$O$17),"")</f>
        <v/>
      </c>
      <c r="X37" s="68" t="str">
        <f>IF(AND('Riesgos de gestión'!$Y$18="Baja",'Riesgos de gestión'!$AA$18="Moderado"),CONCATENATE("R2C",'Riesgos de gestión'!$O$18),"")</f>
        <v/>
      </c>
      <c r="Y37" s="68" t="str">
        <f>IF(AND('Riesgos de gestión'!$Y$19="Baja",'Riesgos de gestión'!$AA$19="Moderado"),CONCATENATE("R2C",'Riesgos de gestión'!$O$19),"")</f>
        <v/>
      </c>
      <c r="Z37" s="68" t="str">
        <f>IF(AND('Riesgos de gestión'!$Y$20="Baja",'Riesgos de gestión'!$AA$20="Moderado"),CONCATENATE("R2C",'Riesgos de gestión'!$O$20),"")</f>
        <v/>
      </c>
      <c r="AA37" s="69" t="str">
        <f>IF(AND('Riesgos de gestión'!$Y$21="Baja",'Riesgos de gestión'!$AA$21="Moderado"),CONCATENATE("R2C",'Riesgos de gestión'!$O$21),"")</f>
        <v/>
      </c>
      <c r="AB37" s="52" t="str">
        <f>IF(AND('Riesgos de gestión'!$Y$16="Baja",'Riesgos de gestión'!$AA$16="Mayor"),CONCATENATE("R2C",'Riesgos de gestión'!$O$16),"")</f>
        <v/>
      </c>
      <c r="AC37" s="53" t="str">
        <f>IF(AND('Riesgos de gestión'!$Y$17="Baja",'Riesgos de gestión'!$AA$17="Mayor"),CONCATENATE("R2C",'Riesgos de gestión'!$O$17),"")</f>
        <v/>
      </c>
      <c r="AD37" s="53" t="str">
        <f>IF(AND('Riesgos de gestión'!$Y$18="Baja",'Riesgos de gestión'!$AA$18="Mayor"),CONCATENATE("R2C",'Riesgos de gestión'!$O$18),"")</f>
        <v/>
      </c>
      <c r="AE37" s="53" t="str">
        <f>IF(AND('Riesgos de gestión'!$Y$19="Baja",'Riesgos de gestión'!$AA$19="Mayor"),CONCATENATE("R2C",'Riesgos de gestión'!$O$19),"")</f>
        <v/>
      </c>
      <c r="AF37" s="53" t="str">
        <f>IF(AND('Riesgos de gestión'!$Y$20="Baja",'Riesgos de gestión'!$AA$20="Mayor"),CONCATENATE("R2C",'Riesgos de gestión'!$O$20),"")</f>
        <v/>
      </c>
      <c r="AG37" s="54" t="str">
        <f>IF(AND('Riesgos de gestión'!$Y$21="Baja",'Riesgos de gestión'!$AA$21="Mayor"),CONCATENATE("R2C",'Riesgos de gestión'!$O$21),"")</f>
        <v/>
      </c>
      <c r="AH37" s="55" t="str">
        <f>IF(AND('Riesgos de gestión'!$Y$16="Baja",'Riesgos de gestión'!$AA$16="Catastrófico"),CONCATENATE("R2C",'Riesgos de gestión'!$O$16),"")</f>
        <v/>
      </c>
      <c r="AI37" s="56" t="str">
        <f>IF(AND('Riesgos de gestión'!$Y$17="Baja",'Riesgos de gestión'!$AA$17="Catastrófico"),CONCATENATE("R2C",'Riesgos de gestión'!$O$17),"")</f>
        <v/>
      </c>
      <c r="AJ37" s="56" t="str">
        <f>IF(AND('Riesgos de gestión'!$Y$18="Baja",'Riesgos de gestión'!$AA$18="Catastrófico"),CONCATENATE("R2C",'Riesgos de gestión'!$O$18),"")</f>
        <v/>
      </c>
      <c r="AK37" s="56" t="str">
        <f>IF(AND('Riesgos de gestión'!$Y$19="Baja",'Riesgos de gestión'!$AA$19="Catastrófico"),CONCATENATE("R2C",'Riesgos de gestión'!$O$19),"")</f>
        <v/>
      </c>
      <c r="AL37" s="56" t="str">
        <f>IF(AND('Riesgos de gestión'!$Y$20="Baja",'Riesgos de gestión'!$AA$20="Catastrófico"),CONCATENATE("R2C",'Riesgos de gestión'!$O$20),"")</f>
        <v/>
      </c>
      <c r="AM37" s="57" t="str">
        <f>IF(AND('Riesgos de gestión'!$Y$21="Baja",'Riesgos de gestión'!$AA$21="Catastrófico"),CONCATENATE("R2C",'Riesgos de gestión'!$O$21),"")</f>
        <v/>
      </c>
      <c r="AN37" s="83"/>
      <c r="AO37" s="1216"/>
      <c r="AP37" s="1217"/>
      <c r="AQ37" s="1217"/>
      <c r="AR37" s="1217"/>
      <c r="AS37" s="1217"/>
      <c r="AT37" s="1218"/>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row>
    <row r="38" spans="1:80" ht="15" customHeight="1" x14ac:dyDescent="0.25">
      <c r="A38" s="83"/>
      <c r="B38" s="1144"/>
      <c r="C38" s="1144"/>
      <c r="D38" s="1145"/>
      <c r="E38" s="1185"/>
      <c r="F38" s="1186"/>
      <c r="G38" s="1186"/>
      <c r="H38" s="1186"/>
      <c r="I38" s="1186"/>
      <c r="J38" s="76" t="str">
        <f>IF(AND('Riesgos de gestión'!$Y$22="Baja",'Riesgos de gestión'!$AA$22="Leve"),CONCATENATE("R3C",'Riesgos de gestión'!$O$22),"")</f>
        <v/>
      </c>
      <c r="K38" s="77" t="str">
        <f>IF(AND('Riesgos de gestión'!$Y$23="Baja",'Riesgos de gestión'!$AA$23="Leve"),CONCATENATE("R3C",'Riesgos de gestión'!$O$23),"")</f>
        <v/>
      </c>
      <c r="L38" s="77" t="str">
        <f>IF(AND('Riesgos de gestión'!$Y$24="Baja",'Riesgos de gestión'!$AA$24="Leve"),CONCATENATE("R3C",'Riesgos de gestión'!$O$24),"")</f>
        <v/>
      </c>
      <c r="M38" s="77" t="str">
        <f>IF(AND('Riesgos de gestión'!$Y$25="Baja",'Riesgos de gestión'!$AA$25="Leve"),CONCATENATE("R3C",'Riesgos de gestión'!$O$25),"")</f>
        <v/>
      </c>
      <c r="N38" s="77" t="str">
        <f>IF(AND('Riesgos de gestión'!$Y$26="Baja",'Riesgos de gestión'!$AA$26="Leve"),CONCATENATE("R3C",'Riesgos de gestión'!$O$26),"")</f>
        <v/>
      </c>
      <c r="O38" s="78" t="str">
        <f>IF(AND('Riesgos de gestión'!$Y$27="Baja",'Riesgos de gestión'!$AA$27="Leve"),CONCATENATE("R3C",'Riesgos de gestión'!$O$27),"")</f>
        <v/>
      </c>
      <c r="P38" s="67" t="str">
        <f>IF(AND('Riesgos de gestión'!$Y$22="Baja",'Riesgos de gestión'!$AA$22="Menor"),CONCATENATE("R3C",'Riesgos de gestión'!$O$22),"")</f>
        <v/>
      </c>
      <c r="Q38" s="68" t="str">
        <f>IF(AND('Riesgos de gestión'!$Y$23="Baja",'Riesgos de gestión'!$AA$23="Menor"),CONCATENATE("R3C",'Riesgos de gestión'!$O$23),"")</f>
        <v/>
      </c>
      <c r="R38" s="68" t="str">
        <f>IF(AND('Riesgos de gestión'!$Y$24="Baja",'Riesgos de gestión'!$AA$24="Menor"),CONCATENATE("R3C",'Riesgos de gestión'!$O$24),"")</f>
        <v/>
      </c>
      <c r="S38" s="68" t="str">
        <f>IF(AND('Riesgos de gestión'!$Y$25="Baja",'Riesgos de gestión'!$AA$25="Menor"),CONCATENATE("R3C",'Riesgos de gestión'!$O$25),"")</f>
        <v/>
      </c>
      <c r="T38" s="68" t="str">
        <f>IF(AND('Riesgos de gestión'!$Y$26="Baja",'Riesgos de gestión'!$AA$26="Menor"),CONCATENATE("R3C",'Riesgos de gestión'!$O$26),"")</f>
        <v/>
      </c>
      <c r="U38" s="69" t="str">
        <f>IF(AND('Riesgos de gestión'!$Y$27="Baja",'Riesgos de gestión'!$AA$27="Menor"),CONCATENATE("R3C",'Riesgos de gestión'!$O$27),"")</f>
        <v/>
      </c>
      <c r="V38" s="67" t="str">
        <f>IF(AND('Riesgos de gestión'!$Y$22="Baja",'Riesgos de gestión'!$AA$22="Moderado"),CONCATENATE("R3C",'Riesgos de gestión'!$O$22),"")</f>
        <v/>
      </c>
      <c r="W38" s="68" t="str">
        <f>IF(AND('Riesgos de gestión'!$Y$23="Baja",'Riesgos de gestión'!$AA$23="Moderado"),CONCATENATE("R3C",'Riesgos de gestión'!$O$23),"")</f>
        <v/>
      </c>
      <c r="X38" s="68" t="str">
        <f>IF(AND('Riesgos de gestión'!$Y$24="Baja",'Riesgos de gestión'!$AA$24="Moderado"),CONCATENATE("R3C",'Riesgos de gestión'!$O$24),"")</f>
        <v/>
      </c>
      <c r="Y38" s="68" t="str">
        <f>IF(AND('Riesgos de gestión'!$Y$25="Baja",'Riesgos de gestión'!$AA$25="Moderado"),CONCATENATE("R3C",'Riesgos de gestión'!$O$25),"")</f>
        <v/>
      </c>
      <c r="Z38" s="68" t="str">
        <f>IF(AND('Riesgos de gestión'!$Y$26="Baja",'Riesgos de gestión'!$AA$26="Moderado"),CONCATENATE("R3C",'Riesgos de gestión'!$O$26),"")</f>
        <v/>
      </c>
      <c r="AA38" s="69" t="str">
        <f>IF(AND('Riesgos de gestión'!$Y$27="Baja",'Riesgos de gestión'!$AA$27="Moderado"),CONCATENATE("R3C",'Riesgos de gestión'!$O$27),"")</f>
        <v/>
      </c>
      <c r="AB38" s="52" t="str">
        <f>IF(AND('Riesgos de gestión'!$Y$22="Baja",'Riesgos de gestión'!$AA$22="Mayor"),CONCATENATE("R3C",'Riesgos de gestión'!$O$22),"")</f>
        <v/>
      </c>
      <c r="AC38" s="53" t="str">
        <f>IF(AND('Riesgos de gestión'!$Y$23="Baja",'Riesgos de gestión'!$AA$23="Mayor"),CONCATENATE("R3C",'Riesgos de gestión'!$O$23),"")</f>
        <v/>
      </c>
      <c r="AD38" s="53" t="str">
        <f>IF(AND('Riesgos de gestión'!$Y$24="Baja",'Riesgos de gestión'!$AA$24="Mayor"),CONCATENATE("R3C",'Riesgos de gestión'!$O$24),"")</f>
        <v/>
      </c>
      <c r="AE38" s="53" t="str">
        <f>IF(AND('Riesgos de gestión'!$Y$25="Baja",'Riesgos de gestión'!$AA$25="Mayor"),CONCATENATE("R3C",'Riesgos de gestión'!$O$25),"")</f>
        <v/>
      </c>
      <c r="AF38" s="53" t="str">
        <f>IF(AND('Riesgos de gestión'!$Y$26="Baja",'Riesgos de gestión'!$AA$26="Mayor"),CONCATENATE("R3C",'Riesgos de gestión'!$O$26),"")</f>
        <v/>
      </c>
      <c r="AG38" s="54" t="str">
        <f>IF(AND('Riesgos de gestión'!$Y$27="Baja",'Riesgos de gestión'!$AA$27="Mayor"),CONCATENATE("R3C",'Riesgos de gestión'!$O$27),"")</f>
        <v/>
      </c>
      <c r="AH38" s="55" t="str">
        <f>IF(AND('Riesgos de gestión'!$Y$22="Baja",'Riesgos de gestión'!$AA$22="Catastrófico"),CONCATENATE("R3C",'Riesgos de gestión'!$O$22),"")</f>
        <v/>
      </c>
      <c r="AI38" s="56" t="str">
        <f>IF(AND('Riesgos de gestión'!$Y$23="Baja",'Riesgos de gestión'!$AA$23="Catastrófico"),CONCATENATE("R3C",'Riesgos de gestión'!$O$23),"")</f>
        <v/>
      </c>
      <c r="AJ38" s="56" t="str">
        <f>IF(AND('Riesgos de gestión'!$Y$24="Baja",'Riesgos de gestión'!$AA$24="Catastrófico"),CONCATENATE("R3C",'Riesgos de gestión'!$O$24),"")</f>
        <v/>
      </c>
      <c r="AK38" s="56" t="str">
        <f>IF(AND('Riesgos de gestión'!$Y$25="Baja",'Riesgos de gestión'!$AA$25="Catastrófico"),CONCATENATE("R3C",'Riesgos de gestión'!$O$25),"")</f>
        <v/>
      </c>
      <c r="AL38" s="56" t="str">
        <f>IF(AND('Riesgos de gestión'!$Y$26="Baja",'Riesgos de gestión'!$AA$26="Catastrófico"),CONCATENATE("R3C",'Riesgos de gestión'!$O$26),"")</f>
        <v/>
      </c>
      <c r="AM38" s="57" t="str">
        <f>IF(AND('Riesgos de gestión'!$Y$27="Baja",'Riesgos de gestión'!$AA$27="Catastrófico"),CONCATENATE("R3C",'Riesgos de gestión'!$O$27),"")</f>
        <v/>
      </c>
      <c r="AN38" s="83"/>
      <c r="AO38" s="1216"/>
      <c r="AP38" s="1217"/>
      <c r="AQ38" s="1217"/>
      <c r="AR38" s="1217"/>
      <c r="AS38" s="1217"/>
      <c r="AT38" s="1218"/>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row>
    <row r="39" spans="1:80" ht="15" customHeight="1" x14ac:dyDescent="0.25">
      <c r="A39" s="83"/>
      <c r="B39" s="1144"/>
      <c r="C39" s="1144"/>
      <c r="D39" s="1145"/>
      <c r="E39" s="1185"/>
      <c r="F39" s="1186"/>
      <c r="G39" s="1186"/>
      <c r="H39" s="1186"/>
      <c r="I39" s="1186"/>
      <c r="J39" s="76" t="str">
        <f>IF(AND('Riesgos de gestión'!$Y$28="Baja",'Riesgos de gestión'!$AA$28="Leve"),CONCATENATE("R4C",'Riesgos de gestión'!$O$28),"")</f>
        <v/>
      </c>
      <c r="K39" s="77" t="str">
        <f>IF(AND('Riesgos de gestión'!$Y$29="Baja",'Riesgos de gestión'!$AA$29="Leve"),CONCATENATE("R4C",'Riesgos de gestión'!$O$29),"")</f>
        <v/>
      </c>
      <c r="L39" s="77" t="str">
        <f>IF(AND('Riesgos de gestión'!$Y$30="Baja",'Riesgos de gestión'!$AA$30="Leve"),CONCATENATE("R4C",'Riesgos de gestión'!$O$30),"")</f>
        <v/>
      </c>
      <c r="M39" s="77" t="str">
        <f>IF(AND('Riesgos de gestión'!$Y$31="Baja",'Riesgos de gestión'!$AA$31="Leve"),CONCATENATE("R4C",'Riesgos de gestión'!$O$31),"")</f>
        <v/>
      </c>
      <c r="N39" s="77" t="str">
        <f>IF(AND('Riesgos de gestión'!$Y$32="Baja",'Riesgos de gestión'!$AA$32="Leve"),CONCATENATE("R4C",'Riesgos de gestión'!$O$32),"")</f>
        <v/>
      </c>
      <c r="O39" s="78" t="str">
        <f>IF(AND('Riesgos de gestión'!$Y$33="Baja",'Riesgos de gestión'!$AA$33="Leve"),CONCATENATE("R4C",'Riesgos de gestión'!$O$33),"")</f>
        <v/>
      </c>
      <c r="P39" s="67" t="str">
        <f>IF(AND('Riesgos de gestión'!$Y$28="Baja",'Riesgos de gestión'!$AA$28="Menor"),CONCATENATE("R4C",'Riesgos de gestión'!$O$28),"")</f>
        <v/>
      </c>
      <c r="Q39" s="68" t="str">
        <f>IF(AND('Riesgos de gestión'!$Y$29="Baja",'Riesgos de gestión'!$AA$29="Menor"),CONCATENATE("R4C",'Riesgos de gestión'!$O$29),"")</f>
        <v/>
      </c>
      <c r="R39" s="68" t="str">
        <f>IF(AND('Riesgos de gestión'!$Y$30="Baja",'Riesgos de gestión'!$AA$30="Menor"),CONCATENATE("R4C",'Riesgos de gestión'!$O$30),"")</f>
        <v/>
      </c>
      <c r="S39" s="68" t="str">
        <f>IF(AND('Riesgos de gestión'!$Y$31="Baja",'Riesgos de gestión'!$AA$31="Menor"),CONCATENATE("R4C",'Riesgos de gestión'!$O$31),"")</f>
        <v/>
      </c>
      <c r="T39" s="68" t="str">
        <f>IF(AND('Riesgos de gestión'!$Y$32="Baja",'Riesgos de gestión'!$AA$32="Menor"),CONCATENATE("R4C",'Riesgos de gestión'!$O$32),"")</f>
        <v/>
      </c>
      <c r="U39" s="69" t="str">
        <f>IF(AND('Riesgos de gestión'!$Y$33="Baja",'Riesgos de gestión'!$AA$33="Menor"),CONCATENATE("R4C",'Riesgos de gestión'!$O$33),"")</f>
        <v/>
      </c>
      <c r="V39" s="67" t="str">
        <f>IF(AND('Riesgos de gestión'!$Y$28="Baja",'Riesgos de gestión'!$AA$28="Moderado"),CONCATENATE("R4C",'Riesgos de gestión'!$O$28),"")</f>
        <v/>
      </c>
      <c r="W39" s="68" t="str">
        <f>IF(AND('Riesgos de gestión'!$Y$29="Baja",'Riesgos de gestión'!$AA$29="Moderado"),CONCATENATE("R4C",'Riesgos de gestión'!$O$29),"")</f>
        <v/>
      </c>
      <c r="X39" s="68" t="str">
        <f>IF(AND('Riesgos de gestión'!$Y$30="Baja",'Riesgos de gestión'!$AA$30="Moderado"),CONCATENATE("R4C",'Riesgos de gestión'!$O$30),"")</f>
        <v/>
      </c>
      <c r="Y39" s="68" t="str">
        <f>IF(AND('Riesgos de gestión'!$Y$31="Baja",'Riesgos de gestión'!$AA$31="Moderado"),CONCATENATE("R4C",'Riesgos de gestión'!$O$31),"")</f>
        <v/>
      </c>
      <c r="Z39" s="68" t="str">
        <f>IF(AND('Riesgos de gestión'!$Y$32="Baja",'Riesgos de gestión'!$AA$32="Moderado"),CONCATENATE("R4C",'Riesgos de gestión'!$O$32),"")</f>
        <v/>
      </c>
      <c r="AA39" s="69" t="str">
        <f>IF(AND('Riesgos de gestión'!$Y$33="Baja",'Riesgos de gestión'!$AA$33="Moderado"),CONCATENATE("R4C",'Riesgos de gestión'!$O$33),"")</f>
        <v/>
      </c>
      <c r="AB39" s="52" t="str">
        <f>IF(AND('Riesgos de gestión'!$Y$28="Baja",'Riesgos de gestión'!$AA$28="Mayor"),CONCATENATE("R4C",'Riesgos de gestión'!$O$28),"")</f>
        <v/>
      </c>
      <c r="AC39" s="53" t="str">
        <f>IF(AND('Riesgos de gestión'!$Y$29="Baja",'Riesgos de gestión'!$AA$29="Mayor"),CONCATENATE("R4C",'Riesgos de gestión'!$O$29),"")</f>
        <v/>
      </c>
      <c r="AD39" s="53" t="str">
        <f>IF(AND('Riesgos de gestión'!$Y$30="Baja",'Riesgos de gestión'!$AA$30="Mayor"),CONCATENATE("R4C",'Riesgos de gestión'!$O$30),"")</f>
        <v/>
      </c>
      <c r="AE39" s="53" t="str">
        <f>IF(AND('Riesgos de gestión'!$Y$31="Baja",'Riesgos de gestión'!$AA$31="Mayor"),CONCATENATE("R4C",'Riesgos de gestión'!$O$31),"")</f>
        <v/>
      </c>
      <c r="AF39" s="53" t="str">
        <f>IF(AND('Riesgos de gestión'!$Y$32="Baja",'Riesgos de gestión'!$AA$32="Mayor"),CONCATENATE("R4C",'Riesgos de gestión'!$O$32),"")</f>
        <v/>
      </c>
      <c r="AG39" s="54" t="str">
        <f>IF(AND('Riesgos de gestión'!$Y$33="Baja",'Riesgos de gestión'!$AA$33="Mayor"),CONCATENATE("R4C",'Riesgos de gestión'!$O$33),"")</f>
        <v/>
      </c>
      <c r="AH39" s="55" t="str">
        <f>IF(AND('Riesgos de gestión'!$Y$28="Baja",'Riesgos de gestión'!$AA$28="Catastrófico"),CONCATENATE("R4C",'Riesgos de gestión'!$O$28),"")</f>
        <v/>
      </c>
      <c r="AI39" s="56" t="str">
        <f>IF(AND('Riesgos de gestión'!$Y$29="Baja",'Riesgos de gestión'!$AA$29="Catastrófico"),CONCATENATE("R4C",'Riesgos de gestión'!$O$29),"")</f>
        <v/>
      </c>
      <c r="AJ39" s="56" t="str">
        <f>IF(AND('Riesgos de gestión'!$Y$30="Baja",'Riesgos de gestión'!$AA$30="Catastrófico"),CONCATENATE("R4C",'Riesgos de gestión'!$O$30),"")</f>
        <v/>
      </c>
      <c r="AK39" s="56" t="str">
        <f>IF(AND('Riesgos de gestión'!$Y$31="Baja",'Riesgos de gestión'!$AA$31="Catastrófico"),CONCATENATE("R4C",'Riesgos de gestión'!$O$31),"")</f>
        <v/>
      </c>
      <c r="AL39" s="56" t="str">
        <f>IF(AND('Riesgos de gestión'!$Y$32="Baja",'Riesgos de gestión'!$AA$32="Catastrófico"),CONCATENATE("R4C",'Riesgos de gestión'!$O$32),"")</f>
        <v/>
      </c>
      <c r="AM39" s="57" t="str">
        <f>IF(AND('Riesgos de gestión'!$Y$33="Baja",'Riesgos de gestión'!$AA$33="Catastrófico"),CONCATENATE("R4C",'Riesgos de gestión'!$O$33),"")</f>
        <v/>
      </c>
      <c r="AN39" s="83"/>
      <c r="AO39" s="1216"/>
      <c r="AP39" s="1217"/>
      <c r="AQ39" s="1217"/>
      <c r="AR39" s="1217"/>
      <c r="AS39" s="1217"/>
      <c r="AT39" s="1218"/>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row>
    <row r="40" spans="1:80" ht="15" customHeight="1" x14ac:dyDescent="0.25">
      <c r="A40" s="83"/>
      <c r="B40" s="1144"/>
      <c r="C40" s="1144"/>
      <c r="D40" s="1145"/>
      <c r="E40" s="1185"/>
      <c r="F40" s="1186"/>
      <c r="G40" s="1186"/>
      <c r="H40" s="1186"/>
      <c r="I40" s="1186"/>
      <c r="J40" s="76" t="str">
        <f>IF(AND('Riesgos de gestión'!$Y$34="Baja",'Riesgos de gestión'!$AA$34="Leve"),CONCATENATE("R5C",'Riesgos de gestión'!$O$34),"")</f>
        <v/>
      </c>
      <c r="K40" s="77" t="str">
        <f>IF(AND('Riesgos de gestión'!$Y$35="Baja",'Riesgos de gestión'!$AA$35="Leve"),CONCATENATE("R5C",'Riesgos de gestión'!$O$35),"")</f>
        <v/>
      </c>
      <c r="L40" s="77" t="str">
        <f>IF(AND('Riesgos de gestión'!$Y$36="Baja",'Riesgos de gestión'!$AA$36="Leve"),CONCATENATE("R5C",'Riesgos de gestión'!$O$36),"")</f>
        <v/>
      </c>
      <c r="M40" s="77" t="str">
        <f>IF(AND('Riesgos de gestión'!$Y$37="Baja",'Riesgos de gestión'!$AA$37="Leve"),CONCATENATE("R5C",'Riesgos de gestión'!$O$37),"")</f>
        <v/>
      </c>
      <c r="N40" s="77" t="str">
        <f>IF(AND('Riesgos de gestión'!$Y$38="Baja",'Riesgos de gestión'!$AA$38="Leve"),CONCATENATE("R5C",'Riesgos de gestión'!$O$38),"")</f>
        <v/>
      </c>
      <c r="O40" s="78" t="str">
        <f>IF(AND('Riesgos de gestión'!$Y$39="Baja",'Riesgos de gestión'!$AA$39="Leve"),CONCATENATE("R5C",'Riesgos de gestión'!$O$39),"")</f>
        <v/>
      </c>
      <c r="P40" s="67" t="str">
        <f>IF(AND('Riesgos de gestión'!$Y$34="Baja",'Riesgos de gestión'!$AA$34="Menor"),CONCATENATE("R5C",'Riesgos de gestión'!$O$34),"")</f>
        <v/>
      </c>
      <c r="Q40" s="68" t="str">
        <f>IF(AND('Riesgos de gestión'!$Y$35="Baja",'Riesgos de gestión'!$AA$35="Menor"),CONCATENATE("R5C",'Riesgos de gestión'!$O$35),"")</f>
        <v/>
      </c>
      <c r="R40" s="68" t="str">
        <f>IF(AND('Riesgos de gestión'!$Y$36="Baja",'Riesgos de gestión'!$AA$36="Menor"),CONCATENATE("R5C",'Riesgos de gestión'!$O$36),"")</f>
        <v/>
      </c>
      <c r="S40" s="68" t="str">
        <f>IF(AND('Riesgos de gestión'!$Y$37="Baja",'Riesgos de gestión'!$AA$37="Menor"),CONCATENATE("R5C",'Riesgos de gestión'!$O$37),"")</f>
        <v/>
      </c>
      <c r="T40" s="68" t="str">
        <f>IF(AND('Riesgos de gestión'!$Y$38="Baja",'Riesgos de gestión'!$AA$38="Menor"),CONCATENATE("R5C",'Riesgos de gestión'!$O$38),"")</f>
        <v/>
      </c>
      <c r="U40" s="69" t="str">
        <f>IF(AND('Riesgos de gestión'!$Y$39="Baja",'Riesgos de gestión'!$AA$39="Menor"),CONCATENATE("R5C",'Riesgos de gestión'!$O$39),"")</f>
        <v/>
      </c>
      <c r="V40" s="67" t="str">
        <f>IF(AND('Riesgos de gestión'!$Y$34="Baja",'Riesgos de gestión'!$AA$34="Moderado"),CONCATENATE("R5C",'Riesgos de gestión'!$O$34),"")</f>
        <v/>
      </c>
      <c r="W40" s="68" t="str">
        <f>IF(AND('Riesgos de gestión'!$Y$35="Baja",'Riesgos de gestión'!$AA$35="Moderado"),CONCATENATE("R5C",'Riesgos de gestión'!$O$35),"")</f>
        <v/>
      </c>
      <c r="X40" s="68" t="str">
        <f>IF(AND('Riesgos de gestión'!$Y$36="Baja",'Riesgos de gestión'!$AA$36="Moderado"),CONCATENATE("R5C",'Riesgos de gestión'!$O$36),"")</f>
        <v/>
      </c>
      <c r="Y40" s="68" t="str">
        <f>IF(AND('Riesgos de gestión'!$Y$37="Baja",'Riesgos de gestión'!$AA$37="Moderado"),CONCATENATE("R5C",'Riesgos de gestión'!$O$37),"")</f>
        <v/>
      </c>
      <c r="Z40" s="68" t="str">
        <f>IF(AND('Riesgos de gestión'!$Y$38="Baja",'Riesgos de gestión'!$AA$38="Moderado"),CONCATENATE("R5C",'Riesgos de gestión'!$O$38),"")</f>
        <v/>
      </c>
      <c r="AA40" s="69" t="str">
        <f>IF(AND('Riesgos de gestión'!$Y$39="Baja",'Riesgos de gestión'!$AA$39="Moderado"),CONCATENATE("R5C",'Riesgos de gestión'!$O$39),"")</f>
        <v/>
      </c>
      <c r="AB40" s="52" t="str">
        <f>IF(AND('Riesgos de gestión'!$Y$34="Baja",'Riesgos de gestión'!$AA$34="Mayor"),CONCATENATE("R5C",'Riesgos de gestión'!$O$34),"")</f>
        <v/>
      </c>
      <c r="AC40" s="53" t="str">
        <f>IF(AND('Riesgos de gestión'!$Y$35="Baja",'Riesgos de gestión'!$AA$35="Mayor"),CONCATENATE("R5C",'Riesgos de gestión'!$O$35),"")</f>
        <v/>
      </c>
      <c r="AD40" s="53" t="str">
        <f>IF(AND('Riesgos de gestión'!$Y$36="Baja",'Riesgos de gestión'!$AA$36="Mayor"),CONCATENATE("R5C",'Riesgos de gestión'!$O$36),"")</f>
        <v/>
      </c>
      <c r="AE40" s="53" t="str">
        <f>IF(AND('Riesgos de gestión'!$Y$37="Baja",'Riesgos de gestión'!$AA$37="Mayor"),CONCATENATE("R5C",'Riesgos de gestión'!$O$37),"")</f>
        <v/>
      </c>
      <c r="AF40" s="53" t="str">
        <f>IF(AND('Riesgos de gestión'!$Y$38="Baja",'Riesgos de gestión'!$AA$38="Mayor"),CONCATENATE("R5C",'Riesgos de gestión'!$O$38),"")</f>
        <v/>
      </c>
      <c r="AG40" s="54" t="str">
        <f>IF(AND('Riesgos de gestión'!$Y$39="Baja",'Riesgos de gestión'!$AA$39="Mayor"),CONCATENATE("R5C",'Riesgos de gestión'!$O$39),"")</f>
        <v/>
      </c>
      <c r="AH40" s="55" t="str">
        <f>IF(AND('Riesgos de gestión'!$Y$34="Baja",'Riesgos de gestión'!$AA$34="Catastrófico"),CONCATENATE("R5C",'Riesgos de gestión'!$O$34),"")</f>
        <v/>
      </c>
      <c r="AI40" s="56" t="str">
        <f>IF(AND('Riesgos de gestión'!$Y$35="Baja",'Riesgos de gestión'!$AA$35="Catastrófico"),CONCATENATE("R5C",'Riesgos de gestión'!$O$35),"")</f>
        <v/>
      </c>
      <c r="AJ40" s="56" t="str">
        <f>IF(AND('Riesgos de gestión'!$Y$36="Baja",'Riesgos de gestión'!$AA$36="Catastrófico"),CONCATENATE("R5C",'Riesgos de gestión'!$O$36),"")</f>
        <v/>
      </c>
      <c r="AK40" s="56" t="str">
        <f>IF(AND('Riesgos de gestión'!$Y$37="Baja",'Riesgos de gestión'!$AA$37="Catastrófico"),CONCATENATE("R5C",'Riesgos de gestión'!$O$37),"")</f>
        <v/>
      </c>
      <c r="AL40" s="56" t="str">
        <f>IF(AND('Riesgos de gestión'!$Y$38="Baja",'Riesgos de gestión'!$AA$38="Catastrófico"),CONCATENATE("R5C",'Riesgos de gestión'!$O$38),"")</f>
        <v/>
      </c>
      <c r="AM40" s="57" t="str">
        <f>IF(AND('Riesgos de gestión'!$Y$39="Baja",'Riesgos de gestión'!$AA$39="Catastrófico"),CONCATENATE("R5C",'Riesgos de gestión'!$O$39),"")</f>
        <v/>
      </c>
      <c r="AN40" s="83"/>
      <c r="AO40" s="1216"/>
      <c r="AP40" s="1217"/>
      <c r="AQ40" s="1217"/>
      <c r="AR40" s="1217"/>
      <c r="AS40" s="1217"/>
      <c r="AT40" s="1218"/>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row>
    <row r="41" spans="1:80" ht="15" customHeight="1" x14ac:dyDescent="0.25">
      <c r="A41" s="83"/>
      <c r="B41" s="1144"/>
      <c r="C41" s="1144"/>
      <c r="D41" s="1145"/>
      <c r="E41" s="1185"/>
      <c r="F41" s="1186"/>
      <c r="G41" s="1186"/>
      <c r="H41" s="1186"/>
      <c r="I41" s="1186"/>
      <c r="J41" s="76" t="str">
        <f>IF(AND('Riesgos de gestión'!$Y$40="Baja",'Riesgos de gestión'!$AA$40="Leve"),CONCATENATE("R6C",'Riesgos de gestión'!$O$40),"")</f>
        <v/>
      </c>
      <c r="K41" s="77" t="str">
        <f>IF(AND('Riesgos de gestión'!$Y$41="Baja",'Riesgos de gestión'!$AA$41="Leve"),CONCATENATE("R6C",'Riesgos de gestión'!$O$41),"")</f>
        <v/>
      </c>
      <c r="L41" s="77" t="str">
        <f>IF(AND('Riesgos de gestión'!$Y$42="Baja",'Riesgos de gestión'!$AA$42="Leve"),CONCATENATE("R6C",'Riesgos de gestión'!$O$42),"")</f>
        <v/>
      </c>
      <c r="M41" s="77" t="str">
        <f>IF(AND('Riesgos de gestión'!$Y$43="Baja",'Riesgos de gestión'!$AA$43="Leve"),CONCATENATE("R6C",'Riesgos de gestión'!$O$43),"")</f>
        <v/>
      </c>
      <c r="N41" s="77" t="str">
        <f>IF(AND('Riesgos de gestión'!$Y$44="Baja",'Riesgos de gestión'!$AA$44="Leve"),CONCATENATE("R6C",'Riesgos de gestión'!$O$44),"")</f>
        <v/>
      </c>
      <c r="O41" s="78" t="str">
        <f>IF(AND('Riesgos de gestión'!$Y$45="Baja",'Riesgos de gestión'!$AA$45="Leve"),CONCATENATE("R6C",'Riesgos de gestión'!$O$45),"")</f>
        <v/>
      </c>
      <c r="P41" s="67" t="str">
        <f>IF(AND('Riesgos de gestión'!$Y$40="Baja",'Riesgos de gestión'!$AA$40="Menor"),CONCATENATE("R6C",'Riesgos de gestión'!$O$40),"")</f>
        <v/>
      </c>
      <c r="Q41" s="68" t="str">
        <f>IF(AND('Riesgos de gestión'!$Y$41="Baja",'Riesgos de gestión'!$AA$41="Menor"),CONCATENATE("R6C",'Riesgos de gestión'!$O$41),"")</f>
        <v/>
      </c>
      <c r="R41" s="68" t="str">
        <f>IF(AND('Riesgos de gestión'!$Y$42="Baja",'Riesgos de gestión'!$AA$42="Menor"),CONCATENATE("R6C",'Riesgos de gestión'!$O$42),"")</f>
        <v/>
      </c>
      <c r="S41" s="68" t="str">
        <f>IF(AND('Riesgos de gestión'!$Y$43="Baja",'Riesgos de gestión'!$AA$43="Menor"),CONCATENATE("R6C",'Riesgos de gestión'!$O$43),"")</f>
        <v/>
      </c>
      <c r="T41" s="68" t="str">
        <f>IF(AND('Riesgos de gestión'!$Y$44="Baja",'Riesgos de gestión'!$AA$44="Menor"),CONCATENATE("R6C",'Riesgos de gestión'!$O$44),"")</f>
        <v/>
      </c>
      <c r="U41" s="69" t="str">
        <f>IF(AND('Riesgos de gestión'!$Y$45="Baja",'Riesgos de gestión'!$AA$45="Menor"),CONCATENATE("R6C",'Riesgos de gestión'!$O$45),"")</f>
        <v/>
      </c>
      <c r="V41" s="67" t="str">
        <f>IF(AND('Riesgos de gestión'!$Y$40="Baja",'Riesgos de gestión'!$AA$40="Moderado"),CONCATENATE("R6C",'Riesgos de gestión'!$O$40),"")</f>
        <v/>
      </c>
      <c r="W41" s="68" t="str">
        <f>IF(AND('Riesgos de gestión'!$Y$41="Baja",'Riesgos de gestión'!$AA$41="Moderado"),CONCATENATE("R6C",'Riesgos de gestión'!$O$41),"")</f>
        <v/>
      </c>
      <c r="X41" s="68" t="str">
        <f>IF(AND('Riesgos de gestión'!$Y$42="Baja",'Riesgos de gestión'!$AA$42="Moderado"),CONCATENATE("R6C",'Riesgos de gestión'!$O$42),"")</f>
        <v/>
      </c>
      <c r="Y41" s="68" t="str">
        <f>IF(AND('Riesgos de gestión'!$Y$43="Baja",'Riesgos de gestión'!$AA$43="Moderado"),CONCATENATE("R6C",'Riesgos de gestión'!$O$43),"")</f>
        <v/>
      </c>
      <c r="Z41" s="68" t="str">
        <f>IF(AND('Riesgos de gestión'!$Y$44="Baja",'Riesgos de gestión'!$AA$44="Moderado"),CONCATENATE("R6C",'Riesgos de gestión'!$O$44),"")</f>
        <v/>
      </c>
      <c r="AA41" s="69" t="str">
        <f>IF(AND('Riesgos de gestión'!$Y$45="Baja",'Riesgos de gestión'!$AA$45="Moderado"),CONCATENATE("R6C",'Riesgos de gestión'!$O$45),"")</f>
        <v/>
      </c>
      <c r="AB41" s="52" t="str">
        <f>IF(AND('Riesgos de gestión'!$Y$40="Baja",'Riesgos de gestión'!$AA$40="Mayor"),CONCATENATE("R6C",'Riesgos de gestión'!$O$40),"")</f>
        <v/>
      </c>
      <c r="AC41" s="53" t="str">
        <f>IF(AND('Riesgos de gestión'!$Y$41="Baja",'Riesgos de gestión'!$AA$41="Mayor"),CONCATENATE("R6C",'Riesgos de gestión'!$O$41),"")</f>
        <v/>
      </c>
      <c r="AD41" s="53" t="str">
        <f>IF(AND('Riesgos de gestión'!$Y$42="Baja",'Riesgos de gestión'!$AA$42="Mayor"),CONCATENATE("R6C",'Riesgos de gestión'!$O$42),"")</f>
        <v/>
      </c>
      <c r="AE41" s="53" t="str">
        <f>IF(AND('Riesgos de gestión'!$Y$43="Baja",'Riesgos de gestión'!$AA$43="Mayor"),CONCATENATE("R6C",'Riesgos de gestión'!$O$43),"")</f>
        <v/>
      </c>
      <c r="AF41" s="53" t="str">
        <f>IF(AND('Riesgos de gestión'!$Y$44="Baja",'Riesgos de gestión'!$AA$44="Mayor"),CONCATENATE("R6C",'Riesgos de gestión'!$O$44),"")</f>
        <v/>
      </c>
      <c r="AG41" s="54" t="str">
        <f>IF(AND('Riesgos de gestión'!$Y$45="Baja",'Riesgos de gestión'!$AA$45="Mayor"),CONCATENATE("R6C",'Riesgos de gestión'!$O$45),"")</f>
        <v/>
      </c>
      <c r="AH41" s="55" t="str">
        <f>IF(AND('Riesgos de gestión'!$Y$40="Baja",'Riesgos de gestión'!$AA$40="Catastrófico"),CONCATENATE("R6C",'Riesgos de gestión'!$O$40),"")</f>
        <v/>
      </c>
      <c r="AI41" s="56" t="str">
        <f>IF(AND('Riesgos de gestión'!$Y$41="Baja",'Riesgos de gestión'!$AA$41="Catastrófico"),CONCATENATE("R6C",'Riesgos de gestión'!$O$41),"")</f>
        <v/>
      </c>
      <c r="AJ41" s="56" t="str">
        <f>IF(AND('Riesgos de gestión'!$Y$42="Baja",'Riesgos de gestión'!$AA$42="Catastrófico"),CONCATENATE("R6C",'Riesgos de gestión'!$O$42),"")</f>
        <v/>
      </c>
      <c r="AK41" s="56" t="str">
        <f>IF(AND('Riesgos de gestión'!$Y$43="Baja",'Riesgos de gestión'!$AA$43="Catastrófico"),CONCATENATE("R6C",'Riesgos de gestión'!$O$43),"")</f>
        <v/>
      </c>
      <c r="AL41" s="56" t="str">
        <f>IF(AND('Riesgos de gestión'!$Y$44="Baja",'Riesgos de gestión'!$AA$44="Catastrófico"),CONCATENATE("R6C",'Riesgos de gestión'!$O$44),"")</f>
        <v/>
      </c>
      <c r="AM41" s="57" t="str">
        <f>IF(AND('Riesgos de gestión'!$Y$45="Baja",'Riesgos de gestión'!$AA$45="Catastrófico"),CONCATENATE("R6C",'Riesgos de gestión'!$O$45),"")</f>
        <v/>
      </c>
      <c r="AN41" s="83"/>
      <c r="AO41" s="1216"/>
      <c r="AP41" s="1217"/>
      <c r="AQ41" s="1217"/>
      <c r="AR41" s="1217"/>
      <c r="AS41" s="1217"/>
      <c r="AT41" s="1218"/>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row>
    <row r="42" spans="1:80" ht="15" customHeight="1" x14ac:dyDescent="0.25">
      <c r="A42" s="83"/>
      <c r="B42" s="1144"/>
      <c r="C42" s="1144"/>
      <c r="D42" s="1145"/>
      <c r="E42" s="1185"/>
      <c r="F42" s="1186"/>
      <c r="G42" s="1186"/>
      <c r="H42" s="1186"/>
      <c r="I42" s="1186"/>
      <c r="J42" s="76" t="str">
        <f>IF(AND('Riesgos de gestión'!$Y$46="Baja",'Riesgos de gestión'!$AA$46="Leve"),CONCATENATE("R7C",'Riesgos de gestión'!$O$46),"")</f>
        <v/>
      </c>
      <c r="K42" s="77" t="str">
        <f>IF(AND('Riesgos de gestión'!$Y$47="Baja",'Riesgos de gestión'!$AA$47="Leve"),CONCATENATE("R7C",'Riesgos de gestión'!$O$47),"")</f>
        <v/>
      </c>
      <c r="L42" s="77" t="str">
        <f>IF(AND('Riesgos de gestión'!$Y$48="Baja",'Riesgos de gestión'!$AA$48="Leve"),CONCATENATE("R7C",'Riesgos de gestión'!$O$48),"")</f>
        <v/>
      </c>
      <c r="M42" s="77" t="str">
        <f>IF(AND('Riesgos de gestión'!$Y$49="Baja",'Riesgos de gestión'!$AA$49="Leve"),CONCATENATE("R7C",'Riesgos de gestión'!$O$49),"")</f>
        <v/>
      </c>
      <c r="N42" s="77" t="str">
        <f>IF(AND('Riesgos de gestión'!$Y$50="Baja",'Riesgos de gestión'!$AA$50="Leve"),CONCATENATE("R7C",'Riesgos de gestión'!$O$50),"")</f>
        <v/>
      </c>
      <c r="O42" s="78" t="str">
        <f>IF(AND('Riesgos de gestión'!$Y$51="Baja",'Riesgos de gestión'!$AA$51="Leve"),CONCATENATE("R7C",'Riesgos de gestión'!$O$51),"")</f>
        <v/>
      </c>
      <c r="P42" s="67" t="str">
        <f>IF(AND('Riesgos de gestión'!$Y$46="Baja",'Riesgos de gestión'!$AA$46="Menor"),CONCATENATE("R7C",'Riesgos de gestión'!$O$46),"")</f>
        <v/>
      </c>
      <c r="Q42" s="68" t="str">
        <f>IF(AND('Riesgos de gestión'!$Y$47="Baja",'Riesgos de gestión'!$AA$47="Menor"),CONCATENATE("R7C",'Riesgos de gestión'!$O$47),"")</f>
        <v/>
      </c>
      <c r="R42" s="68" t="str">
        <f>IF(AND('Riesgos de gestión'!$Y$48="Baja",'Riesgos de gestión'!$AA$48="Menor"),CONCATENATE("R7C",'Riesgos de gestión'!$O$48),"")</f>
        <v/>
      </c>
      <c r="S42" s="68" t="str">
        <f>IF(AND('Riesgos de gestión'!$Y$49="Baja",'Riesgos de gestión'!$AA$49="Menor"),CONCATENATE("R7C",'Riesgos de gestión'!$O$49),"")</f>
        <v/>
      </c>
      <c r="T42" s="68" t="str">
        <f>IF(AND('Riesgos de gestión'!$Y$50="Baja",'Riesgos de gestión'!$AA$50="Menor"),CONCATENATE("R7C",'Riesgos de gestión'!$O$50),"")</f>
        <v/>
      </c>
      <c r="U42" s="69" t="str">
        <f>IF(AND('Riesgos de gestión'!$Y$51="Baja",'Riesgos de gestión'!$AA$51="Menor"),CONCATENATE("R7C",'Riesgos de gestión'!$O$51),"")</f>
        <v/>
      </c>
      <c r="V42" s="67" t="str">
        <f>IF(AND('Riesgos de gestión'!$Y$46="Baja",'Riesgos de gestión'!$AA$46="Moderado"),CONCATENATE("R7C",'Riesgos de gestión'!$O$46),"")</f>
        <v/>
      </c>
      <c r="W42" s="68" t="str">
        <f>IF(AND('Riesgos de gestión'!$Y$47="Baja",'Riesgos de gestión'!$AA$47="Moderado"),CONCATENATE("R7C",'Riesgos de gestión'!$O$47),"")</f>
        <v/>
      </c>
      <c r="X42" s="68" t="str">
        <f>IF(AND('Riesgos de gestión'!$Y$48="Baja",'Riesgos de gestión'!$AA$48="Moderado"),CONCATENATE("R7C",'Riesgos de gestión'!$O$48),"")</f>
        <v/>
      </c>
      <c r="Y42" s="68" t="str">
        <f>IF(AND('Riesgos de gestión'!$Y$49="Baja",'Riesgos de gestión'!$AA$49="Moderado"),CONCATENATE("R7C",'Riesgos de gestión'!$O$49),"")</f>
        <v/>
      </c>
      <c r="Z42" s="68" t="str">
        <f>IF(AND('Riesgos de gestión'!$Y$50="Baja",'Riesgos de gestión'!$AA$50="Moderado"),CONCATENATE("R7C",'Riesgos de gestión'!$O$50),"")</f>
        <v/>
      </c>
      <c r="AA42" s="69" t="str">
        <f>IF(AND('Riesgos de gestión'!$Y$51="Baja",'Riesgos de gestión'!$AA$51="Moderado"),CONCATENATE("R7C",'Riesgos de gestión'!$O$51),"")</f>
        <v/>
      </c>
      <c r="AB42" s="52" t="str">
        <f>IF(AND('Riesgos de gestión'!$Y$46="Baja",'Riesgos de gestión'!$AA$46="Mayor"),CONCATENATE("R7C",'Riesgos de gestión'!$O$46),"")</f>
        <v/>
      </c>
      <c r="AC42" s="53" t="str">
        <f>IF(AND('Riesgos de gestión'!$Y$47="Baja",'Riesgos de gestión'!$AA$47="Mayor"),CONCATENATE("R7C",'Riesgos de gestión'!$O$47),"")</f>
        <v/>
      </c>
      <c r="AD42" s="53" t="str">
        <f>IF(AND('Riesgos de gestión'!$Y$48="Baja",'Riesgos de gestión'!$AA$48="Mayor"),CONCATENATE("R7C",'Riesgos de gestión'!$O$48),"")</f>
        <v/>
      </c>
      <c r="AE42" s="53" t="str">
        <f>IF(AND('Riesgos de gestión'!$Y$49="Baja",'Riesgos de gestión'!$AA$49="Mayor"),CONCATENATE("R7C",'Riesgos de gestión'!$O$49),"")</f>
        <v/>
      </c>
      <c r="AF42" s="53" t="str">
        <f>IF(AND('Riesgos de gestión'!$Y$50="Baja",'Riesgos de gestión'!$AA$50="Mayor"),CONCATENATE("R7C",'Riesgos de gestión'!$O$50),"")</f>
        <v/>
      </c>
      <c r="AG42" s="54" t="str">
        <f>IF(AND('Riesgos de gestión'!$Y$51="Baja",'Riesgos de gestión'!$AA$51="Mayor"),CONCATENATE("R7C",'Riesgos de gestión'!$O$51),"")</f>
        <v/>
      </c>
      <c r="AH42" s="55" t="str">
        <f>IF(AND('Riesgos de gestión'!$Y$46="Baja",'Riesgos de gestión'!$AA$46="Catastrófico"),CONCATENATE("R7C",'Riesgos de gestión'!$O$46),"")</f>
        <v/>
      </c>
      <c r="AI42" s="56" t="str">
        <f>IF(AND('Riesgos de gestión'!$Y$47="Baja",'Riesgos de gestión'!$AA$47="Catastrófico"),CONCATENATE("R7C",'Riesgos de gestión'!$O$47),"")</f>
        <v/>
      </c>
      <c r="AJ42" s="56" t="str">
        <f>IF(AND('Riesgos de gestión'!$Y$48="Baja",'Riesgos de gestión'!$AA$48="Catastrófico"),CONCATENATE("R7C",'Riesgos de gestión'!$O$48),"")</f>
        <v/>
      </c>
      <c r="AK42" s="56" t="str">
        <f>IF(AND('Riesgos de gestión'!$Y$49="Baja",'Riesgos de gestión'!$AA$49="Catastrófico"),CONCATENATE("R7C",'Riesgos de gestión'!$O$49),"")</f>
        <v/>
      </c>
      <c r="AL42" s="56" t="str">
        <f>IF(AND('Riesgos de gestión'!$Y$50="Baja",'Riesgos de gestión'!$AA$50="Catastrófico"),CONCATENATE("R7C",'Riesgos de gestión'!$O$50),"")</f>
        <v/>
      </c>
      <c r="AM42" s="57" t="str">
        <f>IF(AND('Riesgos de gestión'!$Y$51="Baja",'Riesgos de gestión'!$AA$51="Catastrófico"),CONCATENATE("R7C",'Riesgos de gestión'!$O$51),"")</f>
        <v/>
      </c>
      <c r="AN42" s="83"/>
      <c r="AO42" s="1216"/>
      <c r="AP42" s="1217"/>
      <c r="AQ42" s="1217"/>
      <c r="AR42" s="1217"/>
      <c r="AS42" s="1217"/>
      <c r="AT42" s="1218"/>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row>
    <row r="43" spans="1:80" ht="15" customHeight="1" x14ac:dyDescent="0.25">
      <c r="A43" s="83"/>
      <c r="B43" s="1144"/>
      <c r="C43" s="1144"/>
      <c r="D43" s="1145"/>
      <c r="E43" s="1185"/>
      <c r="F43" s="1186"/>
      <c r="G43" s="1186"/>
      <c r="H43" s="1186"/>
      <c r="I43" s="1186"/>
      <c r="J43" s="76" t="str">
        <f>IF(AND('Riesgos de gestión'!$Y$52="Baja",'Riesgos de gestión'!$AA$52="Leve"),CONCATENATE("R8C",'Riesgos de gestión'!$O$52),"")</f>
        <v/>
      </c>
      <c r="K43" s="77" t="str">
        <f>IF(AND('Riesgos de gestión'!$Y$53="Baja",'Riesgos de gestión'!$AA$53="Leve"),CONCATENATE("R8C",'Riesgos de gestión'!$O$53),"")</f>
        <v/>
      </c>
      <c r="L43" s="77" t="str">
        <f>IF(AND('Riesgos de gestión'!$Y$54="Baja",'Riesgos de gestión'!$AA$54="Leve"),CONCATENATE("R8C",'Riesgos de gestión'!$O$54),"")</f>
        <v/>
      </c>
      <c r="M43" s="77" t="str">
        <f>IF(AND('Riesgos de gestión'!$Y$55="Baja",'Riesgos de gestión'!$AA$55="Leve"),CONCATENATE("R8C",'Riesgos de gestión'!$O$55),"")</f>
        <v/>
      </c>
      <c r="N43" s="77" t="str">
        <f>IF(AND('Riesgos de gestión'!$Y$56="Baja",'Riesgos de gestión'!$AA$56="Leve"),CONCATENATE("R8C",'Riesgos de gestión'!$O$56),"")</f>
        <v/>
      </c>
      <c r="O43" s="78" t="str">
        <f>IF(AND('Riesgos de gestión'!$Y$57="Baja",'Riesgos de gestión'!$AA$57="Leve"),CONCATENATE("R8C",'Riesgos de gestión'!$O$57),"")</f>
        <v/>
      </c>
      <c r="P43" s="67" t="str">
        <f>IF(AND('Riesgos de gestión'!$Y$52="Baja",'Riesgos de gestión'!$AA$52="Menor"),CONCATENATE("R8C",'Riesgos de gestión'!$O$52),"")</f>
        <v/>
      </c>
      <c r="Q43" s="68" t="str">
        <f>IF(AND('Riesgos de gestión'!$Y$53="Baja",'Riesgos de gestión'!$AA$53="Menor"),CONCATENATE("R8C",'Riesgos de gestión'!$O$53),"")</f>
        <v/>
      </c>
      <c r="R43" s="68" t="str">
        <f>IF(AND('Riesgos de gestión'!$Y$54="Baja",'Riesgos de gestión'!$AA$54="Menor"),CONCATENATE("R8C",'Riesgos de gestión'!$O$54),"")</f>
        <v/>
      </c>
      <c r="S43" s="68" t="str">
        <f>IF(AND('Riesgos de gestión'!$Y$55="Baja",'Riesgos de gestión'!$AA$55="Menor"),CONCATENATE("R8C",'Riesgos de gestión'!$O$55),"")</f>
        <v/>
      </c>
      <c r="T43" s="68" t="str">
        <f>IF(AND('Riesgos de gestión'!$Y$56="Baja",'Riesgos de gestión'!$AA$56="Menor"),CONCATENATE("R8C",'Riesgos de gestión'!$O$56),"")</f>
        <v/>
      </c>
      <c r="U43" s="69" t="str">
        <f>IF(AND('Riesgos de gestión'!$Y$57="Baja",'Riesgos de gestión'!$AA$57="Menor"),CONCATENATE("R8C",'Riesgos de gestión'!$O$57),"")</f>
        <v/>
      </c>
      <c r="V43" s="67" t="str">
        <f>IF(AND('Riesgos de gestión'!$Y$52="Baja",'Riesgos de gestión'!$AA$52="Moderado"),CONCATENATE("R8C",'Riesgos de gestión'!$O$52),"")</f>
        <v/>
      </c>
      <c r="W43" s="68" t="str">
        <f>IF(AND('Riesgos de gestión'!$Y$53="Baja",'Riesgos de gestión'!$AA$53="Moderado"),CONCATENATE("R8C",'Riesgos de gestión'!$O$53),"")</f>
        <v/>
      </c>
      <c r="X43" s="68" t="str">
        <f>IF(AND('Riesgos de gestión'!$Y$54="Baja",'Riesgos de gestión'!$AA$54="Moderado"),CONCATENATE("R8C",'Riesgos de gestión'!$O$54),"")</f>
        <v/>
      </c>
      <c r="Y43" s="68" t="str">
        <f>IF(AND('Riesgos de gestión'!$Y$55="Baja",'Riesgos de gestión'!$AA$55="Moderado"),CONCATENATE("R8C",'Riesgos de gestión'!$O$55),"")</f>
        <v/>
      </c>
      <c r="Z43" s="68" t="str">
        <f>IF(AND('Riesgos de gestión'!$Y$56="Baja",'Riesgos de gestión'!$AA$56="Moderado"),CONCATENATE("R8C",'Riesgos de gestión'!$O$56),"")</f>
        <v/>
      </c>
      <c r="AA43" s="69" t="str">
        <f>IF(AND('Riesgos de gestión'!$Y$57="Baja",'Riesgos de gestión'!$AA$57="Moderado"),CONCATENATE("R8C",'Riesgos de gestión'!$O$57),"")</f>
        <v/>
      </c>
      <c r="AB43" s="52" t="str">
        <f>IF(AND('Riesgos de gestión'!$Y$52="Baja",'Riesgos de gestión'!$AA$52="Mayor"),CONCATENATE("R8C",'Riesgos de gestión'!$O$52),"")</f>
        <v/>
      </c>
      <c r="AC43" s="53" t="str">
        <f>IF(AND('Riesgos de gestión'!$Y$53="Baja",'Riesgos de gestión'!$AA$53="Mayor"),CONCATENATE("R8C",'Riesgos de gestión'!$O$53),"")</f>
        <v/>
      </c>
      <c r="AD43" s="53" t="str">
        <f>IF(AND('Riesgos de gestión'!$Y$54="Baja",'Riesgos de gestión'!$AA$54="Mayor"),CONCATENATE("R8C",'Riesgos de gestión'!$O$54),"")</f>
        <v/>
      </c>
      <c r="AE43" s="53" t="str">
        <f>IF(AND('Riesgos de gestión'!$Y$55="Baja",'Riesgos de gestión'!$AA$55="Mayor"),CONCATENATE("R8C",'Riesgos de gestión'!$O$55),"")</f>
        <v/>
      </c>
      <c r="AF43" s="53" t="str">
        <f>IF(AND('Riesgos de gestión'!$Y$56="Baja",'Riesgos de gestión'!$AA$56="Mayor"),CONCATENATE("R8C",'Riesgos de gestión'!$O$56),"")</f>
        <v/>
      </c>
      <c r="AG43" s="54" t="str">
        <f>IF(AND('Riesgos de gestión'!$Y$57="Baja",'Riesgos de gestión'!$AA$57="Mayor"),CONCATENATE("R8C",'Riesgos de gestión'!$O$57),"")</f>
        <v/>
      </c>
      <c r="AH43" s="55" t="str">
        <f>IF(AND('Riesgos de gestión'!$Y$52="Baja",'Riesgos de gestión'!$AA$52="Catastrófico"),CONCATENATE("R8C",'Riesgos de gestión'!$O$52),"")</f>
        <v/>
      </c>
      <c r="AI43" s="56" t="str">
        <f>IF(AND('Riesgos de gestión'!$Y$53="Baja",'Riesgos de gestión'!$AA$53="Catastrófico"),CONCATENATE("R8C",'Riesgos de gestión'!$O$53),"")</f>
        <v/>
      </c>
      <c r="AJ43" s="56" t="str">
        <f>IF(AND('Riesgos de gestión'!$Y$54="Baja",'Riesgos de gestión'!$AA$54="Catastrófico"),CONCATENATE("R8C",'Riesgos de gestión'!$O$54),"")</f>
        <v/>
      </c>
      <c r="AK43" s="56" t="str">
        <f>IF(AND('Riesgos de gestión'!$Y$55="Baja",'Riesgos de gestión'!$AA$55="Catastrófico"),CONCATENATE("R8C",'Riesgos de gestión'!$O$55),"")</f>
        <v/>
      </c>
      <c r="AL43" s="56" t="str">
        <f>IF(AND('Riesgos de gestión'!$Y$56="Baja",'Riesgos de gestión'!$AA$56="Catastrófico"),CONCATENATE("R8C",'Riesgos de gestión'!$O$56),"")</f>
        <v/>
      </c>
      <c r="AM43" s="57" t="str">
        <f>IF(AND('Riesgos de gestión'!$Y$57="Baja",'Riesgos de gestión'!$AA$57="Catastrófico"),CONCATENATE("R8C",'Riesgos de gestión'!$O$57),"")</f>
        <v/>
      </c>
      <c r="AN43" s="83"/>
      <c r="AO43" s="1216"/>
      <c r="AP43" s="1217"/>
      <c r="AQ43" s="1217"/>
      <c r="AR43" s="1217"/>
      <c r="AS43" s="1217"/>
      <c r="AT43" s="1218"/>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row>
    <row r="44" spans="1:80" ht="15" customHeight="1" x14ac:dyDescent="0.25">
      <c r="A44" s="83"/>
      <c r="B44" s="1144"/>
      <c r="C44" s="1144"/>
      <c r="D44" s="1145"/>
      <c r="E44" s="1185"/>
      <c r="F44" s="1186"/>
      <c r="G44" s="1186"/>
      <c r="H44" s="1186"/>
      <c r="I44" s="1186"/>
      <c r="J44" s="76" t="str">
        <f>IF(AND('Riesgos de gestión'!$Y$58="Baja",'Riesgos de gestión'!$AA$58="Leve"),CONCATENATE("R9C",'Riesgos de gestión'!$O$58),"")</f>
        <v/>
      </c>
      <c r="K44" s="77" t="str">
        <f>IF(AND('Riesgos de gestión'!$Y$59="Baja",'Riesgos de gestión'!$AA$59="Leve"),CONCATENATE("R9C",'Riesgos de gestión'!$O$59),"")</f>
        <v/>
      </c>
      <c r="L44" s="77" t="str">
        <f>IF(AND('Riesgos de gestión'!$Y$60="Baja",'Riesgos de gestión'!$AA$60="Leve"),CONCATENATE("R9C",'Riesgos de gestión'!$O$60),"")</f>
        <v/>
      </c>
      <c r="M44" s="77" t="str">
        <f>IF(AND('Riesgos de gestión'!$Y$61="Baja",'Riesgos de gestión'!$AA$61="Leve"),CONCATENATE("R9C",'Riesgos de gestión'!$O$61),"")</f>
        <v/>
      </c>
      <c r="N44" s="77" t="str">
        <f>IF(AND('Riesgos de gestión'!$Y$62="Baja",'Riesgos de gestión'!$AA$62="Leve"),CONCATENATE("R9C",'Riesgos de gestión'!$O$62),"")</f>
        <v/>
      </c>
      <c r="O44" s="78" t="str">
        <f>IF(AND('Riesgos de gestión'!$Y$63="Baja",'Riesgos de gestión'!$AA$63="Leve"),CONCATENATE("R9C",'Riesgos de gestión'!$O$63),"")</f>
        <v/>
      </c>
      <c r="P44" s="67" t="str">
        <f>IF(AND('Riesgos de gestión'!$Y$58="Baja",'Riesgos de gestión'!$AA$58="Menor"),CONCATENATE("R9C",'Riesgos de gestión'!$O$58),"")</f>
        <v/>
      </c>
      <c r="Q44" s="68" t="str">
        <f>IF(AND('Riesgos de gestión'!$Y$59="Baja",'Riesgos de gestión'!$AA$59="Menor"),CONCATENATE("R9C",'Riesgos de gestión'!$O$59),"")</f>
        <v/>
      </c>
      <c r="R44" s="68" t="str">
        <f>IF(AND('Riesgos de gestión'!$Y$60="Baja",'Riesgos de gestión'!$AA$60="Menor"),CONCATENATE("R9C",'Riesgos de gestión'!$O$60),"")</f>
        <v/>
      </c>
      <c r="S44" s="68" t="str">
        <f>IF(AND('Riesgos de gestión'!$Y$61="Baja",'Riesgos de gestión'!$AA$61="Menor"),CONCATENATE("R9C",'Riesgos de gestión'!$O$61),"")</f>
        <v/>
      </c>
      <c r="T44" s="68" t="str">
        <f>IF(AND('Riesgos de gestión'!$Y$62="Baja",'Riesgos de gestión'!$AA$62="Menor"),CONCATENATE("R9C",'Riesgos de gestión'!$O$62),"")</f>
        <v/>
      </c>
      <c r="U44" s="69" t="str">
        <f>IF(AND('Riesgos de gestión'!$Y$63="Baja",'Riesgos de gestión'!$AA$63="Menor"),CONCATENATE("R9C",'Riesgos de gestión'!$O$63),"")</f>
        <v/>
      </c>
      <c r="V44" s="67" t="str">
        <f>IF(AND('Riesgos de gestión'!$Y$58="Baja",'Riesgos de gestión'!$AA$58="Moderado"),CONCATENATE("R9C",'Riesgos de gestión'!$O$58),"")</f>
        <v/>
      </c>
      <c r="W44" s="68" t="str">
        <f>IF(AND('Riesgos de gestión'!$Y$59="Baja",'Riesgos de gestión'!$AA$59="Moderado"),CONCATENATE("R9C",'Riesgos de gestión'!$O$59),"")</f>
        <v/>
      </c>
      <c r="X44" s="68" t="str">
        <f>IF(AND('Riesgos de gestión'!$Y$60="Baja",'Riesgos de gestión'!$AA$60="Moderado"),CONCATENATE("R9C",'Riesgos de gestión'!$O$60),"")</f>
        <v/>
      </c>
      <c r="Y44" s="68" t="str">
        <f>IF(AND('Riesgos de gestión'!$Y$61="Baja",'Riesgos de gestión'!$AA$61="Moderado"),CONCATENATE("R9C",'Riesgos de gestión'!$O$61),"")</f>
        <v/>
      </c>
      <c r="Z44" s="68" t="str">
        <f>IF(AND('Riesgos de gestión'!$Y$62="Baja",'Riesgos de gestión'!$AA$62="Moderado"),CONCATENATE("R9C",'Riesgos de gestión'!$O$62),"")</f>
        <v/>
      </c>
      <c r="AA44" s="69" t="str">
        <f>IF(AND('Riesgos de gestión'!$Y$63="Baja",'Riesgos de gestión'!$AA$63="Moderado"),CONCATENATE("R9C",'Riesgos de gestión'!$O$63),"")</f>
        <v/>
      </c>
      <c r="AB44" s="52" t="str">
        <f>IF(AND('Riesgos de gestión'!$Y$58="Baja",'Riesgos de gestión'!$AA$58="Mayor"),CONCATENATE("R9C",'Riesgos de gestión'!$O$58),"")</f>
        <v/>
      </c>
      <c r="AC44" s="53" t="str">
        <f>IF(AND('Riesgos de gestión'!$Y$59="Baja",'Riesgos de gestión'!$AA$59="Mayor"),CONCATENATE("R9C",'Riesgos de gestión'!$O$59),"")</f>
        <v/>
      </c>
      <c r="AD44" s="53" t="str">
        <f>IF(AND('Riesgos de gestión'!$Y$60="Baja",'Riesgos de gestión'!$AA$60="Mayor"),CONCATENATE("R9C",'Riesgos de gestión'!$O$60),"")</f>
        <v/>
      </c>
      <c r="AE44" s="53" t="str">
        <f>IF(AND('Riesgos de gestión'!$Y$61="Baja",'Riesgos de gestión'!$AA$61="Mayor"),CONCATENATE("R9C",'Riesgos de gestión'!$O$61),"")</f>
        <v/>
      </c>
      <c r="AF44" s="53" t="str">
        <f>IF(AND('Riesgos de gestión'!$Y$62="Baja",'Riesgos de gestión'!$AA$62="Mayor"),CONCATENATE("R9C",'Riesgos de gestión'!$O$62),"")</f>
        <v/>
      </c>
      <c r="AG44" s="54" t="str">
        <f>IF(AND('Riesgos de gestión'!$Y$63="Baja",'Riesgos de gestión'!$AA$63="Mayor"),CONCATENATE("R9C",'Riesgos de gestión'!$O$63),"")</f>
        <v/>
      </c>
      <c r="AH44" s="55" t="str">
        <f>IF(AND('Riesgos de gestión'!$Y$58="Baja",'Riesgos de gestión'!$AA$58="Catastrófico"),CONCATENATE("R9C",'Riesgos de gestión'!$O$58),"")</f>
        <v/>
      </c>
      <c r="AI44" s="56" t="str">
        <f>IF(AND('Riesgos de gestión'!$Y$59="Baja",'Riesgos de gestión'!$AA$59="Catastrófico"),CONCATENATE("R9C",'Riesgos de gestión'!$O$59),"")</f>
        <v/>
      </c>
      <c r="AJ44" s="56" t="str">
        <f>IF(AND('Riesgos de gestión'!$Y$60="Baja",'Riesgos de gestión'!$AA$60="Catastrófico"),CONCATENATE("R9C",'Riesgos de gestión'!$O$60),"")</f>
        <v/>
      </c>
      <c r="AK44" s="56" t="str">
        <f>IF(AND('Riesgos de gestión'!$Y$61="Baja",'Riesgos de gestión'!$AA$61="Catastrófico"),CONCATENATE("R9C",'Riesgos de gestión'!$O$61),"")</f>
        <v/>
      </c>
      <c r="AL44" s="56" t="str">
        <f>IF(AND('Riesgos de gestión'!$Y$62="Baja",'Riesgos de gestión'!$AA$62="Catastrófico"),CONCATENATE("R9C",'Riesgos de gestión'!$O$62),"")</f>
        <v/>
      </c>
      <c r="AM44" s="57" t="str">
        <f>IF(AND('Riesgos de gestión'!$Y$63="Baja",'Riesgos de gestión'!$AA$63="Catastrófico"),CONCATENATE("R9C",'Riesgos de gestión'!$O$63),"")</f>
        <v/>
      </c>
      <c r="AN44" s="83"/>
      <c r="AO44" s="1216"/>
      <c r="AP44" s="1217"/>
      <c r="AQ44" s="1217"/>
      <c r="AR44" s="1217"/>
      <c r="AS44" s="1217"/>
      <c r="AT44" s="1218"/>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row>
    <row r="45" spans="1:80" ht="15.75" customHeight="1" thickBot="1" x14ac:dyDescent="0.3">
      <c r="A45" s="83"/>
      <c r="B45" s="1144"/>
      <c r="C45" s="1144"/>
      <c r="D45" s="1145"/>
      <c r="E45" s="1188"/>
      <c r="F45" s="1189"/>
      <c r="G45" s="1189"/>
      <c r="H45" s="1189"/>
      <c r="I45" s="1189"/>
      <c r="J45" s="79" t="str">
        <f>IF(AND('Riesgos de gestión'!$Y$64="Baja",'Riesgos de gestión'!$AA$64="Leve"),CONCATENATE("R10C",'Riesgos de gestión'!$O$64),"")</f>
        <v/>
      </c>
      <c r="K45" s="80" t="str">
        <f>IF(AND('Riesgos de gestión'!$Y$65="Baja",'Riesgos de gestión'!$AA$65="Leve"),CONCATENATE("R10C",'Riesgos de gestión'!$O$65),"")</f>
        <v/>
      </c>
      <c r="L45" s="80" t="str">
        <f>IF(AND('Riesgos de gestión'!$Y$66="Baja",'Riesgos de gestión'!$AA$66="Leve"),CONCATENATE("R10C",'Riesgos de gestión'!$O$66),"")</f>
        <v/>
      </c>
      <c r="M45" s="80" t="str">
        <f>IF(AND('Riesgos de gestión'!$Y$67="Baja",'Riesgos de gestión'!$AA$67="Leve"),CONCATENATE("R10C",'Riesgos de gestión'!$O$67),"")</f>
        <v/>
      </c>
      <c r="N45" s="80" t="str">
        <f>IF(AND('Riesgos de gestión'!$Y$68="Baja",'Riesgos de gestión'!$AA$68="Leve"),CONCATENATE("R10C",'Riesgos de gestión'!$O$68),"")</f>
        <v/>
      </c>
      <c r="O45" s="81" t="str">
        <f>IF(AND('Riesgos de gestión'!$Y$69="Baja",'Riesgos de gestión'!$AA$69="Leve"),CONCATENATE("R10C",'Riesgos de gestión'!$O$69),"")</f>
        <v/>
      </c>
      <c r="P45" s="67" t="str">
        <f>IF(AND('Riesgos de gestión'!$Y$64="Baja",'Riesgos de gestión'!$AA$64="Menor"),CONCATENATE("R10C",'Riesgos de gestión'!$O$64),"")</f>
        <v/>
      </c>
      <c r="Q45" s="68" t="str">
        <f>IF(AND('Riesgos de gestión'!$Y$65="Baja",'Riesgos de gestión'!$AA$65="Menor"),CONCATENATE("R10C",'Riesgos de gestión'!$O$65),"")</f>
        <v/>
      </c>
      <c r="R45" s="68" t="str">
        <f>IF(AND('Riesgos de gestión'!$Y$66="Baja",'Riesgos de gestión'!$AA$66="Menor"),CONCATENATE("R10C",'Riesgos de gestión'!$O$66),"")</f>
        <v/>
      </c>
      <c r="S45" s="68" t="str">
        <f>IF(AND('Riesgos de gestión'!$Y$67="Baja",'Riesgos de gestión'!$AA$67="Menor"),CONCATENATE("R10C",'Riesgos de gestión'!$O$67),"")</f>
        <v/>
      </c>
      <c r="T45" s="68" t="str">
        <f>IF(AND('Riesgos de gestión'!$Y$68="Baja",'Riesgos de gestión'!$AA$68="Menor"),CONCATENATE("R10C",'Riesgos de gestión'!$O$68),"")</f>
        <v/>
      </c>
      <c r="U45" s="69" t="str">
        <f>IF(AND('Riesgos de gestión'!$Y$69="Baja",'Riesgos de gestión'!$AA$69="Menor"),CONCATENATE("R10C",'Riesgos de gestión'!$O$69),"")</f>
        <v/>
      </c>
      <c r="V45" s="70" t="str">
        <f>IF(AND('Riesgos de gestión'!$Y$64="Baja",'Riesgos de gestión'!$AA$64="Moderado"),CONCATENATE("R10C",'Riesgos de gestión'!$O$64),"")</f>
        <v/>
      </c>
      <c r="W45" s="71" t="str">
        <f>IF(AND('Riesgos de gestión'!$Y$65="Baja",'Riesgos de gestión'!$AA$65="Moderado"),CONCATENATE("R10C",'Riesgos de gestión'!$O$65),"")</f>
        <v/>
      </c>
      <c r="X45" s="71" t="str">
        <f>IF(AND('Riesgos de gestión'!$Y$66="Baja",'Riesgos de gestión'!$AA$66="Moderado"),CONCATENATE("R10C",'Riesgos de gestión'!$O$66),"")</f>
        <v/>
      </c>
      <c r="Y45" s="71" t="str">
        <f>IF(AND('Riesgos de gestión'!$Y$67="Baja",'Riesgos de gestión'!$AA$67="Moderado"),CONCATENATE("R10C",'Riesgos de gestión'!$O$67),"")</f>
        <v/>
      </c>
      <c r="Z45" s="71" t="str">
        <f>IF(AND('Riesgos de gestión'!$Y$68="Baja",'Riesgos de gestión'!$AA$68="Moderado"),CONCATENATE("R10C",'Riesgos de gestión'!$O$68),"")</f>
        <v/>
      </c>
      <c r="AA45" s="72" t="str">
        <f>IF(AND('Riesgos de gestión'!$Y$69="Baja",'Riesgos de gestión'!$AA$69="Moderado"),CONCATENATE("R10C",'Riesgos de gestión'!$O$69),"")</f>
        <v/>
      </c>
      <c r="AB45" s="58" t="str">
        <f>IF(AND('Riesgos de gestión'!$Y$64="Baja",'Riesgos de gestión'!$AA$64="Mayor"),CONCATENATE("R10C",'Riesgos de gestión'!$O$64),"")</f>
        <v/>
      </c>
      <c r="AC45" s="59" t="str">
        <f>IF(AND('Riesgos de gestión'!$Y$65="Baja",'Riesgos de gestión'!$AA$65="Mayor"),CONCATENATE("R10C",'Riesgos de gestión'!$O$65),"")</f>
        <v/>
      </c>
      <c r="AD45" s="59" t="str">
        <f>IF(AND('Riesgos de gestión'!$Y$66="Baja",'Riesgos de gestión'!$AA$66="Mayor"),CONCATENATE("R10C",'Riesgos de gestión'!$O$66),"")</f>
        <v/>
      </c>
      <c r="AE45" s="59" t="str">
        <f>IF(AND('Riesgos de gestión'!$Y$67="Baja",'Riesgos de gestión'!$AA$67="Mayor"),CONCATENATE("R10C",'Riesgos de gestión'!$O$67),"")</f>
        <v/>
      </c>
      <c r="AF45" s="59" t="str">
        <f>IF(AND('Riesgos de gestión'!$Y$68="Baja",'Riesgos de gestión'!$AA$68="Mayor"),CONCATENATE("R10C",'Riesgos de gestión'!$O$68),"")</f>
        <v/>
      </c>
      <c r="AG45" s="60" t="str">
        <f>IF(AND('Riesgos de gestión'!$Y$69="Baja",'Riesgos de gestión'!$AA$69="Mayor"),CONCATENATE("R10C",'Riesgos de gestión'!$O$69),"")</f>
        <v/>
      </c>
      <c r="AH45" s="61" t="str">
        <f>IF(AND('Riesgos de gestión'!$Y$64="Baja",'Riesgos de gestión'!$AA$64="Catastrófico"),CONCATENATE("R10C",'Riesgos de gestión'!$O$64),"")</f>
        <v/>
      </c>
      <c r="AI45" s="62" t="str">
        <f>IF(AND('Riesgos de gestión'!$Y$65="Baja",'Riesgos de gestión'!$AA$65="Catastrófico"),CONCATENATE("R10C",'Riesgos de gestión'!$O$65),"")</f>
        <v/>
      </c>
      <c r="AJ45" s="62" t="str">
        <f>IF(AND('Riesgos de gestión'!$Y$66="Baja",'Riesgos de gestión'!$AA$66="Catastrófico"),CONCATENATE("R10C",'Riesgos de gestión'!$O$66),"")</f>
        <v/>
      </c>
      <c r="AK45" s="62" t="str">
        <f>IF(AND('Riesgos de gestión'!$Y$67="Baja",'Riesgos de gestión'!$AA$67="Catastrófico"),CONCATENATE("R10C",'Riesgos de gestión'!$O$67),"")</f>
        <v/>
      </c>
      <c r="AL45" s="62" t="str">
        <f>IF(AND('Riesgos de gestión'!$Y$68="Baja",'Riesgos de gestión'!$AA$68="Catastrófico"),CONCATENATE("R10C",'Riesgos de gestión'!$O$68),"")</f>
        <v/>
      </c>
      <c r="AM45" s="63" t="str">
        <f>IF(AND('Riesgos de gestión'!$Y$69="Baja",'Riesgos de gestión'!$AA$69="Catastrófico"),CONCATENATE("R10C",'Riesgos de gestión'!$O$69),"")</f>
        <v/>
      </c>
      <c r="AN45" s="83"/>
      <c r="AO45" s="1219"/>
      <c r="AP45" s="1220"/>
      <c r="AQ45" s="1220"/>
      <c r="AR45" s="1220"/>
      <c r="AS45" s="1220"/>
      <c r="AT45" s="1221"/>
    </row>
    <row r="46" spans="1:80" ht="46.5" customHeight="1" x14ac:dyDescent="0.35">
      <c r="A46" s="83"/>
      <c r="B46" s="1144"/>
      <c r="C46" s="1144"/>
      <c r="D46" s="1145"/>
      <c r="E46" s="1182" t="s">
        <v>113</v>
      </c>
      <c r="F46" s="1183"/>
      <c r="G46" s="1183"/>
      <c r="H46" s="1183"/>
      <c r="I46" s="1184"/>
      <c r="J46" s="73" t="str">
        <f ca="1">IF(AND('Riesgos de gestión'!$Y$10="Muy Baja",'Riesgos de gestión'!$AA$10="Leve"),CONCATENATE("R1C",'Riesgos de gestión'!$O$10),"")</f>
        <v/>
      </c>
      <c r="K46" s="74" t="str">
        <f>IF(AND('Riesgos de gestión'!$Y$11="Muy Baja",'Riesgos de gestión'!$AA$11="Leve"),CONCATENATE("R1C",'Riesgos de gestión'!$O$11),"")</f>
        <v/>
      </c>
      <c r="L46" s="74" t="str">
        <f>IF(AND('Riesgos de gestión'!$Y$12="Muy Baja",'Riesgos de gestión'!$AA$12="Leve"),CONCATENATE("R1C",'Riesgos de gestión'!$O$12),"")</f>
        <v/>
      </c>
      <c r="M46" s="74" t="str">
        <f>IF(AND('Riesgos de gestión'!$Y$13="Muy Baja",'Riesgos de gestión'!$AA$13="Leve"),CONCATENATE("R1C",'Riesgos de gestión'!$O$13),"")</f>
        <v/>
      </c>
      <c r="N46" s="74" t="str">
        <f>IF(AND('Riesgos de gestión'!$Y$14="Muy Baja",'Riesgos de gestión'!$AA$14="Leve"),CONCATENATE("R1C",'Riesgos de gestión'!$O$14),"")</f>
        <v/>
      </c>
      <c r="O46" s="75" t="str">
        <f>IF(AND('Riesgos de gestión'!$Y$15="Muy Baja",'Riesgos de gestión'!$AA$15="Leve"),CONCATENATE("R1C",'Riesgos de gestión'!$O$15),"")</f>
        <v/>
      </c>
      <c r="P46" s="73" t="str">
        <f ca="1">IF(AND('Riesgos de gestión'!$Y$10="Muy Baja",'Riesgos de gestión'!$AA$10="Menor"),CONCATENATE("R1C",'Riesgos de gestión'!$O$10),"")</f>
        <v/>
      </c>
      <c r="Q46" s="74" t="str">
        <f>IF(AND('Riesgos de gestión'!$Y$11="Muy Baja",'Riesgos de gestión'!$AA$11="Menor"),CONCATENATE("R1C",'Riesgos de gestión'!$O$11),"")</f>
        <v/>
      </c>
      <c r="R46" s="74" t="str">
        <f>IF(AND('Riesgos de gestión'!$Y$12="Muy Baja",'Riesgos de gestión'!$AA$12="Menor"),CONCATENATE("R1C",'Riesgos de gestión'!$O$12),"")</f>
        <v/>
      </c>
      <c r="S46" s="74" t="str">
        <f>IF(AND('Riesgos de gestión'!$Y$13="Muy Baja",'Riesgos de gestión'!$AA$13="Menor"),CONCATENATE("R1C",'Riesgos de gestión'!$O$13),"")</f>
        <v/>
      </c>
      <c r="T46" s="74" t="str">
        <f>IF(AND('Riesgos de gestión'!$Y$14="Muy Baja",'Riesgos de gestión'!$AA$14="Menor"),CONCATENATE("R1C",'Riesgos de gestión'!$O$14),"")</f>
        <v/>
      </c>
      <c r="U46" s="75" t="str">
        <f>IF(AND('Riesgos de gestión'!$Y$15="Muy Baja",'Riesgos de gestión'!$AA$15="Menor"),CONCATENATE("R1C",'Riesgos de gestión'!$O$15),"")</f>
        <v/>
      </c>
      <c r="V46" s="64" t="str">
        <f ca="1">IF(AND('Riesgos de gestión'!$Y$10="Muy Baja",'Riesgos de gestión'!$AA$10="Moderado"),CONCATENATE("R1C",'Riesgos de gestión'!$O$10),"")</f>
        <v/>
      </c>
      <c r="W46" s="82" t="str">
        <f>IF(AND('Riesgos de gestión'!$Y$11="Muy Baja",'Riesgos de gestión'!$AA$11="Moderado"),CONCATENATE("R1C",'Riesgos de gestión'!$O$11),"")</f>
        <v/>
      </c>
      <c r="X46" s="65" t="str">
        <f>IF(AND('Riesgos de gestión'!$Y$12="Muy Baja",'Riesgos de gestión'!$AA$12="Moderado"),CONCATENATE("R1C",'Riesgos de gestión'!$O$12),"")</f>
        <v/>
      </c>
      <c r="Y46" s="65" t="str">
        <f>IF(AND('Riesgos de gestión'!$Y$13="Muy Baja",'Riesgos de gestión'!$AA$13="Moderado"),CONCATENATE("R1C",'Riesgos de gestión'!$O$13),"")</f>
        <v/>
      </c>
      <c r="Z46" s="65" t="str">
        <f>IF(AND('Riesgos de gestión'!$Y$14="Muy Baja",'Riesgos de gestión'!$AA$14="Moderado"),CONCATENATE("R1C",'Riesgos de gestión'!$O$14),"")</f>
        <v/>
      </c>
      <c r="AA46" s="66" t="str">
        <f>IF(AND('Riesgos de gestión'!$Y$15="Muy Baja",'Riesgos de gestión'!$AA$15="Moderado"),CONCATENATE("R1C",'Riesgos de gestión'!$O$15),"")</f>
        <v/>
      </c>
      <c r="AB46" s="46" t="str">
        <f ca="1">IF(AND('Riesgos de gestión'!$Y$10="Muy Baja",'Riesgos de gestión'!$AA$10="Mayor"),CONCATENATE("R1C",'Riesgos de gestión'!$O$10),"")</f>
        <v/>
      </c>
      <c r="AC46" s="47" t="str">
        <f>IF(AND('Riesgos de gestión'!$Y$11="Muy Baja",'Riesgos de gestión'!$AA$11="Mayor"),CONCATENATE("R1C",'Riesgos de gestión'!$O$11),"")</f>
        <v/>
      </c>
      <c r="AD46" s="47" t="str">
        <f>IF(AND('Riesgos de gestión'!$Y$12="Muy Baja",'Riesgos de gestión'!$AA$12="Mayor"),CONCATENATE("R1C",'Riesgos de gestión'!$O$12),"")</f>
        <v/>
      </c>
      <c r="AE46" s="47" t="str">
        <f>IF(AND('Riesgos de gestión'!$Y$13="Muy Baja",'Riesgos de gestión'!$AA$13="Mayor"),CONCATENATE("R1C",'Riesgos de gestión'!$O$13),"")</f>
        <v/>
      </c>
      <c r="AF46" s="47" t="str">
        <f>IF(AND('Riesgos de gestión'!$Y$14="Muy Baja",'Riesgos de gestión'!$AA$14="Mayor"),CONCATENATE("R1C",'Riesgos de gestión'!$O$14),"")</f>
        <v/>
      </c>
      <c r="AG46" s="48" t="str">
        <f>IF(AND('Riesgos de gestión'!$Y$15="Muy Baja",'Riesgos de gestión'!$AA$15="Mayor"),CONCATENATE("R1C",'Riesgos de gestión'!$O$15),"")</f>
        <v/>
      </c>
      <c r="AH46" s="49" t="str">
        <f ca="1">IF(AND('Riesgos de gestión'!$Y$10="Muy Baja",'Riesgos de gestión'!$AA$10="Catastrófico"),CONCATENATE("R1C",'Riesgos de gestión'!$O$10),"")</f>
        <v>R1C1</v>
      </c>
      <c r="AI46" s="50" t="str">
        <f>IF(AND('Riesgos de gestión'!$Y$11="Muy Baja",'Riesgos de gestión'!$AA$11="Catastrófico"),CONCATENATE("R1C",'Riesgos de gestión'!$O$11),"")</f>
        <v/>
      </c>
      <c r="AJ46" s="50" t="str">
        <f>IF(AND('Riesgos de gestión'!$Y$12="Muy Baja",'Riesgos de gestión'!$AA$12="Catastrófico"),CONCATENATE("R1C",'Riesgos de gestión'!$O$12),"")</f>
        <v/>
      </c>
      <c r="AK46" s="50" t="str">
        <f>IF(AND('Riesgos de gestión'!$Y$13="Muy Baja",'Riesgos de gestión'!$AA$13="Catastrófico"),CONCATENATE("R1C",'Riesgos de gestión'!$O$13),"")</f>
        <v/>
      </c>
      <c r="AL46" s="50" t="str">
        <f>IF(AND('Riesgos de gestión'!$Y$14="Muy Baja",'Riesgos de gestión'!$AA$14="Catastrófico"),CONCATENATE("R1C",'Riesgos de gestión'!$O$14),"")</f>
        <v/>
      </c>
      <c r="AM46" s="51" t="str">
        <f>IF(AND('Riesgos de gestión'!$Y$15="Muy Baja",'Riesgos de gestión'!$AA$15="Catastrófico"),CONCATENATE("R1C",'Riesgos de gestión'!$O$15),"")</f>
        <v/>
      </c>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ht="46.5" customHeight="1" x14ac:dyDescent="0.25">
      <c r="A47" s="83"/>
      <c r="B47" s="1144"/>
      <c r="C47" s="1144"/>
      <c r="D47" s="1145"/>
      <c r="E47" s="1201"/>
      <c r="F47" s="1186"/>
      <c r="G47" s="1186"/>
      <c r="H47" s="1186"/>
      <c r="I47" s="1187"/>
      <c r="J47" s="76" t="str">
        <f>IF(AND('Riesgos de gestión'!$Y$16="Muy Baja",'Riesgos de gestión'!$AA$16="Leve"),CONCATENATE("R2C",'Riesgos de gestión'!$O$16),"")</f>
        <v/>
      </c>
      <c r="K47" s="77" t="str">
        <f>IF(AND('Riesgos de gestión'!$Y$17="Muy Baja",'Riesgos de gestión'!$AA$17="Leve"),CONCATENATE("R2C",'Riesgos de gestión'!$O$17),"")</f>
        <v/>
      </c>
      <c r="L47" s="77" t="str">
        <f>IF(AND('Riesgos de gestión'!$Y$18="Muy Baja",'Riesgos de gestión'!$AA$18="Leve"),CONCATENATE("R2C",'Riesgos de gestión'!$O$18),"")</f>
        <v/>
      </c>
      <c r="M47" s="77" t="str">
        <f>IF(AND('Riesgos de gestión'!$Y$19="Muy Baja",'Riesgos de gestión'!$AA$19="Leve"),CONCATENATE("R2C",'Riesgos de gestión'!$O$19),"")</f>
        <v/>
      </c>
      <c r="N47" s="77" t="str">
        <f>IF(AND('Riesgos de gestión'!$Y$20="Muy Baja",'Riesgos de gestión'!$AA$20="Leve"),CONCATENATE("R2C",'Riesgos de gestión'!$O$20),"")</f>
        <v/>
      </c>
      <c r="O47" s="78" t="str">
        <f>IF(AND('Riesgos de gestión'!$Y$21="Muy Baja",'Riesgos de gestión'!$AA$21="Leve"),CONCATENATE("R2C",'Riesgos de gestión'!$O$21),"")</f>
        <v/>
      </c>
      <c r="P47" s="76" t="str">
        <f>IF(AND('Riesgos de gestión'!$Y$16="Muy Baja",'Riesgos de gestión'!$AA$16="Menor"),CONCATENATE("R2C",'Riesgos de gestión'!$O$16),"")</f>
        <v/>
      </c>
      <c r="Q47" s="77" t="str">
        <f>IF(AND('Riesgos de gestión'!$Y$17="Muy Baja",'Riesgos de gestión'!$AA$17="Menor"),CONCATENATE("R2C",'Riesgos de gestión'!$O$17),"")</f>
        <v/>
      </c>
      <c r="R47" s="77" t="str">
        <f>IF(AND('Riesgos de gestión'!$Y$18="Muy Baja",'Riesgos de gestión'!$AA$18="Menor"),CONCATENATE("R2C",'Riesgos de gestión'!$O$18),"")</f>
        <v/>
      </c>
      <c r="S47" s="77" t="str">
        <f>IF(AND('Riesgos de gestión'!$Y$19="Muy Baja",'Riesgos de gestión'!$AA$19="Menor"),CONCATENATE("R2C",'Riesgos de gestión'!$O$19),"")</f>
        <v/>
      </c>
      <c r="T47" s="77" t="str">
        <f>IF(AND('Riesgos de gestión'!$Y$20="Muy Baja",'Riesgos de gestión'!$AA$20="Menor"),CONCATENATE("R2C",'Riesgos de gestión'!$O$20),"")</f>
        <v/>
      </c>
      <c r="U47" s="78" t="str">
        <f>IF(AND('Riesgos de gestión'!$Y$21="Muy Baja",'Riesgos de gestión'!$AA$21="Menor"),CONCATENATE("R2C",'Riesgos de gestión'!$O$21),"")</f>
        <v/>
      </c>
      <c r="V47" s="67" t="str">
        <f>IF(AND('Riesgos de gestión'!$Y$16="Muy Baja",'Riesgos de gestión'!$AA$16="Moderado"),CONCATENATE("R2C",'Riesgos de gestión'!$O$16),"")</f>
        <v/>
      </c>
      <c r="W47" s="68" t="str">
        <f>IF(AND('Riesgos de gestión'!$Y$17="Muy Baja",'Riesgos de gestión'!$AA$17="Moderado"),CONCATENATE("R2C",'Riesgos de gestión'!$O$17),"")</f>
        <v/>
      </c>
      <c r="X47" s="68" t="str">
        <f>IF(AND('Riesgos de gestión'!$Y$18="Muy Baja",'Riesgos de gestión'!$AA$18="Moderado"),CONCATENATE("R2C",'Riesgos de gestión'!$O$18),"")</f>
        <v/>
      </c>
      <c r="Y47" s="68" t="str">
        <f>IF(AND('Riesgos de gestión'!$Y$19="Muy Baja",'Riesgos de gestión'!$AA$19="Moderado"),CONCATENATE("R2C",'Riesgos de gestión'!$O$19),"")</f>
        <v/>
      </c>
      <c r="Z47" s="68" t="str">
        <f>IF(AND('Riesgos de gestión'!$Y$20="Muy Baja",'Riesgos de gestión'!$AA$20="Moderado"),CONCATENATE("R2C",'Riesgos de gestión'!$O$20),"")</f>
        <v/>
      </c>
      <c r="AA47" s="69" t="str">
        <f>IF(AND('Riesgos de gestión'!$Y$21="Muy Baja",'Riesgos de gestión'!$AA$21="Moderado"),CONCATENATE("R2C",'Riesgos de gestión'!$O$21),"")</f>
        <v/>
      </c>
      <c r="AB47" s="52" t="str">
        <f>IF(AND('Riesgos de gestión'!$Y$16="Muy Baja",'Riesgos de gestión'!$AA$16="Mayor"),CONCATENATE("R2C",'Riesgos de gestión'!$O$16),"")</f>
        <v/>
      </c>
      <c r="AC47" s="53" t="str">
        <f>IF(AND('Riesgos de gestión'!$Y$17="Muy Baja",'Riesgos de gestión'!$AA$17="Mayor"),CONCATENATE("R2C",'Riesgos de gestión'!$O$17),"")</f>
        <v/>
      </c>
      <c r="AD47" s="53" t="str">
        <f>IF(AND('Riesgos de gestión'!$Y$18="Muy Baja",'Riesgos de gestión'!$AA$18="Mayor"),CONCATENATE("R2C",'Riesgos de gestión'!$O$18),"")</f>
        <v/>
      </c>
      <c r="AE47" s="53" t="str">
        <f>IF(AND('Riesgos de gestión'!$Y$19="Muy Baja",'Riesgos de gestión'!$AA$19="Mayor"),CONCATENATE("R2C",'Riesgos de gestión'!$O$19),"")</f>
        <v/>
      </c>
      <c r="AF47" s="53" t="str">
        <f>IF(AND('Riesgos de gestión'!$Y$20="Muy Baja",'Riesgos de gestión'!$AA$20="Mayor"),CONCATENATE("R2C",'Riesgos de gestión'!$O$20),"")</f>
        <v/>
      </c>
      <c r="AG47" s="54" t="str">
        <f>IF(AND('Riesgos de gestión'!$Y$21="Muy Baja",'Riesgos de gestión'!$AA$21="Mayor"),CONCATENATE("R2C",'Riesgos de gestión'!$O$21),"")</f>
        <v/>
      </c>
      <c r="AH47" s="55" t="str">
        <f>IF(AND('Riesgos de gestión'!$Y$16="Muy Baja",'Riesgos de gestión'!$AA$16="Catastrófico"),CONCATENATE("R2C",'Riesgos de gestión'!$O$16),"")</f>
        <v/>
      </c>
      <c r="AI47" s="56" t="str">
        <f>IF(AND('Riesgos de gestión'!$Y$17="Muy Baja",'Riesgos de gestión'!$AA$17="Catastrófico"),CONCATENATE("R2C",'Riesgos de gestión'!$O$17),"")</f>
        <v/>
      </c>
      <c r="AJ47" s="56" t="str">
        <f>IF(AND('Riesgos de gestión'!$Y$18="Muy Baja",'Riesgos de gestión'!$AA$18="Catastrófico"),CONCATENATE("R2C",'Riesgos de gestión'!$O$18),"")</f>
        <v/>
      </c>
      <c r="AK47" s="56" t="str">
        <f>IF(AND('Riesgos de gestión'!$Y$19="Muy Baja",'Riesgos de gestión'!$AA$19="Catastrófico"),CONCATENATE("R2C",'Riesgos de gestión'!$O$19),"")</f>
        <v/>
      </c>
      <c r="AL47" s="56" t="str">
        <f>IF(AND('Riesgos de gestión'!$Y$20="Muy Baja",'Riesgos de gestión'!$AA$20="Catastrófico"),CONCATENATE("R2C",'Riesgos de gestión'!$O$20),"")</f>
        <v/>
      </c>
      <c r="AM47" s="57" t="str">
        <f>IF(AND('Riesgos de gestión'!$Y$21="Muy Baja",'Riesgos de gestión'!$AA$21="Catastrófico"),CONCATENATE("R2C",'Riesgos de gestión'!$O$21),"")</f>
        <v/>
      </c>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 customHeight="1" x14ac:dyDescent="0.25">
      <c r="A48" s="83"/>
      <c r="B48" s="1144"/>
      <c r="C48" s="1144"/>
      <c r="D48" s="1145"/>
      <c r="E48" s="1201"/>
      <c r="F48" s="1186"/>
      <c r="G48" s="1186"/>
      <c r="H48" s="1186"/>
      <c r="I48" s="1187"/>
      <c r="J48" s="76" t="str">
        <f>IF(AND('Riesgos de gestión'!$Y$22="Muy Baja",'Riesgos de gestión'!$AA$22="Leve"),CONCATENATE("R3C",'Riesgos de gestión'!$O$22),"")</f>
        <v/>
      </c>
      <c r="K48" s="77" t="str">
        <f>IF(AND('Riesgos de gestión'!$Y$23="Muy Baja",'Riesgos de gestión'!$AA$23="Leve"),CONCATENATE("R3C",'Riesgos de gestión'!$O$23),"")</f>
        <v/>
      </c>
      <c r="L48" s="77" t="str">
        <f>IF(AND('Riesgos de gestión'!$Y$24="Muy Baja",'Riesgos de gestión'!$AA$24="Leve"),CONCATENATE("R3C",'Riesgos de gestión'!$O$24),"")</f>
        <v/>
      </c>
      <c r="M48" s="77" t="str">
        <f>IF(AND('Riesgos de gestión'!$Y$25="Muy Baja",'Riesgos de gestión'!$AA$25="Leve"),CONCATENATE("R3C",'Riesgos de gestión'!$O$25),"")</f>
        <v/>
      </c>
      <c r="N48" s="77" t="str">
        <f>IF(AND('Riesgos de gestión'!$Y$26="Muy Baja",'Riesgos de gestión'!$AA$26="Leve"),CONCATENATE("R3C",'Riesgos de gestión'!$O$26),"")</f>
        <v/>
      </c>
      <c r="O48" s="78" t="str">
        <f>IF(AND('Riesgos de gestión'!$Y$27="Muy Baja",'Riesgos de gestión'!$AA$27="Leve"),CONCATENATE("R3C",'Riesgos de gestión'!$O$27),"")</f>
        <v/>
      </c>
      <c r="P48" s="76" t="str">
        <f>IF(AND('Riesgos de gestión'!$Y$22="Muy Baja",'Riesgos de gestión'!$AA$22="Menor"),CONCATENATE("R3C",'Riesgos de gestión'!$O$22),"")</f>
        <v/>
      </c>
      <c r="Q48" s="77" t="str">
        <f>IF(AND('Riesgos de gestión'!$Y$23="Muy Baja",'Riesgos de gestión'!$AA$23="Menor"),CONCATENATE("R3C",'Riesgos de gestión'!$O$23),"")</f>
        <v/>
      </c>
      <c r="R48" s="77" t="str">
        <f>IF(AND('Riesgos de gestión'!$Y$24="Muy Baja",'Riesgos de gestión'!$AA$24="Menor"),CONCATENATE("R3C",'Riesgos de gestión'!$O$24),"")</f>
        <v/>
      </c>
      <c r="S48" s="77" t="str">
        <f>IF(AND('Riesgos de gestión'!$Y$25="Muy Baja",'Riesgos de gestión'!$AA$25="Menor"),CONCATENATE("R3C",'Riesgos de gestión'!$O$25),"")</f>
        <v/>
      </c>
      <c r="T48" s="77" t="str">
        <f>IF(AND('Riesgos de gestión'!$Y$26="Muy Baja",'Riesgos de gestión'!$AA$26="Menor"),CONCATENATE("R3C",'Riesgos de gestión'!$O$26),"")</f>
        <v/>
      </c>
      <c r="U48" s="78" t="str">
        <f>IF(AND('Riesgos de gestión'!$Y$27="Muy Baja",'Riesgos de gestión'!$AA$27="Menor"),CONCATENATE("R3C",'Riesgos de gestión'!$O$27),"")</f>
        <v/>
      </c>
      <c r="V48" s="67" t="str">
        <f>IF(AND('Riesgos de gestión'!$Y$22="Muy Baja",'Riesgos de gestión'!$AA$22="Moderado"),CONCATENATE("R3C",'Riesgos de gestión'!$O$22),"")</f>
        <v/>
      </c>
      <c r="W48" s="68" t="str">
        <f>IF(AND('Riesgos de gestión'!$Y$23="Muy Baja",'Riesgos de gestión'!$AA$23="Moderado"),CONCATENATE("R3C",'Riesgos de gestión'!$O$23),"")</f>
        <v/>
      </c>
      <c r="X48" s="68" t="str">
        <f>IF(AND('Riesgos de gestión'!$Y$24="Muy Baja",'Riesgos de gestión'!$AA$24="Moderado"),CONCATENATE("R3C",'Riesgos de gestión'!$O$24),"")</f>
        <v/>
      </c>
      <c r="Y48" s="68" t="str">
        <f>IF(AND('Riesgos de gestión'!$Y$25="Muy Baja",'Riesgos de gestión'!$AA$25="Moderado"),CONCATENATE("R3C",'Riesgos de gestión'!$O$25),"")</f>
        <v/>
      </c>
      <c r="Z48" s="68" t="str">
        <f>IF(AND('Riesgos de gestión'!$Y$26="Muy Baja",'Riesgos de gestión'!$AA$26="Moderado"),CONCATENATE("R3C",'Riesgos de gestión'!$O$26),"")</f>
        <v/>
      </c>
      <c r="AA48" s="69" t="str">
        <f>IF(AND('Riesgos de gestión'!$Y$27="Muy Baja",'Riesgos de gestión'!$AA$27="Moderado"),CONCATENATE("R3C",'Riesgos de gestión'!$O$27),"")</f>
        <v/>
      </c>
      <c r="AB48" s="52" t="str">
        <f>IF(AND('Riesgos de gestión'!$Y$22="Muy Baja",'Riesgos de gestión'!$AA$22="Mayor"),CONCATENATE("R3C",'Riesgos de gestión'!$O$22),"")</f>
        <v/>
      </c>
      <c r="AC48" s="53" t="str">
        <f>IF(AND('Riesgos de gestión'!$Y$23="Muy Baja",'Riesgos de gestión'!$AA$23="Mayor"),CONCATENATE("R3C",'Riesgos de gestión'!$O$23),"")</f>
        <v/>
      </c>
      <c r="AD48" s="53" t="str">
        <f>IF(AND('Riesgos de gestión'!$Y$24="Muy Baja",'Riesgos de gestión'!$AA$24="Mayor"),CONCATENATE("R3C",'Riesgos de gestión'!$O$24),"")</f>
        <v/>
      </c>
      <c r="AE48" s="53" t="str">
        <f>IF(AND('Riesgos de gestión'!$Y$25="Muy Baja",'Riesgos de gestión'!$AA$25="Mayor"),CONCATENATE("R3C",'Riesgos de gestión'!$O$25),"")</f>
        <v/>
      </c>
      <c r="AF48" s="53" t="str">
        <f>IF(AND('Riesgos de gestión'!$Y$26="Muy Baja",'Riesgos de gestión'!$AA$26="Mayor"),CONCATENATE("R3C",'Riesgos de gestión'!$O$26),"")</f>
        <v/>
      </c>
      <c r="AG48" s="54" t="str">
        <f>IF(AND('Riesgos de gestión'!$Y$27="Muy Baja",'Riesgos de gestión'!$AA$27="Mayor"),CONCATENATE("R3C",'Riesgos de gestión'!$O$27),"")</f>
        <v/>
      </c>
      <c r="AH48" s="55" t="str">
        <f>IF(AND('Riesgos de gestión'!$Y$22="Muy Baja",'Riesgos de gestión'!$AA$22="Catastrófico"),CONCATENATE("R3C",'Riesgos de gestión'!$O$22),"")</f>
        <v/>
      </c>
      <c r="AI48" s="56" t="str">
        <f>IF(AND('Riesgos de gestión'!$Y$23="Muy Baja",'Riesgos de gestión'!$AA$23="Catastrófico"),CONCATENATE("R3C",'Riesgos de gestión'!$O$23),"")</f>
        <v/>
      </c>
      <c r="AJ48" s="56" t="str">
        <f>IF(AND('Riesgos de gestión'!$Y$24="Muy Baja",'Riesgos de gestión'!$AA$24="Catastrófico"),CONCATENATE("R3C",'Riesgos de gestión'!$O$24),"")</f>
        <v/>
      </c>
      <c r="AK48" s="56" t="str">
        <f>IF(AND('Riesgos de gestión'!$Y$25="Muy Baja",'Riesgos de gestión'!$AA$25="Catastrófico"),CONCATENATE("R3C",'Riesgos de gestión'!$O$25),"")</f>
        <v/>
      </c>
      <c r="AL48" s="56" t="str">
        <f>IF(AND('Riesgos de gestión'!$Y$26="Muy Baja",'Riesgos de gestión'!$AA$26="Catastrófico"),CONCATENATE("R3C",'Riesgos de gestión'!$O$26),"")</f>
        <v/>
      </c>
      <c r="AM48" s="57" t="str">
        <f>IF(AND('Riesgos de gestión'!$Y$27="Muy Baja",'Riesgos de gestión'!$AA$27="Catastrófico"),CONCATENATE("R3C",'Riesgos de gestión'!$O$27),"")</f>
        <v/>
      </c>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ht="15" customHeight="1" x14ac:dyDescent="0.25">
      <c r="A49" s="83"/>
      <c r="B49" s="1144"/>
      <c r="C49" s="1144"/>
      <c r="D49" s="1145"/>
      <c r="E49" s="1185"/>
      <c r="F49" s="1186"/>
      <c r="G49" s="1186"/>
      <c r="H49" s="1186"/>
      <c r="I49" s="1187"/>
      <c r="J49" s="76" t="str">
        <f>IF(AND('Riesgos de gestión'!$Y$28="Muy Baja",'Riesgos de gestión'!$AA$28="Leve"),CONCATENATE("R4C",'Riesgos de gestión'!$O$28),"")</f>
        <v/>
      </c>
      <c r="K49" s="77" t="str">
        <f>IF(AND('Riesgos de gestión'!$Y$29="Muy Baja",'Riesgos de gestión'!$AA$29="Leve"),CONCATENATE("R4C",'Riesgos de gestión'!$O$29),"")</f>
        <v/>
      </c>
      <c r="L49" s="77" t="str">
        <f>IF(AND('Riesgos de gestión'!$Y$30="Muy Baja",'Riesgos de gestión'!$AA$30="Leve"),CONCATENATE("R4C",'Riesgos de gestión'!$O$30),"")</f>
        <v/>
      </c>
      <c r="M49" s="77" t="str">
        <f>IF(AND('Riesgos de gestión'!$Y$31="Muy Baja",'Riesgos de gestión'!$AA$31="Leve"),CONCATENATE("R4C",'Riesgos de gestión'!$O$31),"")</f>
        <v/>
      </c>
      <c r="N49" s="77" t="str">
        <f>IF(AND('Riesgos de gestión'!$Y$32="Muy Baja",'Riesgos de gestión'!$AA$32="Leve"),CONCATENATE("R4C",'Riesgos de gestión'!$O$32),"")</f>
        <v/>
      </c>
      <c r="O49" s="78" t="str">
        <f>IF(AND('Riesgos de gestión'!$Y$33="Muy Baja",'Riesgos de gestión'!$AA$33="Leve"),CONCATENATE("R4C",'Riesgos de gestión'!$O$33),"")</f>
        <v/>
      </c>
      <c r="P49" s="76" t="str">
        <f>IF(AND('Riesgos de gestión'!$Y$28="Muy Baja",'Riesgos de gestión'!$AA$28="Menor"),CONCATENATE("R4C",'Riesgos de gestión'!$O$28),"")</f>
        <v/>
      </c>
      <c r="Q49" s="77" t="str">
        <f>IF(AND('Riesgos de gestión'!$Y$29="Muy Baja",'Riesgos de gestión'!$AA$29="Menor"),CONCATENATE("R4C",'Riesgos de gestión'!$O$29),"")</f>
        <v/>
      </c>
      <c r="R49" s="77" t="str">
        <f>IF(AND('Riesgos de gestión'!$Y$30="Muy Baja",'Riesgos de gestión'!$AA$30="Menor"),CONCATENATE("R4C",'Riesgos de gestión'!$O$30),"")</f>
        <v/>
      </c>
      <c r="S49" s="77" t="str">
        <f>IF(AND('Riesgos de gestión'!$Y$31="Muy Baja",'Riesgos de gestión'!$AA$31="Menor"),CONCATENATE("R4C",'Riesgos de gestión'!$O$31),"")</f>
        <v/>
      </c>
      <c r="T49" s="77" t="str">
        <f>IF(AND('Riesgos de gestión'!$Y$32="Muy Baja",'Riesgos de gestión'!$AA$32="Menor"),CONCATENATE("R4C",'Riesgos de gestión'!$O$32),"")</f>
        <v/>
      </c>
      <c r="U49" s="78" t="str">
        <f>IF(AND('Riesgos de gestión'!$Y$33="Muy Baja",'Riesgos de gestión'!$AA$33="Menor"),CONCATENATE("R4C",'Riesgos de gestión'!$O$33),"")</f>
        <v/>
      </c>
      <c r="V49" s="67" t="str">
        <f>IF(AND('Riesgos de gestión'!$Y$28="Muy Baja",'Riesgos de gestión'!$AA$28="Moderado"),CONCATENATE("R4C",'Riesgos de gestión'!$O$28),"")</f>
        <v/>
      </c>
      <c r="W49" s="68" t="str">
        <f>IF(AND('Riesgos de gestión'!$Y$29="Muy Baja",'Riesgos de gestión'!$AA$29="Moderado"),CONCATENATE("R4C",'Riesgos de gestión'!$O$29),"")</f>
        <v/>
      </c>
      <c r="X49" s="68" t="str">
        <f>IF(AND('Riesgos de gestión'!$Y$30="Muy Baja",'Riesgos de gestión'!$AA$30="Moderado"),CONCATENATE("R4C",'Riesgos de gestión'!$O$30),"")</f>
        <v/>
      </c>
      <c r="Y49" s="68" t="str">
        <f>IF(AND('Riesgos de gestión'!$Y$31="Muy Baja",'Riesgos de gestión'!$AA$31="Moderado"),CONCATENATE("R4C",'Riesgos de gestión'!$O$31),"")</f>
        <v/>
      </c>
      <c r="Z49" s="68" t="str">
        <f>IF(AND('Riesgos de gestión'!$Y$32="Muy Baja",'Riesgos de gestión'!$AA$32="Moderado"),CONCATENATE("R4C",'Riesgos de gestión'!$O$32),"")</f>
        <v/>
      </c>
      <c r="AA49" s="69" t="str">
        <f>IF(AND('Riesgos de gestión'!$Y$33="Muy Baja",'Riesgos de gestión'!$AA$33="Moderado"),CONCATENATE("R4C",'Riesgos de gestión'!$O$33),"")</f>
        <v/>
      </c>
      <c r="AB49" s="52" t="str">
        <f>IF(AND('Riesgos de gestión'!$Y$28="Muy Baja",'Riesgos de gestión'!$AA$28="Mayor"),CONCATENATE("R4C",'Riesgos de gestión'!$O$28),"")</f>
        <v/>
      </c>
      <c r="AC49" s="53" t="str">
        <f>IF(AND('Riesgos de gestión'!$Y$29="Muy Baja",'Riesgos de gestión'!$AA$29="Mayor"),CONCATENATE("R4C",'Riesgos de gestión'!$O$29),"")</f>
        <v/>
      </c>
      <c r="AD49" s="53" t="str">
        <f>IF(AND('Riesgos de gestión'!$Y$30="Muy Baja",'Riesgos de gestión'!$AA$30="Mayor"),CONCATENATE("R4C",'Riesgos de gestión'!$O$30),"")</f>
        <v/>
      </c>
      <c r="AE49" s="53" t="str">
        <f>IF(AND('Riesgos de gestión'!$Y$31="Muy Baja",'Riesgos de gestión'!$AA$31="Mayor"),CONCATENATE("R4C",'Riesgos de gestión'!$O$31),"")</f>
        <v/>
      </c>
      <c r="AF49" s="53" t="str">
        <f>IF(AND('Riesgos de gestión'!$Y$32="Muy Baja",'Riesgos de gestión'!$AA$32="Mayor"),CONCATENATE("R4C",'Riesgos de gestión'!$O$32),"")</f>
        <v/>
      </c>
      <c r="AG49" s="54" t="str">
        <f>IF(AND('Riesgos de gestión'!$Y$33="Muy Baja",'Riesgos de gestión'!$AA$33="Mayor"),CONCATENATE("R4C",'Riesgos de gestión'!$O$33),"")</f>
        <v/>
      </c>
      <c r="AH49" s="55" t="str">
        <f>IF(AND('Riesgos de gestión'!$Y$28="Muy Baja",'Riesgos de gestión'!$AA$28="Catastrófico"),CONCATENATE("R4C",'Riesgos de gestión'!$O$28),"")</f>
        <v/>
      </c>
      <c r="AI49" s="56" t="str">
        <f>IF(AND('Riesgos de gestión'!$Y$29="Muy Baja",'Riesgos de gestión'!$AA$29="Catastrófico"),CONCATENATE("R4C",'Riesgos de gestión'!$O$29),"")</f>
        <v/>
      </c>
      <c r="AJ49" s="56" t="str">
        <f>IF(AND('Riesgos de gestión'!$Y$30="Muy Baja",'Riesgos de gestión'!$AA$30="Catastrófico"),CONCATENATE("R4C",'Riesgos de gestión'!$O$30),"")</f>
        <v/>
      </c>
      <c r="AK49" s="56" t="str">
        <f>IF(AND('Riesgos de gestión'!$Y$31="Muy Baja",'Riesgos de gestión'!$AA$31="Catastrófico"),CONCATENATE("R4C",'Riesgos de gestión'!$O$31),"")</f>
        <v/>
      </c>
      <c r="AL49" s="56" t="str">
        <f>IF(AND('Riesgos de gestión'!$Y$32="Muy Baja",'Riesgos de gestión'!$AA$32="Catastrófico"),CONCATENATE("R4C",'Riesgos de gestión'!$O$32),"")</f>
        <v/>
      </c>
      <c r="AM49" s="57" t="str">
        <f>IF(AND('Riesgos de gestión'!$Y$33="Muy Baja",'Riesgos de gestión'!$AA$33="Catastrófico"),CONCATENATE("R4C",'Riesgos de gestión'!$O$33),"")</f>
        <v/>
      </c>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 customHeight="1" x14ac:dyDescent="0.25">
      <c r="A50" s="83"/>
      <c r="B50" s="1144"/>
      <c r="C50" s="1144"/>
      <c r="D50" s="1145"/>
      <c r="E50" s="1185"/>
      <c r="F50" s="1186"/>
      <c r="G50" s="1186"/>
      <c r="H50" s="1186"/>
      <c r="I50" s="1187"/>
      <c r="J50" s="76" t="str">
        <f>IF(AND('Riesgos de gestión'!$Y$34="Muy Baja",'Riesgos de gestión'!$AA$34="Leve"),CONCATENATE("R5C",'Riesgos de gestión'!$O$34),"")</f>
        <v/>
      </c>
      <c r="K50" s="77" t="str">
        <f>IF(AND('Riesgos de gestión'!$Y$35="Muy Baja",'Riesgos de gestión'!$AA$35="Leve"),CONCATENATE("R5C",'Riesgos de gestión'!$O$35),"")</f>
        <v/>
      </c>
      <c r="L50" s="77" t="str">
        <f>IF(AND('Riesgos de gestión'!$Y$36="Muy Baja",'Riesgos de gestión'!$AA$36="Leve"),CONCATENATE("R5C",'Riesgos de gestión'!$O$36),"")</f>
        <v/>
      </c>
      <c r="M50" s="77" t="str">
        <f>IF(AND('Riesgos de gestión'!$Y$37="Muy Baja",'Riesgos de gestión'!$AA$37="Leve"),CONCATENATE("R5C",'Riesgos de gestión'!$O$37),"")</f>
        <v/>
      </c>
      <c r="N50" s="77" t="str">
        <f>IF(AND('Riesgos de gestión'!$Y$38="Muy Baja",'Riesgos de gestión'!$AA$38="Leve"),CONCATENATE("R5C",'Riesgos de gestión'!$O$38),"")</f>
        <v/>
      </c>
      <c r="O50" s="78" t="str">
        <f>IF(AND('Riesgos de gestión'!$Y$39="Muy Baja",'Riesgos de gestión'!$AA$39="Leve"),CONCATENATE("R5C",'Riesgos de gestión'!$O$39),"")</f>
        <v/>
      </c>
      <c r="P50" s="76" t="str">
        <f>IF(AND('Riesgos de gestión'!$Y$34="Muy Baja",'Riesgos de gestión'!$AA$34="Menor"),CONCATENATE("R5C",'Riesgos de gestión'!$O$34),"")</f>
        <v/>
      </c>
      <c r="Q50" s="77" t="str">
        <f>IF(AND('Riesgos de gestión'!$Y$35="Muy Baja",'Riesgos de gestión'!$AA$35="Menor"),CONCATENATE("R5C",'Riesgos de gestión'!$O$35),"")</f>
        <v/>
      </c>
      <c r="R50" s="77" t="str">
        <f>IF(AND('Riesgos de gestión'!$Y$36="Muy Baja",'Riesgos de gestión'!$AA$36="Menor"),CONCATENATE("R5C",'Riesgos de gestión'!$O$36),"")</f>
        <v/>
      </c>
      <c r="S50" s="77" t="str">
        <f>IF(AND('Riesgos de gestión'!$Y$37="Muy Baja",'Riesgos de gestión'!$AA$37="Menor"),CONCATENATE("R5C",'Riesgos de gestión'!$O$37),"")</f>
        <v/>
      </c>
      <c r="T50" s="77" t="str">
        <f>IF(AND('Riesgos de gestión'!$Y$38="Muy Baja",'Riesgos de gestión'!$AA$38="Menor"),CONCATENATE("R5C",'Riesgos de gestión'!$O$38),"")</f>
        <v/>
      </c>
      <c r="U50" s="78" t="str">
        <f>IF(AND('Riesgos de gestión'!$Y$39="Muy Baja",'Riesgos de gestión'!$AA$39="Menor"),CONCATENATE("R5C",'Riesgos de gestión'!$O$39),"")</f>
        <v/>
      </c>
      <c r="V50" s="67" t="str">
        <f>IF(AND('Riesgos de gestión'!$Y$34="Muy Baja",'Riesgos de gestión'!$AA$34="Moderado"),CONCATENATE("R5C",'Riesgos de gestión'!$O$34),"")</f>
        <v/>
      </c>
      <c r="W50" s="68" t="str">
        <f>IF(AND('Riesgos de gestión'!$Y$35="Muy Baja",'Riesgos de gestión'!$AA$35="Moderado"),CONCATENATE("R5C",'Riesgos de gestión'!$O$35),"")</f>
        <v/>
      </c>
      <c r="X50" s="68" t="str">
        <f>IF(AND('Riesgos de gestión'!$Y$36="Muy Baja",'Riesgos de gestión'!$AA$36="Moderado"),CONCATENATE("R5C",'Riesgos de gestión'!$O$36),"")</f>
        <v/>
      </c>
      <c r="Y50" s="68" t="str">
        <f>IF(AND('Riesgos de gestión'!$Y$37="Muy Baja",'Riesgos de gestión'!$AA$37="Moderado"),CONCATENATE("R5C",'Riesgos de gestión'!$O$37),"")</f>
        <v/>
      </c>
      <c r="Z50" s="68" t="str">
        <f>IF(AND('Riesgos de gestión'!$Y$38="Muy Baja",'Riesgos de gestión'!$AA$38="Moderado"),CONCATENATE("R5C",'Riesgos de gestión'!$O$38),"")</f>
        <v/>
      </c>
      <c r="AA50" s="69" t="str">
        <f>IF(AND('Riesgos de gestión'!$Y$39="Muy Baja",'Riesgos de gestión'!$AA$39="Moderado"),CONCATENATE("R5C",'Riesgos de gestión'!$O$39),"")</f>
        <v/>
      </c>
      <c r="AB50" s="52" t="str">
        <f>IF(AND('Riesgos de gestión'!$Y$34="Muy Baja",'Riesgos de gestión'!$AA$34="Mayor"),CONCATENATE("R5C",'Riesgos de gestión'!$O$34),"")</f>
        <v/>
      </c>
      <c r="AC50" s="53" t="str">
        <f>IF(AND('Riesgos de gestión'!$Y$35="Muy Baja",'Riesgos de gestión'!$AA$35="Mayor"),CONCATENATE("R5C",'Riesgos de gestión'!$O$35),"")</f>
        <v/>
      </c>
      <c r="AD50" s="53" t="str">
        <f>IF(AND('Riesgos de gestión'!$Y$36="Muy Baja",'Riesgos de gestión'!$AA$36="Mayor"),CONCATENATE("R5C",'Riesgos de gestión'!$O$36),"")</f>
        <v/>
      </c>
      <c r="AE50" s="53" t="str">
        <f>IF(AND('Riesgos de gestión'!$Y$37="Muy Baja",'Riesgos de gestión'!$AA$37="Mayor"),CONCATENATE("R5C",'Riesgos de gestión'!$O$37),"")</f>
        <v/>
      </c>
      <c r="AF50" s="53" t="str">
        <f>IF(AND('Riesgos de gestión'!$Y$38="Muy Baja",'Riesgos de gestión'!$AA$38="Mayor"),CONCATENATE("R5C",'Riesgos de gestión'!$O$38),"")</f>
        <v/>
      </c>
      <c r="AG50" s="54" t="str">
        <f>IF(AND('Riesgos de gestión'!$Y$39="Muy Baja",'Riesgos de gestión'!$AA$39="Mayor"),CONCATENATE("R5C",'Riesgos de gestión'!$O$39),"")</f>
        <v/>
      </c>
      <c r="AH50" s="55" t="str">
        <f>IF(AND('Riesgos de gestión'!$Y$34="Muy Baja",'Riesgos de gestión'!$AA$34="Catastrófico"),CONCATENATE("R5C",'Riesgos de gestión'!$O$34),"")</f>
        <v/>
      </c>
      <c r="AI50" s="56" t="str">
        <f>IF(AND('Riesgos de gestión'!$Y$35="Muy Baja",'Riesgos de gestión'!$AA$35="Catastrófico"),CONCATENATE("R5C",'Riesgos de gestión'!$O$35),"")</f>
        <v/>
      </c>
      <c r="AJ50" s="56" t="str">
        <f>IF(AND('Riesgos de gestión'!$Y$36="Muy Baja",'Riesgos de gestión'!$AA$36="Catastrófico"),CONCATENATE("R5C",'Riesgos de gestión'!$O$36),"")</f>
        <v/>
      </c>
      <c r="AK50" s="56" t="str">
        <f>IF(AND('Riesgos de gestión'!$Y$37="Muy Baja",'Riesgos de gestión'!$AA$37="Catastrófico"),CONCATENATE("R5C",'Riesgos de gestión'!$O$37),"")</f>
        <v/>
      </c>
      <c r="AL50" s="56" t="str">
        <f>IF(AND('Riesgos de gestión'!$Y$38="Muy Baja",'Riesgos de gestión'!$AA$38="Catastrófico"),CONCATENATE("R5C",'Riesgos de gestión'!$O$38),"")</f>
        <v/>
      </c>
      <c r="AM50" s="57" t="str">
        <f>IF(AND('Riesgos de gestión'!$Y$39="Muy Baja",'Riesgos de gestión'!$AA$39="Catastrófico"),CONCATENATE("R5C",'Riesgos de gestión'!$O$39),"")</f>
        <v/>
      </c>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 customHeight="1" x14ac:dyDescent="0.25">
      <c r="A51" s="83"/>
      <c r="B51" s="1144"/>
      <c r="C51" s="1144"/>
      <c r="D51" s="1145"/>
      <c r="E51" s="1185"/>
      <c r="F51" s="1186"/>
      <c r="G51" s="1186"/>
      <c r="H51" s="1186"/>
      <c r="I51" s="1187"/>
      <c r="J51" s="76" t="str">
        <f>IF(AND('Riesgos de gestión'!$Y$40="Muy Baja",'Riesgos de gestión'!$AA$40="Leve"),CONCATENATE("R6C",'Riesgos de gestión'!$O$40),"")</f>
        <v/>
      </c>
      <c r="K51" s="77" t="str">
        <f>IF(AND('Riesgos de gestión'!$Y$41="Muy Baja",'Riesgos de gestión'!$AA$41="Leve"),CONCATENATE("R6C",'Riesgos de gestión'!$O$41),"")</f>
        <v/>
      </c>
      <c r="L51" s="77" t="str">
        <f>IF(AND('Riesgos de gestión'!$Y$42="Muy Baja",'Riesgos de gestión'!$AA$42="Leve"),CONCATENATE("R6C",'Riesgos de gestión'!$O$42),"")</f>
        <v/>
      </c>
      <c r="M51" s="77" t="str">
        <f>IF(AND('Riesgos de gestión'!$Y$43="Muy Baja",'Riesgos de gestión'!$AA$43="Leve"),CONCATENATE("R6C",'Riesgos de gestión'!$O$43),"")</f>
        <v/>
      </c>
      <c r="N51" s="77" t="str">
        <f>IF(AND('Riesgos de gestión'!$Y$44="Muy Baja",'Riesgos de gestión'!$AA$44="Leve"),CONCATENATE("R6C",'Riesgos de gestión'!$O$44),"")</f>
        <v/>
      </c>
      <c r="O51" s="78" t="str">
        <f>IF(AND('Riesgos de gestión'!$Y$45="Muy Baja",'Riesgos de gestión'!$AA$45="Leve"),CONCATENATE("R6C",'Riesgos de gestión'!$O$45),"")</f>
        <v/>
      </c>
      <c r="P51" s="76" t="str">
        <f>IF(AND('Riesgos de gestión'!$Y$40="Muy Baja",'Riesgos de gestión'!$AA$40="Menor"),CONCATENATE("R6C",'Riesgos de gestión'!$O$40),"")</f>
        <v/>
      </c>
      <c r="Q51" s="77" t="str">
        <f>IF(AND('Riesgos de gestión'!$Y$41="Muy Baja",'Riesgos de gestión'!$AA$41="Menor"),CONCATENATE("R6C",'Riesgos de gestión'!$O$41),"")</f>
        <v/>
      </c>
      <c r="R51" s="77" t="str">
        <f>IF(AND('Riesgos de gestión'!$Y$42="Muy Baja",'Riesgos de gestión'!$AA$42="Menor"),CONCATENATE("R6C",'Riesgos de gestión'!$O$42),"")</f>
        <v/>
      </c>
      <c r="S51" s="77" t="str">
        <f>IF(AND('Riesgos de gestión'!$Y$43="Muy Baja",'Riesgos de gestión'!$AA$43="Menor"),CONCATENATE("R6C",'Riesgos de gestión'!$O$43),"")</f>
        <v/>
      </c>
      <c r="T51" s="77" t="str">
        <f>IF(AND('Riesgos de gestión'!$Y$44="Muy Baja",'Riesgos de gestión'!$AA$44="Menor"),CONCATENATE("R6C",'Riesgos de gestión'!$O$44),"")</f>
        <v/>
      </c>
      <c r="U51" s="78" t="str">
        <f>IF(AND('Riesgos de gestión'!$Y$45="Muy Baja",'Riesgos de gestión'!$AA$45="Menor"),CONCATENATE("R6C",'Riesgos de gestión'!$O$45),"")</f>
        <v/>
      </c>
      <c r="V51" s="67" t="str">
        <f>IF(AND('Riesgos de gestión'!$Y$40="Muy Baja",'Riesgos de gestión'!$AA$40="Moderado"),CONCATENATE("R6C",'Riesgos de gestión'!$O$40),"")</f>
        <v/>
      </c>
      <c r="W51" s="68" t="str">
        <f>IF(AND('Riesgos de gestión'!$Y$41="Muy Baja",'Riesgos de gestión'!$AA$41="Moderado"),CONCATENATE("R6C",'Riesgos de gestión'!$O$41),"")</f>
        <v/>
      </c>
      <c r="X51" s="68" t="str">
        <f>IF(AND('Riesgos de gestión'!$Y$42="Muy Baja",'Riesgos de gestión'!$AA$42="Moderado"),CONCATENATE("R6C",'Riesgos de gestión'!$O$42),"")</f>
        <v/>
      </c>
      <c r="Y51" s="68" t="str">
        <f>IF(AND('Riesgos de gestión'!$Y$43="Muy Baja",'Riesgos de gestión'!$AA$43="Moderado"),CONCATENATE("R6C",'Riesgos de gestión'!$O$43),"")</f>
        <v/>
      </c>
      <c r="Z51" s="68" t="str">
        <f>IF(AND('Riesgos de gestión'!$Y$44="Muy Baja",'Riesgos de gestión'!$AA$44="Moderado"),CONCATENATE("R6C",'Riesgos de gestión'!$O$44),"")</f>
        <v/>
      </c>
      <c r="AA51" s="69" t="str">
        <f>IF(AND('Riesgos de gestión'!$Y$45="Muy Baja",'Riesgos de gestión'!$AA$45="Moderado"),CONCATENATE("R6C",'Riesgos de gestión'!$O$45),"")</f>
        <v/>
      </c>
      <c r="AB51" s="52" t="str">
        <f>IF(AND('Riesgos de gestión'!$Y$40="Muy Baja",'Riesgos de gestión'!$AA$40="Mayor"),CONCATENATE("R6C",'Riesgos de gestión'!$O$40),"")</f>
        <v/>
      </c>
      <c r="AC51" s="53" t="str">
        <f>IF(AND('Riesgos de gestión'!$Y$41="Muy Baja",'Riesgos de gestión'!$AA$41="Mayor"),CONCATENATE("R6C",'Riesgos de gestión'!$O$41),"")</f>
        <v/>
      </c>
      <c r="AD51" s="53" t="str">
        <f>IF(AND('Riesgos de gestión'!$Y$42="Muy Baja",'Riesgos de gestión'!$AA$42="Mayor"),CONCATENATE("R6C",'Riesgos de gestión'!$O$42),"")</f>
        <v/>
      </c>
      <c r="AE51" s="53" t="str">
        <f>IF(AND('Riesgos de gestión'!$Y$43="Muy Baja",'Riesgos de gestión'!$AA$43="Mayor"),CONCATENATE("R6C",'Riesgos de gestión'!$O$43),"")</f>
        <v/>
      </c>
      <c r="AF51" s="53" t="str">
        <f>IF(AND('Riesgos de gestión'!$Y$44="Muy Baja",'Riesgos de gestión'!$AA$44="Mayor"),CONCATENATE("R6C",'Riesgos de gestión'!$O$44),"")</f>
        <v/>
      </c>
      <c r="AG51" s="54" t="str">
        <f>IF(AND('Riesgos de gestión'!$Y$45="Muy Baja",'Riesgos de gestión'!$AA$45="Mayor"),CONCATENATE("R6C",'Riesgos de gestión'!$O$45),"")</f>
        <v/>
      </c>
      <c r="AH51" s="55" t="str">
        <f>IF(AND('Riesgos de gestión'!$Y$40="Muy Baja",'Riesgos de gestión'!$AA$40="Catastrófico"),CONCATENATE("R6C",'Riesgos de gestión'!$O$40),"")</f>
        <v/>
      </c>
      <c r="AI51" s="56" t="str">
        <f>IF(AND('Riesgos de gestión'!$Y$41="Muy Baja",'Riesgos de gestión'!$AA$41="Catastrófico"),CONCATENATE("R6C",'Riesgos de gestión'!$O$41),"")</f>
        <v/>
      </c>
      <c r="AJ51" s="56" t="str">
        <f>IF(AND('Riesgos de gestión'!$Y$42="Muy Baja",'Riesgos de gestión'!$AA$42="Catastrófico"),CONCATENATE("R6C",'Riesgos de gestión'!$O$42),"")</f>
        <v/>
      </c>
      <c r="AK51" s="56" t="str">
        <f>IF(AND('Riesgos de gestión'!$Y$43="Muy Baja",'Riesgos de gestión'!$AA$43="Catastrófico"),CONCATENATE("R6C",'Riesgos de gestión'!$O$43),"")</f>
        <v/>
      </c>
      <c r="AL51" s="56" t="str">
        <f>IF(AND('Riesgos de gestión'!$Y$44="Muy Baja",'Riesgos de gestión'!$AA$44="Catastrófico"),CONCATENATE("R6C",'Riesgos de gestión'!$O$44),"")</f>
        <v/>
      </c>
      <c r="AM51" s="57" t="str">
        <f>IF(AND('Riesgos de gestión'!$Y$45="Muy Baja",'Riesgos de gestión'!$AA$45="Catastrófico"),CONCATENATE("R6C",'Riesgos de gestión'!$O$45),"")</f>
        <v/>
      </c>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ht="15" customHeight="1" x14ac:dyDescent="0.25">
      <c r="A52" s="83"/>
      <c r="B52" s="1144"/>
      <c r="C52" s="1144"/>
      <c r="D52" s="1145"/>
      <c r="E52" s="1185"/>
      <c r="F52" s="1186"/>
      <c r="G52" s="1186"/>
      <c r="H52" s="1186"/>
      <c r="I52" s="1187"/>
      <c r="J52" s="76" t="str">
        <f>IF(AND('Riesgos de gestión'!$Y$46="Muy Baja",'Riesgos de gestión'!$AA$46="Leve"),CONCATENATE("R7C",'Riesgos de gestión'!$O$46),"")</f>
        <v/>
      </c>
      <c r="K52" s="77" t="str">
        <f>IF(AND('Riesgos de gestión'!$Y$47="Muy Baja",'Riesgos de gestión'!$AA$47="Leve"),CONCATENATE("R7C",'Riesgos de gestión'!$O$47),"")</f>
        <v/>
      </c>
      <c r="L52" s="77" t="str">
        <f>IF(AND('Riesgos de gestión'!$Y$48="Muy Baja",'Riesgos de gestión'!$AA$48="Leve"),CONCATENATE("R7C",'Riesgos de gestión'!$O$48),"")</f>
        <v/>
      </c>
      <c r="M52" s="77" t="str">
        <f>IF(AND('Riesgos de gestión'!$Y$49="Muy Baja",'Riesgos de gestión'!$AA$49="Leve"),CONCATENATE("R7C",'Riesgos de gestión'!$O$49),"")</f>
        <v/>
      </c>
      <c r="N52" s="77" t="str">
        <f>IF(AND('Riesgos de gestión'!$Y$50="Muy Baja",'Riesgos de gestión'!$AA$50="Leve"),CONCATENATE("R7C",'Riesgos de gestión'!$O$50),"")</f>
        <v/>
      </c>
      <c r="O52" s="78" t="str">
        <f>IF(AND('Riesgos de gestión'!$Y$51="Muy Baja",'Riesgos de gestión'!$AA$51="Leve"),CONCATENATE("R7C",'Riesgos de gestión'!$O$51),"")</f>
        <v/>
      </c>
      <c r="P52" s="76" t="str">
        <f>IF(AND('Riesgos de gestión'!$Y$46="Muy Baja",'Riesgos de gestión'!$AA$46="Menor"),CONCATENATE("R7C",'Riesgos de gestión'!$O$46),"")</f>
        <v/>
      </c>
      <c r="Q52" s="77" t="str">
        <f>IF(AND('Riesgos de gestión'!$Y$47="Muy Baja",'Riesgos de gestión'!$AA$47="Menor"),CONCATENATE("R7C",'Riesgos de gestión'!$O$47),"")</f>
        <v/>
      </c>
      <c r="R52" s="77" t="str">
        <f>IF(AND('Riesgos de gestión'!$Y$48="Muy Baja",'Riesgos de gestión'!$AA$48="Menor"),CONCATENATE("R7C",'Riesgos de gestión'!$O$48),"")</f>
        <v/>
      </c>
      <c r="S52" s="77" t="str">
        <f>IF(AND('Riesgos de gestión'!$Y$49="Muy Baja",'Riesgos de gestión'!$AA$49="Menor"),CONCATENATE("R7C",'Riesgos de gestión'!$O$49),"")</f>
        <v/>
      </c>
      <c r="T52" s="77" t="str">
        <f>IF(AND('Riesgos de gestión'!$Y$50="Muy Baja",'Riesgos de gestión'!$AA$50="Menor"),CONCATENATE("R7C",'Riesgos de gestión'!$O$50),"")</f>
        <v/>
      </c>
      <c r="U52" s="78" t="str">
        <f>IF(AND('Riesgos de gestión'!$Y$51="Muy Baja",'Riesgos de gestión'!$AA$51="Menor"),CONCATENATE("R7C",'Riesgos de gestión'!$O$51),"")</f>
        <v/>
      </c>
      <c r="V52" s="67" t="str">
        <f>IF(AND('Riesgos de gestión'!$Y$46="Muy Baja",'Riesgos de gestión'!$AA$46="Moderado"),CONCATENATE("R7C",'Riesgos de gestión'!$O$46),"")</f>
        <v/>
      </c>
      <c r="W52" s="68" t="str">
        <f>IF(AND('Riesgos de gestión'!$Y$47="Muy Baja",'Riesgos de gestión'!$AA$47="Moderado"),CONCATENATE("R7C",'Riesgos de gestión'!$O$47),"")</f>
        <v/>
      </c>
      <c r="X52" s="68" t="str">
        <f>IF(AND('Riesgos de gestión'!$Y$48="Muy Baja",'Riesgos de gestión'!$AA$48="Moderado"),CONCATENATE("R7C",'Riesgos de gestión'!$O$48),"")</f>
        <v/>
      </c>
      <c r="Y52" s="68" t="str">
        <f>IF(AND('Riesgos de gestión'!$Y$49="Muy Baja",'Riesgos de gestión'!$AA$49="Moderado"),CONCATENATE("R7C",'Riesgos de gestión'!$O$49),"")</f>
        <v/>
      </c>
      <c r="Z52" s="68" t="str">
        <f>IF(AND('Riesgos de gestión'!$Y$50="Muy Baja",'Riesgos de gestión'!$AA$50="Moderado"),CONCATENATE("R7C",'Riesgos de gestión'!$O$50),"")</f>
        <v/>
      </c>
      <c r="AA52" s="69" t="str">
        <f>IF(AND('Riesgos de gestión'!$Y$51="Muy Baja",'Riesgos de gestión'!$AA$51="Moderado"),CONCATENATE("R7C",'Riesgos de gestión'!$O$51),"")</f>
        <v/>
      </c>
      <c r="AB52" s="52" t="str">
        <f>IF(AND('Riesgos de gestión'!$Y$46="Muy Baja",'Riesgos de gestión'!$AA$46="Mayor"),CONCATENATE("R7C",'Riesgos de gestión'!$O$46),"")</f>
        <v/>
      </c>
      <c r="AC52" s="53" t="str">
        <f>IF(AND('Riesgos de gestión'!$Y$47="Muy Baja",'Riesgos de gestión'!$AA$47="Mayor"),CONCATENATE("R7C",'Riesgos de gestión'!$O$47),"")</f>
        <v/>
      </c>
      <c r="AD52" s="53" t="str">
        <f>IF(AND('Riesgos de gestión'!$Y$48="Muy Baja",'Riesgos de gestión'!$AA$48="Mayor"),CONCATENATE("R7C",'Riesgos de gestión'!$O$48),"")</f>
        <v/>
      </c>
      <c r="AE52" s="53" t="str">
        <f>IF(AND('Riesgos de gestión'!$Y$49="Muy Baja",'Riesgos de gestión'!$AA$49="Mayor"),CONCATENATE("R7C",'Riesgos de gestión'!$O$49),"")</f>
        <v/>
      </c>
      <c r="AF52" s="53" t="str">
        <f>IF(AND('Riesgos de gestión'!$Y$50="Muy Baja",'Riesgos de gestión'!$AA$50="Mayor"),CONCATENATE("R7C",'Riesgos de gestión'!$O$50),"")</f>
        <v/>
      </c>
      <c r="AG52" s="54" t="str">
        <f>IF(AND('Riesgos de gestión'!$Y$51="Muy Baja",'Riesgos de gestión'!$AA$51="Mayor"),CONCATENATE("R7C",'Riesgos de gestión'!$O$51),"")</f>
        <v/>
      </c>
      <c r="AH52" s="55" t="str">
        <f>IF(AND('Riesgos de gestión'!$Y$46="Muy Baja",'Riesgos de gestión'!$AA$46="Catastrófico"),CONCATENATE("R7C",'Riesgos de gestión'!$O$46),"")</f>
        <v/>
      </c>
      <c r="AI52" s="56" t="str">
        <f>IF(AND('Riesgos de gestión'!$Y$47="Muy Baja",'Riesgos de gestión'!$AA$47="Catastrófico"),CONCATENATE("R7C",'Riesgos de gestión'!$O$47),"")</f>
        <v/>
      </c>
      <c r="AJ52" s="56" t="str">
        <f>IF(AND('Riesgos de gestión'!$Y$48="Muy Baja",'Riesgos de gestión'!$AA$48="Catastrófico"),CONCATENATE("R7C",'Riesgos de gestión'!$O$48),"")</f>
        <v/>
      </c>
      <c r="AK52" s="56" t="str">
        <f>IF(AND('Riesgos de gestión'!$Y$49="Muy Baja",'Riesgos de gestión'!$AA$49="Catastrófico"),CONCATENATE("R7C",'Riesgos de gestión'!$O$49),"")</f>
        <v/>
      </c>
      <c r="AL52" s="56" t="str">
        <f>IF(AND('Riesgos de gestión'!$Y$50="Muy Baja",'Riesgos de gestión'!$AA$50="Catastrófico"),CONCATENATE("R7C",'Riesgos de gestión'!$O$50),"")</f>
        <v/>
      </c>
      <c r="AM52" s="57" t="str">
        <f>IF(AND('Riesgos de gestión'!$Y$51="Muy Baja",'Riesgos de gestión'!$AA$51="Catastrófico"),CONCATENATE("R7C",'Riesgos de gestión'!$O$51),"")</f>
        <v/>
      </c>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1144"/>
      <c r="C53" s="1144"/>
      <c r="D53" s="1145"/>
      <c r="E53" s="1185"/>
      <c r="F53" s="1186"/>
      <c r="G53" s="1186"/>
      <c r="H53" s="1186"/>
      <c r="I53" s="1187"/>
      <c r="J53" s="76" t="str">
        <f>IF(AND('Riesgos de gestión'!$Y$52="Muy Baja",'Riesgos de gestión'!$AA$52="Leve"),CONCATENATE("R8C",'Riesgos de gestión'!$O$52),"")</f>
        <v/>
      </c>
      <c r="K53" s="77" t="str">
        <f>IF(AND('Riesgos de gestión'!$Y$53="Muy Baja",'Riesgos de gestión'!$AA$53="Leve"),CONCATENATE("R8C",'Riesgos de gestión'!$O$53),"")</f>
        <v/>
      </c>
      <c r="L53" s="77" t="str">
        <f>IF(AND('Riesgos de gestión'!$Y$54="Muy Baja",'Riesgos de gestión'!$AA$54="Leve"),CONCATENATE("R8C",'Riesgos de gestión'!$O$54),"")</f>
        <v/>
      </c>
      <c r="M53" s="77" t="str">
        <f>IF(AND('Riesgos de gestión'!$Y$55="Muy Baja",'Riesgos de gestión'!$AA$55="Leve"),CONCATENATE("R8C",'Riesgos de gestión'!$O$55),"")</f>
        <v/>
      </c>
      <c r="N53" s="77" t="str">
        <f>IF(AND('Riesgos de gestión'!$Y$56="Muy Baja",'Riesgos de gestión'!$AA$56="Leve"),CONCATENATE("R8C",'Riesgos de gestión'!$O$56),"")</f>
        <v/>
      </c>
      <c r="O53" s="78" t="str">
        <f>IF(AND('Riesgos de gestión'!$Y$57="Muy Baja",'Riesgos de gestión'!$AA$57="Leve"),CONCATENATE("R8C",'Riesgos de gestión'!$O$57),"")</f>
        <v/>
      </c>
      <c r="P53" s="76" t="str">
        <f>IF(AND('Riesgos de gestión'!$Y$52="Muy Baja",'Riesgos de gestión'!$AA$52="Menor"),CONCATENATE("R8C",'Riesgos de gestión'!$O$52),"")</f>
        <v/>
      </c>
      <c r="Q53" s="77" t="str">
        <f>IF(AND('Riesgos de gestión'!$Y$53="Muy Baja",'Riesgos de gestión'!$AA$53="Menor"),CONCATENATE("R8C",'Riesgos de gestión'!$O$53),"")</f>
        <v/>
      </c>
      <c r="R53" s="77" t="str">
        <f>IF(AND('Riesgos de gestión'!$Y$54="Muy Baja",'Riesgos de gestión'!$AA$54="Menor"),CONCATENATE("R8C",'Riesgos de gestión'!$O$54),"")</f>
        <v/>
      </c>
      <c r="S53" s="77" t="str">
        <f>IF(AND('Riesgos de gestión'!$Y$55="Muy Baja",'Riesgos de gestión'!$AA$55="Menor"),CONCATENATE("R8C",'Riesgos de gestión'!$O$55),"")</f>
        <v/>
      </c>
      <c r="T53" s="77" t="str">
        <f>IF(AND('Riesgos de gestión'!$Y$56="Muy Baja",'Riesgos de gestión'!$AA$56="Menor"),CONCATENATE("R8C",'Riesgos de gestión'!$O$56),"")</f>
        <v/>
      </c>
      <c r="U53" s="78" t="str">
        <f>IF(AND('Riesgos de gestión'!$Y$57="Muy Baja",'Riesgos de gestión'!$AA$57="Menor"),CONCATENATE("R8C",'Riesgos de gestión'!$O$57),"")</f>
        <v/>
      </c>
      <c r="V53" s="67" t="str">
        <f>IF(AND('Riesgos de gestión'!$Y$52="Muy Baja",'Riesgos de gestión'!$AA$52="Moderado"),CONCATENATE("R8C",'Riesgos de gestión'!$O$52),"")</f>
        <v/>
      </c>
      <c r="W53" s="68" t="str">
        <f>IF(AND('Riesgos de gestión'!$Y$53="Muy Baja",'Riesgos de gestión'!$AA$53="Moderado"),CONCATENATE("R8C",'Riesgos de gestión'!$O$53),"")</f>
        <v/>
      </c>
      <c r="X53" s="68" t="str">
        <f>IF(AND('Riesgos de gestión'!$Y$54="Muy Baja",'Riesgos de gestión'!$AA$54="Moderado"),CONCATENATE("R8C",'Riesgos de gestión'!$O$54),"")</f>
        <v/>
      </c>
      <c r="Y53" s="68" t="str">
        <f>IF(AND('Riesgos de gestión'!$Y$55="Muy Baja",'Riesgos de gestión'!$AA$55="Moderado"),CONCATENATE("R8C",'Riesgos de gestión'!$O$55),"")</f>
        <v/>
      </c>
      <c r="Z53" s="68" t="str">
        <f>IF(AND('Riesgos de gestión'!$Y$56="Muy Baja",'Riesgos de gestión'!$AA$56="Moderado"),CONCATENATE("R8C",'Riesgos de gestión'!$O$56),"")</f>
        <v/>
      </c>
      <c r="AA53" s="69" t="str">
        <f>IF(AND('Riesgos de gestión'!$Y$57="Muy Baja",'Riesgos de gestión'!$AA$57="Moderado"),CONCATENATE("R8C",'Riesgos de gestión'!$O$57),"")</f>
        <v/>
      </c>
      <c r="AB53" s="52" t="str">
        <f>IF(AND('Riesgos de gestión'!$Y$52="Muy Baja",'Riesgos de gestión'!$AA$52="Mayor"),CONCATENATE("R8C",'Riesgos de gestión'!$O$52),"")</f>
        <v/>
      </c>
      <c r="AC53" s="53" t="str">
        <f>IF(AND('Riesgos de gestión'!$Y$53="Muy Baja",'Riesgos de gestión'!$AA$53="Mayor"),CONCATENATE("R8C",'Riesgos de gestión'!$O$53),"")</f>
        <v/>
      </c>
      <c r="AD53" s="53" t="str">
        <f>IF(AND('Riesgos de gestión'!$Y$54="Muy Baja",'Riesgos de gestión'!$AA$54="Mayor"),CONCATENATE("R8C",'Riesgos de gestión'!$O$54),"")</f>
        <v/>
      </c>
      <c r="AE53" s="53" t="str">
        <f>IF(AND('Riesgos de gestión'!$Y$55="Muy Baja",'Riesgos de gestión'!$AA$55="Mayor"),CONCATENATE("R8C",'Riesgos de gestión'!$O$55),"")</f>
        <v/>
      </c>
      <c r="AF53" s="53" t="str">
        <f>IF(AND('Riesgos de gestión'!$Y$56="Muy Baja",'Riesgos de gestión'!$AA$56="Mayor"),CONCATENATE("R8C",'Riesgos de gestión'!$O$56),"")</f>
        <v/>
      </c>
      <c r="AG53" s="54" t="str">
        <f>IF(AND('Riesgos de gestión'!$Y$57="Muy Baja",'Riesgos de gestión'!$AA$57="Mayor"),CONCATENATE("R8C",'Riesgos de gestión'!$O$57),"")</f>
        <v/>
      </c>
      <c r="AH53" s="55" t="str">
        <f>IF(AND('Riesgos de gestión'!$Y$52="Muy Baja",'Riesgos de gestión'!$AA$52="Catastrófico"),CONCATENATE("R8C",'Riesgos de gestión'!$O$52),"")</f>
        <v/>
      </c>
      <c r="AI53" s="56" t="str">
        <f>IF(AND('Riesgos de gestión'!$Y$53="Muy Baja",'Riesgos de gestión'!$AA$53="Catastrófico"),CONCATENATE("R8C",'Riesgos de gestión'!$O$53),"")</f>
        <v/>
      </c>
      <c r="AJ53" s="56" t="str">
        <f>IF(AND('Riesgos de gestión'!$Y$54="Muy Baja",'Riesgos de gestión'!$AA$54="Catastrófico"),CONCATENATE("R8C",'Riesgos de gestión'!$O$54),"")</f>
        <v/>
      </c>
      <c r="AK53" s="56" t="str">
        <f>IF(AND('Riesgos de gestión'!$Y$55="Muy Baja",'Riesgos de gestión'!$AA$55="Catastrófico"),CONCATENATE("R8C",'Riesgos de gestión'!$O$55),"")</f>
        <v/>
      </c>
      <c r="AL53" s="56" t="str">
        <f>IF(AND('Riesgos de gestión'!$Y$56="Muy Baja",'Riesgos de gestión'!$AA$56="Catastrófico"),CONCATENATE("R8C",'Riesgos de gestión'!$O$56),"")</f>
        <v/>
      </c>
      <c r="AM53" s="57" t="str">
        <f>IF(AND('Riesgos de gestión'!$Y$57="Muy Baja",'Riesgos de gestión'!$AA$57="Catastrófico"),CONCATENATE("R8C",'Riesgos de gestión'!$O$57),"")</f>
        <v/>
      </c>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1144"/>
      <c r="C54" s="1144"/>
      <c r="D54" s="1145"/>
      <c r="E54" s="1185"/>
      <c r="F54" s="1186"/>
      <c r="G54" s="1186"/>
      <c r="H54" s="1186"/>
      <c r="I54" s="1187"/>
      <c r="J54" s="76" t="str">
        <f>IF(AND('Riesgos de gestión'!$Y$58="Muy Baja",'Riesgos de gestión'!$AA$58="Leve"),CONCATENATE("R9C",'Riesgos de gestión'!$O$58),"")</f>
        <v/>
      </c>
      <c r="K54" s="77" t="str">
        <f>IF(AND('Riesgos de gestión'!$Y$59="Muy Baja",'Riesgos de gestión'!$AA$59="Leve"),CONCATENATE("R9C",'Riesgos de gestión'!$O$59),"")</f>
        <v/>
      </c>
      <c r="L54" s="77" t="str">
        <f>IF(AND('Riesgos de gestión'!$Y$60="Muy Baja",'Riesgos de gestión'!$AA$60="Leve"),CONCATENATE("R9C",'Riesgos de gestión'!$O$60),"")</f>
        <v/>
      </c>
      <c r="M54" s="77" t="str">
        <f>IF(AND('Riesgos de gestión'!$Y$61="Muy Baja",'Riesgos de gestión'!$AA$61="Leve"),CONCATENATE("R9C",'Riesgos de gestión'!$O$61),"")</f>
        <v/>
      </c>
      <c r="N54" s="77" t="str">
        <f>IF(AND('Riesgos de gestión'!$Y$62="Muy Baja",'Riesgos de gestión'!$AA$62="Leve"),CONCATENATE("R9C",'Riesgos de gestión'!$O$62),"")</f>
        <v/>
      </c>
      <c r="O54" s="78" t="str">
        <f>IF(AND('Riesgos de gestión'!$Y$63="Muy Baja",'Riesgos de gestión'!$AA$63="Leve"),CONCATENATE("R9C",'Riesgos de gestión'!$O$63),"")</f>
        <v/>
      </c>
      <c r="P54" s="76" t="str">
        <f>IF(AND('Riesgos de gestión'!$Y$58="Muy Baja",'Riesgos de gestión'!$AA$58="Menor"),CONCATENATE("R9C",'Riesgos de gestión'!$O$58),"")</f>
        <v/>
      </c>
      <c r="Q54" s="77" t="str">
        <f>IF(AND('Riesgos de gestión'!$Y$59="Muy Baja",'Riesgos de gestión'!$AA$59="Menor"),CONCATENATE("R9C",'Riesgos de gestión'!$O$59),"")</f>
        <v/>
      </c>
      <c r="R54" s="77" t="str">
        <f>IF(AND('Riesgos de gestión'!$Y$60="Muy Baja",'Riesgos de gestión'!$AA$60="Menor"),CONCATENATE("R9C",'Riesgos de gestión'!$O$60),"")</f>
        <v/>
      </c>
      <c r="S54" s="77" t="str">
        <f>IF(AND('Riesgos de gestión'!$Y$61="Muy Baja",'Riesgos de gestión'!$AA$61="Menor"),CONCATENATE("R9C",'Riesgos de gestión'!$O$61),"")</f>
        <v/>
      </c>
      <c r="T54" s="77" t="str">
        <f>IF(AND('Riesgos de gestión'!$Y$62="Muy Baja",'Riesgos de gestión'!$AA$62="Menor"),CONCATENATE("R9C",'Riesgos de gestión'!$O$62),"")</f>
        <v/>
      </c>
      <c r="U54" s="78" t="str">
        <f>IF(AND('Riesgos de gestión'!$Y$63="Muy Baja",'Riesgos de gestión'!$AA$63="Menor"),CONCATENATE("R9C",'Riesgos de gestión'!$O$63),"")</f>
        <v/>
      </c>
      <c r="V54" s="67" t="str">
        <f>IF(AND('Riesgos de gestión'!$Y$58="Muy Baja",'Riesgos de gestión'!$AA$58="Moderado"),CONCATENATE("R9C",'Riesgos de gestión'!$O$58),"")</f>
        <v/>
      </c>
      <c r="W54" s="68" t="str">
        <f>IF(AND('Riesgos de gestión'!$Y$59="Muy Baja",'Riesgos de gestión'!$AA$59="Moderado"),CONCATENATE("R9C",'Riesgos de gestión'!$O$59),"")</f>
        <v/>
      </c>
      <c r="X54" s="68" t="str">
        <f>IF(AND('Riesgos de gestión'!$Y$60="Muy Baja",'Riesgos de gestión'!$AA$60="Moderado"),CONCATENATE("R9C",'Riesgos de gestión'!$O$60),"")</f>
        <v/>
      </c>
      <c r="Y54" s="68" t="str">
        <f>IF(AND('Riesgos de gestión'!$Y$61="Muy Baja",'Riesgos de gestión'!$AA$61="Moderado"),CONCATENATE("R9C",'Riesgos de gestión'!$O$61),"")</f>
        <v/>
      </c>
      <c r="Z54" s="68" t="str">
        <f>IF(AND('Riesgos de gestión'!$Y$62="Muy Baja",'Riesgos de gestión'!$AA$62="Moderado"),CONCATENATE("R9C",'Riesgos de gestión'!$O$62),"")</f>
        <v/>
      </c>
      <c r="AA54" s="69" t="str">
        <f>IF(AND('Riesgos de gestión'!$Y$63="Muy Baja",'Riesgos de gestión'!$AA$63="Moderado"),CONCATENATE("R9C",'Riesgos de gestión'!$O$63),"")</f>
        <v/>
      </c>
      <c r="AB54" s="52" t="str">
        <f>IF(AND('Riesgos de gestión'!$Y$58="Muy Baja",'Riesgos de gestión'!$AA$58="Mayor"),CONCATENATE("R9C",'Riesgos de gestión'!$O$58),"")</f>
        <v/>
      </c>
      <c r="AC54" s="53" t="str">
        <f>IF(AND('Riesgos de gestión'!$Y$59="Muy Baja",'Riesgos de gestión'!$AA$59="Mayor"),CONCATENATE("R9C",'Riesgos de gestión'!$O$59),"")</f>
        <v/>
      </c>
      <c r="AD54" s="53" t="str">
        <f>IF(AND('Riesgos de gestión'!$Y$60="Muy Baja",'Riesgos de gestión'!$AA$60="Mayor"),CONCATENATE("R9C",'Riesgos de gestión'!$O$60),"")</f>
        <v/>
      </c>
      <c r="AE54" s="53" t="str">
        <f>IF(AND('Riesgos de gestión'!$Y$61="Muy Baja",'Riesgos de gestión'!$AA$61="Mayor"),CONCATENATE("R9C",'Riesgos de gestión'!$O$61),"")</f>
        <v/>
      </c>
      <c r="AF54" s="53" t="str">
        <f>IF(AND('Riesgos de gestión'!$Y$62="Muy Baja",'Riesgos de gestión'!$AA$62="Mayor"),CONCATENATE("R9C",'Riesgos de gestión'!$O$62),"")</f>
        <v/>
      </c>
      <c r="AG54" s="54" t="str">
        <f>IF(AND('Riesgos de gestión'!$Y$63="Muy Baja",'Riesgos de gestión'!$AA$63="Mayor"),CONCATENATE("R9C",'Riesgos de gestión'!$O$63),"")</f>
        <v/>
      </c>
      <c r="AH54" s="55" t="str">
        <f>IF(AND('Riesgos de gestión'!$Y$58="Muy Baja",'Riesgos de gestión'!$AA$58="Catastrófico"),CONCATENATE("R9C",'Riesgos de gestión'!$O$58),"")</f>
        <v/>
      </c>
      <c r="AI54" s="56" t="str">
        <f>IF(AND('Riesgos de gestión'!$Y$59="Muy Baja",'Riesgos de gestión'!$AA$59="Catastrófico"),CONCATENATE("R9C",'Riesgos de gestión'!$O$59),"")</f>
        <v/>
      </c>
      <c r="AJ54" s="56" t="str">
        <f>IF(AND('Riesgos de gestión'!$Y$60="Muy Baja",'Riesgos de gestión'!$AA$60="Catastrófico"),CONCATENATE("R9C",'Riesgos de gestión'!$O$60),"")</f>
        <v/>
      </c>
      <c r="AK54" s="56" t="str">
        <f>IF(AND('Riesgos de gestión'!$Y$61="Muy Baja",'Riesgos de gestión'!$AA$61="Catastrófico"),CONCATENATE("R9C",'Riesgos de gestión'!$O$61),"")</f>
        <v/>
      </c>
      <c r="AL54" s="56" t="str">
        <f>IF(AND('Riesgos de gestión'!$Y$62="Muy Baja",'Riesgos de gestión'!$AA$62="Catastrófico"),CONCATENATE("R9C",'Riesgos de gestión'!$O$62),"")</f>
        <v/>
      </c>
      <c r="AM54" s="57" t="str">
        <f>IF(AND('Riesgos de gestión'!$Y$63="Muy Baja",'Riesgos de gestión'!$AA$63="Catastrófico"),CONCATENATE("R9C",'Riesgos de gestión'!$O$63),"")</f>
        <v/>
      </c>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ht="15.75" customHeight="1" thickBot="1" x14ac:dyDescent="0.3">
      <c r="A55" s="83"/>
      <c r="B55" s="1144"/>
      <c r="C55" s="1144"/>
      <c r="D55" s="1145"/>
      <c r="E55" s="1188"/>
      <c r="F55" s="1189"/>
      <c r="G55" s="1189"/>
      <c r="H55" s="1189"/>
      <c r="I55" s="1190"/>
      <c r="J55" s="79" t="str">
        <f>IF(AND('Riesgos de gestión'!$Y$64="Muy Baja",'Riesgos de gestión'!$AA$64="Leve"),CONCATENATE("R10C",'Riesgos de gestión'!$O$64),"")</f>
        <v/>
      </c>
      <c r="K55" s="80" t="str">
        <f>IF(AND('Riesgos de gestión'!$Y$65="Muy Baja",'Riesgos de gestión'!$AA$65="Leve"),CONCATENATE("R10C",'Riesgos de gestión'!$O$65),"")</f>
        <v/>
      </c>
      <c r="L55" s="80" t="str">
        <f>IF(AND('Riesgos de gestión'!$Y$66="Muy Baja",'Riesgos de gestión'!$AA$66="Leve"),CONCATENATE("R10C",'Riesgos de gestión'!$O$66),"")</f>
        <v/>
      </c>
      <c r="M55" s="80" t="str">
        <f>IF(AND('Riesgos de gestión'!$Y$67="Muy Baja",'Riesgos de gestión'!$AA$67="Leve"),CONCATENATE("R10C",'Riesgos de gestión'!$O$67),"")</f>
        <v/>
      </c>
      <c r="N55" s="80" t="str">
        <f>IF(AND('Riesgos de gestión'!$Y$68="Muy Baja",'Riesgos de gestión'!$AA$68="Leve"),CONCATENATE("R10C",'Riesgos de gestión'!$O$68),"")</f>
        <v/>
      </c>
      <c r="O55" s="81" t="str">
        <f>IF(AND('Riesgos de gestión'!$Y$69="Muy Baja",'Riesgos de gestión'!$AA$69="Leve"),CONCATENATE("R10C",'Riesgos de gestión'!$O$69),"")</f>
        <v/>
      </c>
      <c r="P55" s="79" t="str">
        <f>IF(AND('Riesgos de gestión'!$Y$64="Muy Baja",'Riesgos de gestión'!$AA$64="Menor"),CONCATENATE("R10C",'Riesgos de gestión'!$O$64),"")</f>
        <v/>
      </c>
      <c r="Q55" s="80" t="str">
        <f>IF(AND('Riesgos de gestión'!$Y$65="Muy Baja",'Riesgos de gestión'!$AA$65="Menor"),CONCATENATE("R10C",'Riesgos de gestión'!$O$65),"")</f>
        <v/>
      </c>
      <c r="R55" s="80" t="str">
        <f>IF(AND('Riesgos de gestión'!$Y$66="Muy Baja",'Riesgos de gestión'!$AA$66="Menor"),CONCATENATE("R10C",'Riesgos de gestión'!$O$66),"")</f>
        <v/>
      </c>
      <c r="S55" s="80" t="str">
        <f>IF(AND('Riesgos de gestión'!$Y$67="Muy Baja",'Riesgos de gestión'!$AA$67="Menor"),CONCATENATE("R10C",'Riesgos de gestión'!$O$67),"")</f>
        <v/>
      </c>
      <c r="T55" s="80" t="str">
        <f>IF(AND('Riesgos de gestión'!$Y$68="Muy Baja",'Riesgos de gestión'!$AA$68="Menor"),CONCATENATE("R10C",'Riesgos de gestión'!$O$68),"")</f>
        <v/>
      </c>
      <c r="U55" s="81" t="str">
        <f>IF(AND('Riesgos de gestión'!$Y$69="Muy Baja",'Riesgos de gestión'!$AA$69="Menor"),CONCATENATE("R10C",'Riesgos de gestión'!$O$69),"")</f>
        <v/>
      </c>
      <c r="V55" s="70" t="str">
        <f>IF(AND('Riesgos de gestión'!$Y$64="Muy Baja",'Riesgos de gestión'!$AA$64="Moderado"),CONCATENATE("R10C",'Riesgos de gestión'!$O$64),"")</f>
        <v/>
      </c>
      <c r="W55" s="71" t="str">
        <f>IF(AND('Riesgos de gestión'!$Y$65="Muy Baja",'Riesgos de gestión'!$AA$65="Moderado"),CONCATENATE("R10C",'Riesgos de gestión'!$O$65),"")</f>
        <v/>
      </c>
      <c r="X55" s="71" t="str">
        <f>IF(AND('Riesgos de gestión'!$Y$66="Muy Baja",'Riesgos de gestión'!$AA$66="Moderado"),CONCATENATE("R10C",'Riesgos de gestión'!$O$66),"")</f>
        <v/>
      </c>
      <c r="Y55" s="71" t="str">
        <f>IF(AND('Riesgos de gestión'!$Y$67="Muy Baja",'Riesgos de gestión'!$AA$67="Moderado"),CONCATENATE("R10C",'Riesgos de gestión'!$O$67),"")</f>
        <v/>
      </c>
      <c r="Z55" s="71" t="str">
        <f>IF(AND('Riesgos de gestión'!$Y$68="Muy Baja",'Riesgos de gestión'!$AA$68="Moderado"),CONCATENATE("R10C",'Riesgos de gestión'!$O$68),"")</f>
        <v/>
      </c>
      <c r="AA55" s="72" t="str">
        <f>IF(AND('Riesgos de gestión'!$Y$69="Muy Baja",'Riesgos de gestión'!$AA$69="Moderado"),CONCATENATE("R10C",'Riesgos de gestión'!$O$69),"")</f>
        <v/>
      </c>
      <c r="AB55" s="58" t="str">
        <f>IF(AND('Riesgos de gestión'!$Y$64="Muy Baja",'Riesgos de gestión'!$AA$64="Mayor"),CONCATENATE("R10C",'Riesgos de gestión'!$O$64),"")</f>
        <v/>
      </c>
      <c r="AC55" s="59" t="str">
        <f>IF(AND('Riesgos de gestión'!$Y$65="Muy Baja",'Riesgos de gestión'!$AA$65="Mayor"),CONCATENATE("R10C",'Riesgos de gestión'!$O$65),"")</f>
        <v/>
      </c>
      <c r="AD55" s="59" t="str">
        <f>IF(AND('Riesgos de gestión'!$Y$66="Muy Baja",'Riesgos de gestión'!$AA$66="Mayor"),CONCATENATE("R10C",'Riesgos de gestión'!$O$66),"")</f>
        <v/>
      </c>
      <c r="AE55" s="59" t="str">
        <f>IF(AND('Riesgos de gestión'!$Y$67="Muy Baja",'Riesgos de gestión'!$AA$67="Mayor"),CONCATENATE("R10C",'Riesgos de gestión'!$O$67),"")</f>
        <v/>
      </c>
      <c r="AF55" s="59" t="str">
        <f>IF(AND('Riesgos de gestión'!$Y$68="Muy Baja",'Riesgos de gestión'!$AA$68="Mayor"),CONCATENATE("R10C",'Riesgos de gestión'!$O$68),"")</f>
        <v/>
      </c>
      <c r="AG55" s="60" t="str">
        <f>IF(AND('Riesgos de gestión'!$Y$69="Muy Baja",'Riesgos de gestión'!$AA$69="Mayor"),CONCATENATE("R10C",'Riesgos de gestión'!$O$69),"")</f>
        <v/>
      </c>
      <c r="AH55" s="61" t="str">
        <f>IF(AND('Riesgos de gestión'!$Y$64="Muy Baja",'Riesgos de gestión'!$AA$64="Catastrófico"),CONCATENATE("R10C",'Riesgos de gestión'!$O$64),"")</f>
        <v/>
      </c>
      <c r="AI55" s="62" t="str">
        <f>IF(AND('Riesgos de gestión'!$Y$65="Muy Baja",'Riesgos de gestión'!$AA$65="Catastrófico"),CONCATENATE("R10C",'Riesgos de gestión'!$O$65),"")</f>
        <v/>
      </c>
      <c r="AJ55" s="62" t="str">
        <f>IF(AND('Riesgos de gestión'!$Y$66="Muy Baja",'Riesgos de gestión'!$AA$66="Catastrófico"),CONCATENATE("R10C",'Riesgos de gestión'!$O$66),"")</f>
        <v/>
      </c>
      <c r="AK55" s="62" t="str">
        <f>IF(AND('Riesgos de gestión'!$Y$67="Muy Baja",'Riesgos de gestión'!$AA$67="Catastrófico"),CONCATENATE("R10C",'Riesgos de gestión'!$O$67),"")</f>
        <v/>
      </c>
      <c r="AL55" s="62" t="str">
        <f>IF(AND('Riesgos de gestión'!$Y$68="Muy Baja",'Riesgos de gestión'!$AA$68="Catastrófico"),CONCATENATE("R10C",'Riesgos de gestión'!$O$68),"")</f>
        <v/>
      </c>
      <c r="AM55" s="63" t="str">
        <f>IF(AND('Riesgos de gestión'!$Y$69="Muy Baja",'Riesgos de gestión'!$AA$69="Catastrófico"),CONCATENATE("R10C",'Riesgos de gestión'!$O$69),"")</f>
        <v/>
      </c>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1182" t="s">
        <v>112</v>
      </c>
      <c r="K56" s="1183"/>
      <c r="L56" s="1183"/>
      <c r="M56" s="1183"/>
      <c r="N56" s="1183"/>
      <c r="O56" s="1184"/>
      <c r="P56" s="1182" t="s">
        <v>111</v>
      </c>
      <c r="Q56" s="1183"/>
      <c r="R56" s="1183"/>
      <c r="S56" s="1183"/>
      <c r="T56" s="1183"/>
      <c r="U56" s="1184"/>
      <c r="V56" s="1182" t="s">
        <v>110</v>
      </c>
      <c r="W56" s="1183"/>
      <c r="X56" s="1183"/>
      <c r="Y56" s="1183"/>
      <c r="Z56" s="1183"/>
      <c r="AA56" s="1184"/>
      <c r="AB56" s="1182" t="s">
        <v>109</v>
      </c>
      <c r="AC56" s="1191"/>
      <c r="AD56" s="1183"/>
      <c r="AE56" s="1183"/>
      <c r="AF56" s="1183"/>
      <c r="AG56" s="1184"/>
      <c r="AH56" s="1182" t="s">
        <v>108</v>
      </c>
      <c r="AI56" s="1183"/>
      <c r="AJ56" s="1183"/>
      <c r="AK56" s="1183"/>
      <c r="AL56" s="1183"/>
      <c r="AM56" s="1184"/>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1185"/>
      <c r="K57" s="1186"/>
      <c r="L57" s="1186"/>
      <c r="M57" s="1186"/>
      <c r="N57" s="1186"/>
      <c r="O57" s="1187"/>
      <c r="P57" s="1185"/>
      <c r="Q57" s="1186"/>
      <c r="R57" s="1186"/>
      <c r="S57" s="1186"/>
      <c r="T57" s="1186"/>
      <c r="U57" s="1187"/>
      <c r="V57" s="1185"/>
      <c r="W57" s="1186"/>
      <c r="X57" s="1186"/>
      <c r="Y57" s="1186"/>
      <c r="Z57" s="1186"/>
      <c r="AA57" s="1187"/>
      <c r="AB57" s="1185"/>
      <c r="AC57" s="1186"/>
      <c r="AD57" s="1186"/>
      <c r="AE57" s="1186"/>
      <c r="AF57" s="1186"/>
      <c r="AG57" s="1187"/>
      <c r="AH57" s="1185"/>
      <c r="AI57" s="1186"/>
      <c r="AJ57" s="1186"/>
      <c r="AK57" s="1186"/>
      <c r="AL57" s="1186"/>
      <c r="AM57" s="1187"/>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1185"/>
      <c r="K58" s="1186"/>
      <c r="L58" s="1186"/>
      <c r="M58" s="1186"/>
      <c r="N58" s="1186"/>
      <c r="O58" s="1187"/>
      <c r="P58" s="1185"/>
      <c r="Q58" s="1186"/>
      <c r="R58" s="1186"/>
      <c r="S58" s="1186"/>
      <c r="T58" s="1186"/>
      <c r="U58" s="1187"/>
      <c r="V58" s="1185"/>
      <c r="W58" s="1186"/>
      <c r="X58" s="1186"/>
      <c r="Y58" s="1186"/>
      <c r="Z58" s="1186"/>
      <c r="AA58" s="1187"/>
      <c r="AB58" s="1185"/>
      <c r="AC58" s="1186"/>
      <c r="AD58" s="1186"/>
      <c r="AE58" s="1186"/>
      <c r="AF58" s="1186"/>
      <c r="AG58" s="1187"/>
      <c r="AH58" s="1185"/>
      <c r="AI58" s="1186"/>
      <c r="AJ58" s="1186"/>
      <c r="AK58" s="1186"/>
      <c r="AL58" s="1186"/>
      <c r="AM58" s="1187"/>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1185"/>
      <c r="K59" s="1186"/>
      <c r="L59" s="1186"/>
      <c r="M59" s="1186"/>
      <c r="N59" s="1186"/>
      <c r="O59" s="1187"/>
      <c r="P59" s="1185"/>
      <c r="Q59" s="1186"/>
      <c r="R59" s="1186"/>
      <c r="S59" s="1186"/>
      <c r="T59" s="1186"/>
      <c r="U59" s="1187"/>
      <c r="V59" s="1185"/>
      <c r="W59" s="1186"/>
      <c r="X59" s="1186"/>
      <c r="Y59" s="1186"/>
      <c r="Z59" s="1186"/>
      <c r="AA59" s="1187"/>
      <c r="AB59" s="1185"/>
      <c r="AC59" s="1186"/>
      <c r="AD59" s="1186"/>
      <c r="AE59" s="1186"/>
      <c r="AF59" s="1186"/>
      <c r="AG59" s="1187"/>
      <c r="AH59" s="1185"/>
      <c r="AI59" s="1186"/>
      <c r="AJ59" s="1186"/>
      <c r="AK59" s="1186"/>
      <c r="AL59" s="1186"/>
      <c r="AM59" s="1187"/>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1185"/>
      <c r="K60" s="1186"/>
      <c r="L60" s="1186"/>
      <c r="M60" s="1186"/>
      <c r="N60" s="1186"/>
      <c r="O60" s="1187"/>
      <c r="P60" s="1185"/>
      <c r="Q60" s="1186"/>
      <c r="R60" s="1186"/>
      <c r="S60" s="1186"/>
      <c r="T60" s="1186"/>
      <c r="U60" s="1187"/>
      <c r="V60" s="1185"/>
      <c r="W60" s="1186"/>
      <c r="X60" s="1186"/>
      <c r="Y60" s="1186"/>
      <c r="Z60" s="1186"/>
      <c r="AA60" s="1187"/>
      <c r="AB60" s="1185"/>
      <c r="AC60" s="1186"/>
      <c r="AD60" s="1186"/>
      <c r="AE60" s="1186"/>
      <c r="AF60" s="1186"/>
      <c r="AG60" s="1187"/>
      <c r="AH60" s="1185"/>
      <c r="AI60" s="1186"/>
      <c r="AJ60" s="1186"/>
      <c r="AK60" s="1186"/>
      <c r="AL60" s="1186"/>
      <c r="AM60" s="1187"/>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ht="15.75" thickBot="1" x14ac:dyDescent="0.3">
      <c r="A61" s="83"/>
      <c r="B61" s="83"/>
      <c r="C61" s="83"/>
      <c r="D61" s="83"/>
      <c r="E61" s="83"/>
      <c r="F61" s="83"/>
      <c r="G61" s="83"/>
      <c r="H61" s="83"/>
      <c r="I61" s="83"/>
      <c r="J61" s="1188"/>
      <c r="K61" s="1189"/>
      <c r="L61" s="1189"/>
      <c r="M61" s="1189"/>
      <c r="N61" s="1189"/>
      <c r="O61" s="1190"/>
      <c r="P61" s="1188"/>
      <c r="Q61" s="1189"/>
      <c r="R61" s="1189"/>
      <c r="S61" s="1189"/>
      <c r="T61" s="1189"/>
      <c r="U61" s="1190"/>
      <c r="V61" s="1188"/>
      <c r="W61" s="1189"/>
      <c r="X61" s="1189"/>
      <c r="Y61" s="1189"/>
      <c r="Z61" s="1189"/>
      <c r="AA61" s="1190"/>
      <c r="AB61" s="1188"/>
      <c r="AC61" s="1189"/>
      <c r="AD61" s="1189"/>
      <c r="AE61" s="1189"/>
      <c r="AF61" s="1189"/>
      <c r="AG61" s="1190"/>
      <c r="AH61" s="1188"/>
      <c r="AI61" s="1189"/>
      <c r="AJ61" s="1189"/>
      <c r="AK61" s="1189"/>
      <c r="AL61" s="1189"/>
      <c r="AM61" s="1190"/>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80" ht="15" customHeight="1" x14ac:dyDescent="0.25">
      <c r="A63" s="8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3"/>
      <c r="AV63" s="83"/>
      <c r="AW63" s="83"/>
      <c r="AX63" s="83"/>
      <c r="AY63" s="83"/>
      <c r="AZ63" s="83"/>
      <c r="BA63" s="83"/>
      <c r="BB63" s="83"/>
      <c r="BC63" s="83"/>
      <c r="BD63" s="83"/>
      <c r="BE63" s="83"/>
      <c r="BF63" s="83"/>
      <c r="BG63" s="83"/>
      <c r="BH63" s="83"/>
    </row>
    <row r="64" spans="1:80" ht="15" customHeight="1" x14ac:dyDescent="0.25">
      <c r="A64" s="8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3"/>
      <c r="AV64" s="83"/>
      <c r="AW64" s="83"/>
      <c r="AX64" s="83"/>
      <c r="AY64" s="83"/>
      <c r="AZ64" s="83"/>
      <c r="BA64" s="83"/>
      <c r="BB64" s="83"/>
      <c r="BC64" s="83"/>
      <c r="BD64" s="83"/>
      <c r="BE64" s="83"/>
      <c r="BF64" s="83"/>
      <c r="BG64" s="83"/>
      <c r="BH64" s="83"/>
    </row>
    <row r="65" spans="1:6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row r="159" spans="1:60"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row>
    <row r="160" spans="1:60"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row>
    <row r="161" spans="1:60"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row>
    <row r="162" spans="1:60"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row>
    <row r="163" spans="1:60"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row>
    <row r="164" spans="1:60"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row>
    <row r="165" spans="1:60"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row>
    <row r="166" spans="1:60"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row>
    <row r="167" spans="1:60"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row>
    <row r="168" spans="1:60"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row>
    <row r="169" spans="1:60"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row>
    <row r="170" spans="1:60"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row>
    <row r="171" spans="1:60"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row>
    <row r="172" spans="1:60"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row>
    <row r="173" spans="1:60"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row>
    <row r="174" spans="1:60"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row>
    <row r="175" spans="1:60"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row>
    <row r="176" spans="1:60"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row>
    <row r="177" spans="1:60"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row>
    <row r="178" spans="1:60"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row>
    <row r="179" spans="1:60"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row>
    <row r="180" spans="1:60"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row>
    <row r="181" spans="1:60"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row>
    <row r="182" spans="1:60"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row>
    <row r="183" spans="1:60"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row>
    <row r="184" spans="1:60"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row>
    <row r="185" spans="1:60"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row>
    <row r="186" spans="1:60"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row>
    <row r="187" spans="1:60"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row>
    <row r="188" spans="1:60"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row>
    <row r="189" spans="1:60"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row>
    <row r="190" spans="1:60"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row>
    <row r="191" spans="1:60" x14ac:dyDescent="0.25">
      <c r="A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row>
    <row r="192" spans="1:60" x14ac:dyDescent="0.25">
      <c r="A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row>
    <row r="193" spans="1:60" x14ac:dyDescent="0.25">
      <c r="A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row>
    <row r="194" spans="1:60" x14ac:dyDescent="0.25">
      <c r="A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row>
    <row r="195" spans="1:60" x14ac:dyDescent="0.25">
      <c r="A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row>
    <row r="196" spans="1:60" x14ac:dyDescent="0.25">
      <c r="A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row>
    <row r="197" spans="1:60" x14ac:dyDescent="0.25">
      <c r="A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row>
    <row r="198" spans="1:60" x14ac:dyDescent="0.25">
      <c r="A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row>
    <row r="199" spans="1:60" x14ac:dyDescent="0.25">
      <c r="A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row>
    <row r="200" spans="1:60" x14ac:dyDescent="0.25">
      <c r="A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row>
    <row r="201" spans="1:60" x14ac:dyDescent="0.25">
      <c r="A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row>
    <row r="202" spans="1:60" x14ac:dyDescent="0.25">
      <c r="A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row>
    <row r="203" spans="1:60" x14ac:dyDescent="0.25">
      <c r="A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row>
    <row r="204" spans="1:60" x14ac:dyDescent="0.25">
      <c r="A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row>
    <row r="205" spans="1:60" x14ac:dyDescent="0.25">
      <c r="A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row>
    <row r="206" spans="1:60" x14ac:dyDescent="0.25">
      <c r="A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row>
    <row r="207" spans="1:60" x14ac:dyDescent="0.25">
      <c r="A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row>
    <row r="208" spans="1:60" x14ac:dyDescent="0.25">
      <c r="A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row>
    <row r="209" spans="1:60" x14ac:dyDescent="0.25">
      <c r="A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row>
    <row r="210" spans="1:60" x14ac:dyDescent="0.25">
      <c r="A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row>
    <row r="211" spans="1:60" x14ac:dyDescent="0.25">
      <c r="A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row>
    <row r="212" spans="1:60" x14ac:dyDescent="0.25">
      <c r="A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row>
    <row r="213" spans="1:60" x14ac:dyDescent="0.25">
      <c r="A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row>
    <row r="214" spans="1:60" x14ac:dyDescent="0.25">
      <c r="A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row>
    <row r="215" spans="1:60" x14ac:dyDescent="0.25">
      <c r="A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row>
    <row r="216" spans="1:60" x14ac:dyDescent="0.25">
      <c r="A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row>
    <row r="217" spans="1:60" x14ac:dyDescent="0.25">
      <c r="A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row>
    <row r="218" spans="1:60" x14ac:dyDescent="0.25">
      <c r="A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row>
    <row r="219" spans="1:60" x14ac:dyDescent="0.25">
      <c r="A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row>
    <row r="220" spans="1:60" x14ac:dyDescent="0.25">
      <c r="A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row>
    <row r="221" spans="1:60" x14ac:dyDescent="0.25">
      <c r="A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row>
    <row r="222" spans="1:60" x14ac:dyDescent="0.25">
      <c r="A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row>
    <row r="223" spans="1:60" x14ac:dyDescent="0.25">
      <c r="A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row>
    <row r="224" spans="1:60" x14ac:dyDescent="0.25">
      <c r="A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row>
    <row r="225" spans="1:60" x14ac:dyDescent="0.25">
      <c r="A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row>
    <row r="226" spans="1:60" x14ac:dyDescent="0.25">
      <c r="A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row>
    <row r="227" spans="1:60" x14ac:dyDescent="0.25">
      <c r="A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row>
    <row r="228" spans="1:60" x14ac:dyDescent="0.25">
      <c r="A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row>
    <row r="229" spans="1:60" x14ac:dyDescent="0.25">
      <c r="A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row>
    <row r="230" spans="1:60" x14ac:dyDescent="0.25">
      <c r="A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row>
    <row r="231" spans="1:60" x14ac:dyDescent="0.25">
      <c r="A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row>
    <row r="232" spans="1:60" x14ac:dyDescent="0.25">
      <c r="A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row>
    <row r="233" spans="1:60" x14ac:dyDescent="0.25">
      <c r="A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row>
    <row r="234" spans="1:60" x14ac:dyDescent="0.25">
      <c r="A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row>
    <row r="235" spans="1:60" x14ac:dyDescent="0.25">
      <c r="A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row>
    <row r="236" spans="1:60" x14ac:dyDescent="0.25">
      <c r="A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row>
    <row r="237" spans="1:60" x14ac:dyDescent="0.25">
      <c r="A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row>
    <row r="238" spans="1:60" x14ac:dyDescent="0.25">
      <c r="A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row>
    <row r="239" spans="1:60" x14ac:dyDescent="0.25">
      <c r="A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row>
    <row r="240" spans="1:60" x14ac:dyDescent="0.25">
      <c r="A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row>
    <row r="241" spans="1:60" x14ac:dyDescent="0.25">
      <c r="A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row>
    <row r="242" spans="1:60" x14ac:dyDescent="0.25">
      <c r="A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row>
    <row r="243" spans="1:60" x14ac:dyDescent="0.25">
      <c r="A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row>
    <row r="244" spans="1:60" x14ac:dyDescent="0.25">
      <c r="A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row>
    <row r="245" spans="1:60" x14ac:dyDescent="0.25">
      <c r="A245" s="83"/>
    </row>
    <row r="246" spans="1:60" x14ac:dyDescent="0.25">
      <c r="A246" s="83"/>
    </row>
    <row r="247" spans="1:60" x14ac:dyDescent="0.25">
      <c r="A247" s="83"/>
    </row>
    <row r="248" spans="1:60" x14ac:dyDescent="0.25">
      <c r="A248" s="83"/>
    </row>
  </sheetData>
  <sheetProtection algorithmName="SHA-512" hashValue="pk41qPkreGaIienBHjYN6qHrG0CgO529+BqkFfOkTGgU8ieLIk2ly7oHCkTe6nIJwtUs4b/6dT5t6eEiLeXG7Q==" saltValue="1Vg2zxH2JXOw6ZLmo/E9SA==" spinCount="100000" sheet="1" objects="1" scenarios="1"/>
  <mergeCells count="17">
    <mergeCell ref="AO16:AT25"/>
    <mergeCell ref="E16:I25"/>
    <mergeCell ref="AO6:AT15"/>
    <mergeCell ref="B2:I4"/>
    <mergeCell ref="J2:AM4"/>
    <mergeCell ref="B6:D55"/>
    <mergeCell ref="E6:I15"/>
    <mergeCell ref="E46:I55"/>
    <mergeCell ref="AO36:AT45"/>
    <mergeCell ref="E36:I45"/>
    <mergeCell ref="AO26:AT35"/>
    <mergeCell ref="E26:I35"/>
    <mergeCell ref="J56:O61"/>
    <mergeCell ref="P56:U61"/>
    <mergeCell ref="V56:AA61"/>
    <mergeCell ref="AB56:AG61"/>
    <mergeCell ref="AH56:AM6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E19"/>
  <sheetViews>
    <sheetView topLeftCell="A4" workbookViewId="0">
      <selection activeCell="B13" sqref="B13:B19"/>
    </sheetView>
  </sheetViews>
  <sheetFormatPr baseColWidth="10" defaultRowHeight="15" x14ac:dyDescent="0.25"/>
  <sheetData>
    <row r="2" spans="2:5" x14ac:dyDescent="0.25">
      <c r="B2" t="s">
        <v>31</v>
      </c>
      <c r="E2" t="s">
        <v>133</v>
      </c>
    </row>
    <row r="3" spans="2:5" x14ac:dyDescent="0.25">
      <c r="B3" t="s">
        <v>32</v>
      </c>
      <c r="E3" t="s">
        <v>132</v>
      </c>
    </row>
    <row r="4" spans="2:5" x14ac:dyDescent="0.25">
      <c r="B4" t="s">
        <v>137</v>
      </c>
      <c r="E4" t="s">
        <v>134</v>
      </c>
    </row>
    <row r="5" spans="2:5" x14ac:dyDescent="0.25">
      <c r="B5" t="s">
        <v>136</v>
      </c>
    </row>
    <row r="8" spans="2:5" x14ac:dyDescent="0.25">
      <c r="B8" t="s">
        <v>86</v>
      </c>
    </row>
    <row r="9" spans="2:5" x14ac:dyDescent="0.25">
      <c r="B9" t="s">
        <v>40</v>
      </c>
    </row>
    <row r="10" spans="2:5" x14ac:dyDescent="0.25">
      <c r="B10" t="s">
        <v>41</v>
      </c>
    </row>
    <row r="13" spans="2:5" x14ac:dyDescent="0.25">
      <c r="B13" t="s">
        <v>129</v>
      </c>
    </row>
    <row r="14" spans="2:5" x14ac:dyDescent="0.25">
      <c r="B14" t="s">
        <v>123</v>
      </c>
    </row>
    <row r="15" spans="2:5" x14ac:dyDescent="0.25">
      <c r="B15" t="s">
        <v>126</v>
      </c>
    </row>
    <row r="16" spans="2:5" x14ac:dyDescent="0.25">
      <c r="B16" t="s">
        <v>124</v>
      </c>
    </row>
    <row r="17" spans="2:2" x14ac:dyDescent="0.25">
      <c r="B17" t="s">
        <v>125</v>
      </c>
    </row>
    <row r="18" spans="2:2" x14ac:dyDescent="0.25">
      <c r="B18" t="s">
        <v>127</v>
      </c>
    </row>
    <row r="19" spans="2:2" x14ac:dyDescent="0.25">
      <c r="B19" t="s">
        <v>128</v>
      </c>
    </row>
  </sheetData>
  <sortState xmlns:xlrd2="http://schemas.microsoft.com/office/spreadsheetml/2017/richdata2" ref="B2:B5">
    <sortCondition ref="B2:B5"/>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A21"/>
  <sheetViews>
    <sheetView workbookViewId="0">
      <selection activeCell="A19" sqref="A19"/>
    </sheetView>
  </sheetViews>
  <sheetFormatPr baseColWidth="10" defaultColWidth="11.42578125" defaultRowHeight="12.75" x14ac:dyDescent="0.2"/>
  <cols>
    <col min="1" max="1" width="32.85546875" style="9" customWidth="1"/>
    <col min="2" max="16384" width="11.42578125" style="9"/>
  </cols>
  <sheetData>
    <row r="3" spans="1:1" x14ac:dyDescent="0.2">
      <c r="A3" s="10" t="s">
        <v>14</v>
      </c>
    </row>
    <row r="4" spans="1:1" x14ac:dyDescent="0.2">
      <c r="A4" s="10" t="s">
        <v>15</v>
      </c>
    </row>
    <row r="5" spans="1:1" x14ac:dyDescent="0.2">
      <c r="A5" s="10" t="s">
        <v>16</v>
      </c>
    </row>
    <row r="6" spans="1:1" x14ac:dyDescent="0.2">
      <c r="A6" s="10" t="s">
        <v>10</v>
      </c>
    </row>
    <row r="7" spans="1:1" x14ac:dyDescent="0.2">
      <c r="A7" s="10" t="s">
        <v>9</v>
      </c>
    </row>
    <row r="8" spans="1:1" x14ac:dyDescent="0.2">
      <c r="A8" s="10" t="s">
        <v>19</v>
      </c>
    </row>
    <row r="9" spans="1:1" x14ac:dyDescent="0.2">
      <c r="A9" s="10" t="s">
        <v>20</v>
      </c>
    </row>
    <row r="10" spans="1:1" x14ac:dyDescent="0.2">
      <c r="A10" s="10" t="s">
        <v>22</v>
      </c>
    </row>
    <row r="11" spans="1:1" x14ac:dyDescent="0.2">
      <c r="A11" s="10" t="s">
        <v>23</v>
      </c>
    </row>
    <row r="12" spans="1:1" x14ac:dyDescent="0.2">
      <c r="A12" s="10" t="s">
        <v>25</v>
      </c>
    </row>
    <row r="13" spans="1:1" x14ac:dyDescent="0.2">
      <c r="A13" s="10" t="s">
        <v>26</v>
      </c>
    </row>
    <row r="14" spans="1:1" x14ac:dyDescent="0.2">
      <c r="A14" s="10" t="s">
        <v>27</v>
      </c>
    </row>
    <row r="16" spans="1:1" x14ac:dyDescent="0.2">
      <c r="A16" s="10" t="s">
        <v>30</v>
      </c>
    </row>
    <row r="17" spans="1:1" x14ac:dyDescent="0.2">
      <c r="A17" s="10" t="s">
        <v>31</v>
      </c>
    </row>
    <row r="18" spans="1:1" x14ac:dyDescent="0.2">
      <c r="A18" s="10" t="s">
        <v>32</v>
      </c>
    </row>
    <row r="20" spans="1:1" x14ac:dyDescent="0.2">
      <c r="A20" s="10" t="s">
        <v>40</v>
      </c>
    </row>
    <row r="21" spans="1:1" x14ac:dyDescent="0.2">
      <c r="A21" s="10"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C907-D4B3-45B6-A633-53B44E549FD3}">
  <dimension ref="A1:N126"/>
  <sheetViews>
    <sheetView topLeftCell="D2" zoomScale="48" zoomScaleNormal="48" workbookViewId="0">
      <selection activeCell="L6" sqref="L6"/>
    </sheetView>
  </sheetViews>
  <sheetFormatPr baseColWidth="10" defaultRowHeight="15" x14ac:dyDescent="0.25"/>
  <cols>
    <col min="1" max="1" width="24" style="138" customWidth="1"/>
    <col min="2" max="2" width="27.7109375" style="138" customWidth="1"/>
    <col min="3" max="3" width="49.28515625" style="138" customWidth="1"/>
    <col min="4" max="4" width="27.85546875" customWidth="1"/>
    <col min="5" max="5" width="24.5703125" customWidth="1"/>
    <col min="6" max="6" width="31" customWidth="1"/>
    <col min="7" max="7" width="31.140625" customWidth="1"/>
    <col min="8" max="8" width="40.85546875" customWidth="1"/>
    <col min="9" max="9" width="74.42578125" customWidth="1"/>
    <col min="10" max="11" width="21.7109375" customWidth="1"/>
    <col min="12" max="12" width="23.5703125" customWidth="1"/>
    <col min="13" max="13" width="24.28515625" customWidth="1"/>
    <col min="14" max="14" width="27.85546875" customWidth="1"/>
  </cols>
  <sheetData>
    <row r="1" spans="1:14" ht="117" customHeight="1" thickBot="1" x14ac:dyDescent="0.3"/>
    <row r="2" spans="1:14" ht="49.5" customHeight="1" thickBot="1" x14ac:dyDescent="0.3">
      <c r="E2" s="473" t="s">
        <v>461</v>
      </c>
      <c r="F2" s="474"/>
      <c r="G2" s="474"/>
      <c r="H2" s="475"/>
    </row>
    <row r="3" spans="1:14" ht="26.25" customHeight="1" thickBot="1" x14ac:dyDescent="0.3">
      <c r="B3"/>
      <c r="E3" s="481" t="s">
        <v>465</v>
      </c>
      <c r="F3" s="482"/>
      <c r="G3" s="482" t="s">
        <v>462</v>
      </c>
      <c r="H3" s="483"/>
    </row>
    <row r="4" spans="1:14" ht="84.75" customHeight="1" thickBot="1" x14ac:dyDescent="0.3">
      <c r="B4"/>
      <c r="E4" s="479" t="s">
        <v>463</v>
      </c>
      <c r="F4" s="480"/>
      <c r="G4" s="480" t="s">
        <v>464</v>
      </c>
      <c r="H4" s="484"/>
    </row>
    <row r="5" spans="1:14" ht="26.25" customHeight="1" x14ac:dyDescent="0.25">
      <c r="B5"/>
    </row>
    <row r="6" spans="1:14" ht="27.75" customHeight="1" thickBot="1" x14ac:dyDescent="0.3"/>
    <row r="7" spans="1:14" s="179" customFormat="1" ht="27" customHeight="1" thickBot="1" x14ac:dyDescent="0.4">
      <c r="A7" s="485" t="s">
        <v>371</v>
      </c>
      <c r="B7" s="486"/>
      <c r="C7" s="486"/>
      <c r="D7" s="486"/>
      <c r="E7" s="486"/>
      <c r="F7" s="486"/>
      <c r="G7" s="486"/>
      <c r="H7" s="486"/>
      <c r="I7" s="487"/>
      <c r="J7" s="305"/>
      <c r="K7" s="305"/>
      <c r="L7" s="305"/>
      <c r="M7" s="305"/>
      <c r="N7" s="305"/>
    </row>
    <row r="8" spans="1:14" s="179" customFormat="1" ht="27" customHeight="1" thickBot="1" x14ac:dyDescent="0.4">
      <c r="A8" s="476" t="s">
        <v>459</v>
      </c>
      <c r="B8" s="477"/>
      <c r="C8" s="478"/>
      <c r="D8" s="468" t="s">
        <v>370</v>
      </c>
      <c r="E8" s="469"/>
      <c r="F8" s="469"/>
      <c r="G8" s="469"/>
      <c r="H8" s="469"/>
      <c r="I8" s="470"/>
    </row>
    <row r="9" spans="1:14" s="139" customFormat="1" ht="57.75" customHeight="1" thickBot="1" x14ac:dyDescent="0.3">
      <c r="A9" s="265" t="s">
        <v>344</v>
      </c>
      <c r="B9" s="265" t="s">
        <v>345</v>
      </c>
      <c r="C9" s="266" t="s">
        <v>363</v>
      </c>
      <c r="D9" s="267" t="s">
        <v>541</v>
      </c>
      <c r="E9" s="267" t="s">
        <v>539</v>
      </c>
      <c r="F9" s="267" t="s">
        <v>542</v>
      </c>
      <c r="G9" s="267" t="s">
        <v>543</v>
      </c>
      <c r="H9" s="267" t="s">
        <v>540</v>
      </c>
      <c r="I9" s="265" t="s">
        <v>194</v>
      </c>
    </row>
    <row r="10" spans="1:14" ht="129" customHeight="1" thickBot="1" x14ac:dyDescent="0.3">
      <c r="A10" s="264" t="s">
        <v>354</v>
      </c>
      <c r="B10" s="264" t="s">
        <v>359</v>
      </c>
      <c r="C10" s="316" t="s">
        <v>368</v>
      </c>
      <c r="D10" s="425" t="s">
        <v>616</v>
      </c>
      <c r="E10" s="425" t="s">
        <v>577</v>
      </c>
      <c r="F10" s="425" t="s">
        <v>578</v>
      </c>
      <c r="G10" s="425" t="s">
        <v>617</v>
      </c>
      <c r="H10" s="425" t="s">
        <v>618</v>
      </c>
      <c r="I10" s="433" t="s">
        <v>619</v>
      </c>
    </row>
    <row r="11" spans="1:14" ht="88.5" customHeight="1" thickBot="1" x14ac:dyDescent="0.3">
      <c r="A11" s="309"/>
      <c r="B11" s="309"/>
      <c r="C11" s="310"/>
      <c r="D11" s="308"/>
      <c r="E11" s="308"/>
      <c r="F11" s="308"/>
      <c r="G11" s="308"/>
      <c r="H11" s="308"/>
      <c r="I11" s="306"/>
    </row>
    <row r="12" spans="1:14" ht="43.5" customHeight="1" thickBot="1" x14ac:dyDescent="0.3">
      <c r="I12" s="306"/>
    </row>
    <row r="13" spans="1:14" ht="36.75" customHeight="1" x14ac:dyDescent="0.25">
      <c r="A13" s="492" t="s">
        <v>467</v>
      </c>
      <c r="B13" s="492"/>
      <c r="D13" s="471" t="s">
        <v>466</v>
      </c>
      <c r="E13" s="472"/>
      <c r="F13" s="472"/>
      <c r="G13" s="472"/>
      <c r="H13" s="472"/>
      <c r="I13" s="312"/>
    </row>
    <row r="14" spans="1:14" ht="43.5" customHeight="1" x14ac:dyDescent="0.25">
      <c r="D14" s="490" t="s">
        <v>466</v>
      </c>
      <c r="E14" s="490"/>
      <c r="F14" s="490" t="s">
        <v>546</v>
      </c>
      <c r="G14" s="490"/>
      <c r="H14" s="313" t="s">
        <v>547</v>
      </c>
    </row>
    <row r="15" spans="1:14" ht="39" customHeight="1" x14ac:dyDescent="0.25">
      <c r="D15" s="452" t="s">
        <v>193</v>
      </c>
      <c r="E15" s="453"/>
      <c r="F15" s="450"/>
      <c r="G15" s="450"/>
      <c r="H15" s="222"/>
    </row>
    <row r="16" spans="1:14" ht="41.25" customHeight="1" x14ac:dyDescent="0.25">
      <c r="D16" s="454"/>
      <c r="E16" s="455"/>
      <c r="F16" s="494" t="s">
        <v>610</v>
      </c>
      <c r="G16" s="495"/>
      <c r="H16" s="222" t="s">
        <v>548</v>
      </c>
    </row>
    <row r="17" spans="4:8" ht="27.75" customHeight="1" x14ac:dyDescent="0.25">
      <c r="D17" s="454"/>
      <c r="E17" s="455"/>
      <c r="F17" s="496" t="s">
        <v>575</v>
      </c>
      <c r="G17" s="496"/>
      <c r="H17" s="222" t="s">
        <v>549</v>
      </c>
    </row>
    <row r="18" spans="4:8" ht="33.75" customHeight="1" x14ac:dyDescent="0.25">
      <c r="D18" s="456"/>
      <c r="E18" s="457"/>
      <c r="F18" s="496"/>
      <c r="G18" s="496"/>
      <c r="H18" s="222"/>
    </row>
    <row r="19" spans="4:8" ht="28.5" customHeight="1" x14ac:dyDescent="0.25">
      <c r="D19" s="452" t="s">
        <v>579</v>
      </c>
      <c r="E19" s="453"/>
      <c r="F19" s="446" t="s">
        <v>580</v>
      </c>
      <c r="G19" s="446"/>
      <c r="H19" s="222"/>
    </row>
    <row r="20" spans="4:8" ht="33.75" customHeight="1" x14ac:dyDescent="0.25">
      <c r="D20" s="454"/>
      <c r="E20" s="455"/>
      <c r="F20" s="467" t="s">
        <v>581</v>
      </c>
      <c r="G20" s="467"/>
      <c r="H20" s="222"/>
    </row>
    <row r="21" spans="4:8" ht="33" customHeight="1" x14ac:dyDescent="0.25">
      <c r="D21" s="456"/>
      <c r="E21" s="457"/>
      <c r="F21" s="450"/>
      <c r="G21" s="450"/>
      <c r="H21" s="222"/>
    </row>
    <row r="22" spans="4:8" ht="30" customHeight="1" x14ac:dyDescent="0.25">
      <c r="D22" s="452" t="s">
        <v>579</v>
      </c>
      <c r="E22" s="453"/>
      <c r="F22" s="448" t="s">
        <v>582</v>
      </c>
      <c r="G22" s="449"/>
      <c r="H22" s="222"/>
    </row>
    <row r="23" spans="4:8" ht="29.25" customHeight="1" x14ac:dyDescent="0.25">
      <c r="D23" s="454"/>
      <c r="E23" s="455"/>
      <c r="F23" s="450" t="s">
        <v>583</v>
      </c>
      <c r="G23" s="451"/>
      <c r="H23" s="222"/>
    </row>
    <row r="24" spans="4:8" ht="15" customHeight="1" x14ac:dyDescent="0.25">
      <c r="D24" s="454"/>
      <c r="E24" s="455"/>
      <c r="F24" s="450" t="s">
        <v>584</v>
      </c>
      <c r="G24" s="451"/>
      <c r="H24" s="222"/>
    </row>
    <row r="25" spans="4:8" ht="33" customHeight="1" x14ac:dyDescent="0.25">
      <c r="D25" s="456"/>
      <c r="E25" s="457"/>
      <c r="F25" s="448"/>
      <c r="G25" s="449"/>
      <c r="H25" s="222"/>
    </row>
    <row r="26" spans="4:8" ht="33" customHeight="1" x14ac:dyDescent="0.25">
      <c r="D26" s="452" t="s">
        <v>193</v>
      </c>
      <c r="E26" s="453"/>
      <c r="F26" s="467" t="s">
        <v>585</v>
      </c>
      <c r="G26" s="467"/>
      <c r="H26" s="222"/>
    </row>
    <row r="27" spans="4:8" ht="33" customHeight="1" x14ac:dyDescent="0.25">
      <c r="D27" s="456"/>
      <c r="E27" s="457"/>
      <c r="F27" s="446" t="s">
        <v>586</v>
      </c>
      <c r="G27" s="446"/>
      <c r="H27" s="222"/>
    </row>
    <row r="28" spans="4:8" ht="28.5" customHeight="1" x14ac:dyDescent="0.25">
      <c r="D28" s="460" t="s">
        <v>579</v>
      </c>
      <c r="E28" s="461"/>
      <c r="F28" s="458" t="s">
        <v>587</v>
      </c>
      <c r="G28" s="459"/>
      <c r="H28" s="222"/>
    </row>
    <row r="29" spans="4:8" ht="29.25" customHeight="1" x14ac:dyDescent="0.25">
      <c r="D29" s="462"/>
      <c r="E29" s="463"/>
      <c r="F29" s="450" t="s">
        <v>588</v>
      </c>
      <c r="G29" s="451"/>
      <c r="H29" s="222"/>
    </row>
    <row r="30" spans="4:8" ht="33.75" customHeight="1" x14ac:dyDescent="0.25">
      <c r="D30" s="464"/>
      <c r="E30" s="465"/>
      <c r="F30" s="467"/>
      <c r="G30" s="467"/>
      <c r="H30" s="222"/>
    </row>
    <row r="31" spans="4:8" ht="33.75" customHeight="1" x14ac:dyDescent="0.25">
      <c r="D31" s="460"/>
      <c r="E31" s="461"/>
      <c r="F31" s="458"/>
      <c r="G31" s="459"/>
      <c r="H31" s="222"/>
    </row>
    <row r="32" spans="4:8" ht="33.75" customHeight="1" x14ac:dyDescent="0.25">
      <c r="D32" s="462"/>
      <c r="E32" s="463"/>
      <c r="F32" s="458"/>
      <c r="G32" s="459"/>
      <c r="H32" s="222"/>
    </row>
    <row r="33" spans="4:8" ht="33.75" customHeight="1" x14ac:dyDescent="0.25">
      <c r="D33" s="462"/>
      <c r="E33" s="463"/>
      <c r="F33" s="488"/>
      <c r="G33" s="489"/>
      <c r="H33" s="222"/>
    </row>
    <row r="34" spans="4:8" x14ac:dyDescent="0.25">
      <c r="D34" s="491"/>
      <c r="E34" s="491"/>
      <c r="F34" s="446"/>
      <c r="G34" s="446"/>
      <c r="H34" s="222"/>
    </row>
    <row r="35" spans="4:8" x14ac:dyDescent="0.25">
      <c r="D35" s="491"/>
      <c r="E35" s="491"/>
      <c r="F35" s="446"/>
      <c r="G35" s="446"/>
      <c r="H35" s="222"/>
    </row>
    <row r="36" spans="4:8" x14ac:dyDescent="0.25">
      <c r="D36" s="491"/>
      <c r="E36" s="491"/>
      <c r="F36" s="446"/>
      <c r="G36" s="446"/>
      <c r="H36" s="222"/>
    </row>
    <row r="37" spans="4:8" ht="15" customHeight="1" x14ac:dyDescent="0.25">
      <c r="D37" s="447"/>
      <c r="E37" s="447"/>
      <c r="F37" s="447"/>
      <c r="G37" s="447"/>
      <c r="H37" s="446"/>
    </row>
    <row r="38" spans="4:8" x14ac:dyDescent="0.25">
      <c r="D38" s="447"/>
      <c r="E38" s="447"/>
      <c r="F38" s="447"/>
      <c r="G38" s="447"/>
      <c r="H38" s="446"/>
    </row>
    <row r="39" spans="4:8" x14ac:dyDescent="0.25">
      <c r="D39" s="447"/>
      <c r="E39" s="447"/>
      <c r="F39" s="466"/>
      <c r="G39" s="466"/>
      <c r="H39" s="222"/>
    </row>
    <row r="40" spans="4:8" ht="50.25" customHeight="1" x14ac:dyDescent="0.25">
      <c r="D40" s="447"/>
      <c r="E40" s="447"/>
      <c r="F40" s="466"/>
      <c r="G40" s="466"/>
      <c r="H40" s="222"/>
    </row>
    <row r="108" spans="1:3" x14ac:dyDescent="0.25">
      <c r="A108" s="493" t="s">
        <v>468</v>
      </c>
      <c r="B108" s="493"/>
      <c r="C108" s="493"/>
    </row>
    <row r="110" spans="1:3" x14ac:dyDescent="0.25">
      <c r="A110" s="138" t="s">
        <v>358</v>
      </c>
      <c r="B110" s="138" t="s">
        <v>345</v>
      </c>
      <c r="C110" s="138" t="s">
        <v>369</v>
      </c>
    </row>
    <row r="111" spans="1:3" ht="75" x14ac:dyDescent="0.25">
      <c r="A111" s="138" t="s">
        <v>346</v>
      </c>
      <c r="B111" s="138" t="s">
        <v>359</v>
      </c>
      <c r="C111" s="178" t="s">
        <v>364</v>
      </c>
    </row>
    <row r="112" spans="1:3" ht="45" x14ac:dyDescent="0.25">
      <c r="A112" s="138" t="s">
        <v>347</v>
      </c>
      <c r="B112" s="138" t="s">
        <v>360</v>
      </c>
      <c r="C112" s="178" t="s">
        <v>365</v>
      </c>
    </row>
    <row r="113" spans="1:3" ht="75" x14ac:dyDescent="0.25">
      <c r="A113" s="138" t="s">
        <v>348</v>
      </c>
      <c r="B113" s="138" t="s">
        <v>361</v>
      </c>
      <c r="C113" s="178" t="s">
        <v>366</v>
      </c>
    </row>
    <row r="114" spans="1:3" ht="75" x14ac:dyDescent="0.25">
      <c r="A114" s="138" t="s">
        <v>349</v>
      </c>
      <c r="B114" s="138" t="s">
        <v>362</v>
      </c>
      <c r="C114" s="178" t="s">
        <v>367</v>
      </c>
    </row>
    <row r="115" spans="1:3" ht="90" x14ac:dyDescent="0.25">
      <c r="A115" s="138" t="s">
        <v>356</v>
      </c>
      <c r="C115" s="178" t="s">
        <v>368</v>
      </c>
    </row>
    <row r="116" spans="1:3" x14ac:dyDescent="0.25">
      <c r="A116" s="138" t="s">
        <v>357</v>
      </c>
    </row>
    <row r="117" spans="1:3" x14ac:dyDescent="0.25">
      <c r="A117" s="138" t="s">
        <v>350</v>
      </c>
    </row>
    <row r="118" spans="1:3" x14ac:dyDescent="0.25">
      <c r="A118" s="138" t="s">
        <v>351</v>
      </c>
    </row>
    <row r="119" spans="1:3" x14ac:dyDescent="0.25">
      <c r="A119" s="138" t="s">
        <v>352</v>
      </c>
    </row>
    <row r="120" spans="1:3" x14ac:dyDescent="0.25">
      <c r="A120" s="138" t="s">
        <v>353</v>
      </c>
    </row>
    <row r="121" spans="1:3" x14ac:dyDescent="0.25">
      <c r="A121" s="138" t="s">
        <v>354</v>
      </c>
    </row>
    <row r="122" spans="1:3" x14ac:dyDescent="0.25">
      <c r="A122" s="138" t="s">
        <v>355</v>
      </c>
    </row>
    <row r="125" spans="1:3" x14ac:dyDescent="0.25">
      <c r="A125" s="138" t="s">
        <v>548</v>
      </c>
    </row>
    <row r="126" spans="1:3" x14ac:dyDescent="0.25">
      <c r="A126" s="138" t="s">
        <v>549</v>
      </c>
    </row>
  </sheetData>
  <mergeCells count="47">
    <mergeCell ref="F39:G39"/>
    <mergeCell ref="F36:G36"/>
    <mergeCell ref="D34:E36"/>
    <mergeCell ref="A13:B13"/>
    <mergeCell ref="A108:C108"/>
    <mergeCell ref="F32:G32"/>
    <mergeCell ref="F29:G29"/>
    <mergeCell ref="F30:G30"/>
    <mergeCell ref="F21:G21"/>
    <mergeCell ref="F15:G15"/>
    <mergeCell ref="F20:G20"/>
    <mergeCell ref="F16:G16"/>
    <mergeCell ref="F17:G17"/>
    <mergeCell ref="F18:G18"/>
    <mergeCell ref="F19:G19"/>
    <mergeCell ref="D15:E18"/>
    <mergeCell ref="F33:G33"/>
    <mergeCell ref="F34:G34"/>
    <mergeCell ref="F35:G35"/>
    <mergeCell ref="D19:E21"/>
    <mergeCell ref="D14:E14"/>
    <mergeCell ref="F14:G14"/>
    <mergeCell ref="D8:I8"/>
    <mergeCell ref="D13:H13"/>
    <mergeCell ref="E2:H2"/>
    <mergeCell ref="A8:C8"/>
    <mergeCell ref="E4:F4"/>
    <mergeCell ref="E3:F3"/>
    <mergeCell ref="G3:H3"/>
    <mergeCell ref="G4:H4"/>
    <mergeCell ref="A7:I7"/>
    <mergeCell ref="H37:H38"/>
    <mergeCell ref="D37:E40"/>
    <mergeCell ref="F22:G22"/>
    <mergeCell ref="F23:G23"/>
    <mergeCell ref="D22:E25"/>
    <mergeCell ref="F25:G25"/>
    <mergeCell ref="F28:G28"/>
    <mergeCell ref="D28:E30"/>
    <mergeCell ref="F40:G40"/>
    <mergeCell ref="F24:G24"/>
    <mergeCell ref="D26:E27"/>
    <mergeCell ref="F26:G26"/>
    <mergeCell ref="F27:G27"/>
    <mergeCell ref="F31:G31"/>
    <mergeCell ref="D31:E33"/>
    <mergeCell ref="F37:G38"/>
  </mergeCells>
  <dataValidations count="4">
    <dataValidation type="list" allowBlank="1" showInputMessage="1" showErrorMessage="1" sqref="A10:A11" xr:uid="{75C63179-4CC0-4DE1-8413-CB11E097EDE0}">
      <formula1>$A$111:$A$122</formula1>
    </dataValidation>
    <dataValidation type="list" allowBlank="1" showInputMessage="1" showErrorMessage="1" sqref="B10:B11" xr:uid="{119E3A8E-C30E-4FB5-B61B-FDEFA0556B47}">
      <formula1>$B$111:$B$114</formula1>
    </dataValidation>
    <dataValidation type="list" allowBlank="1" showInputMessage="1" showErrorMessage="1" sqref="C10:C11" xr:uid="{DE8D7FCD-EDB2-40D6-98FB-C7C4E7FC50CF}">
      <formula1>$C$111:$C$115</formula1>
    </dataValidation>
    <dataValidation type="list" allowBlank="1" showInputMessage="1" showErrorMessage="1" sqref="H15:H33" xr:uid="{CC37580C-1786-45E8-96A2-12D0647523B3}">
      <formula1>$A$125:$A$126</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43"/>
  <sheetViews>
    <sheetView zoomScale="110" zoomScaleNormal="110" workbookViewId="0">
      <selection activeCell="B1" sqref="B1"/>
    </sheetView>
  </sheetViews>
  <sheetFormatPr baseColWidth="10" defaultColWidth="11.42578125" defaultRowHeight="15" x14ac:dyDescent="0.25"/>
  <cols>
    <col min="1" max="1" width="2.85546875" style="83" customWidth="1"/>
    <col min="2" max="3" width="24.7109375" style="83" customWidth="1"/>
    <col min="4" max="4" width="16" style="83" customWidth="1"/>
    <col min="5" max="5" width="24.7109375" style="83" customWidth="1"/>
    <col min="6" max="6" width="27.7109375" style="83" customWidth="1"/>
    <col min="7" max="8" width="24.7109375" style="83" customWidth="1"/>
    <col min="9" max="16384" width="11.42578125" style="83"/>
  </cols>
  <sheetData>
    <row r="1" spans="2:8" ht="67.5" customHeight="1" x14ac:dyDescent="0.25"/>
    <row r="2" spans="2:8" ht="79.5" customHeight="1" thickBot="1" x14ac:dyDescent="0.3"/>
    <row r="3" spans="2:8" ht="18" x14ac:dyDescent="0.25">
      <c r="B3" s="497" t="s">
        <v>166</v>
      </c>
      <c r="C3" s="498"/>
      <c r="D3" s="498"/>
      <c r="E3" s="498"/>
      <c r="F3" s="498"/>
      <c r="G3" s="498"/>
      <c r="H3" s="499"/>
    </row>
    <row r="4" spans="2:8" x14ac:dyDescent="0.25">
      <c r="B4" s="84"/>
      <c r="C4" s="85"/>
      <c r="D4" s="85"/>
      <c r="E4" s="85"/>
      <c r="F4" s="85"/>
      <c r="G4" s="85"/>
      <c r="H4" s="86"/>
    </row>
    <row r="5" spans="2:8" ht="63" customHeight="1" x14ac:dyDescent="0.25">
      <c r="B5" s="500" t="s">
        <v>534</v>
      </c>
      <c r="C5" s="501"/>
      <c r="D5" s="501"/>
      <c r="E5" s="501"/>
      <c r="F5" s="501"/>
      <c r="G5" s="501"/>
      <c r="H5" s="502"/>
    </row>
    <row r="6" spans="2:8" ht="63" customHeight="1" x14ac:dyDescent="0.25">
      <c r="B6" s="503"/>
      <c r="C6" s="504"/>
      <c r="D6" s="504"/>
      <c r="E6" s="504"/>
      <c r="F6" s="504"/>
      <c r="G6" s="504"/>
      <c r="H6" s="505"/>
    </row>
    <row r="7" spans="2:8" ht="16.5" x14ac:dyDescent="0.25">
      <c r="B7" s="506" t="s">
        <v>164</v>
      </c>
      <c r="C7" s="507"/>
      <c r="D7" s="507"/>
      <c r="E7" s="507"/>
      <c r="F7" s="507"/>
      <c r="G7" s="507"/>
      <c r="H7" s="508"/>
    </row>
    <row r="8" spans="2:8" ht="95.25" customHeight="1" x14ac:dyDescent="0.25">
      <c r="B8" s="516" t="s">
        <v>535</v>
      </c>
      <c r="C8" s="517"/>
      <c r="D8" s="517"/>
      <c r="E8" s="517"/>
      <c r="F8" s="517"/>
      <c r="G8" s="517"/>
      <c r="H8" s="518"/>
    </row>
    <row r="9" spans="2:8" ht="16.5" x14ac:dyDescent="0.25">
      <c r="B9" s="120"/>
      <c r="C9" s="121"/>
      <c r="D9" s="121"/>
      <c r="E9" s="121"/>
      <c r="F9" s="121"/>
      <c r="G9" s="121"/>
      <c r="H9" s="122"/>
    </row>
    <row r="10" spans="2:8" ht="16.5" customHeight="1" x14ac:dyDescent="0.25">
      <c r="B10" s="509" t="s">
        <v>199</v>
      </c>
      <c r="C10" s="510"/>
      <c r="D10" s="510"/>
      <c r="E10" s="510"/>
      <c r="F10" s="510"/>
      <c r="G10" s="510"/>
      <c r="H10" s="511"/>
    </row>
    <row r="11" spans="2:8" ht="44.25" customHeight="1" x14ac:dyDescent="0.25">
      <c r="B11" s="509"/>
      <c r="C11" s="510"/>
      <c r="D11" s="510"/>
      <c r="E11" s="510"/>
      <c r="F11" s="510"/>
      <c r="G11" s="510"/>
      <c r="H11" s="511"/>
    </row>
    <row r="12" spans="2:8" ht="15.75" thickBot="1" x14ac:dyDescent="0.3">
      <c r="B12" s="109"/>
      <c r="C12" s="112"/>
      <c r="D12" s="117"/>
      <c r="E12" s="118"/>
      <c r="F12" s="118"/>
      <c r="G12" s="119"/>
      <c r="H12" s="113"/>
    </row>
    <row r="13" spans="2:8" ht="15.75" thickTop="1" x14ac:dyDescent="0.25">
      <c r="B13" s="109"/>
      <c r="C13" s="512" t="s">
        <v>165</v>
      </c>
      <c r="D13" s="513"/>
      <c r="E13" s="514" t="s">
        <v>200</v>
      </c>
      <c r="F13" s="515"/>
      <c r="G13" s="112"/>
      <c r="H13" s="113"/>
    </row>
    <row r="14" spans="2:8" ht="35.25" customHeight="1" x14ac:dyDescent="0.25">
      <c r="B14" s="109"/>
      <c r="C14" s="519" t="s">
        <v>193</v>
      </c>
      <c r="D14" s="520"/>
      <c r="E14" s="521" t="s">
        <v>198</v>
      </c>
      <c r="F14" s="522"/>
      <c r="G14" s="112"/>
      <c r="H14" s="113"/>
    </row>
    <row r="15" spans="2:8" ht="17.25" customHeight="1" x14ac:dyDescent="0.25">
      <c r="B15" s="109"/>
      <c r="C15" s="519" t="s">
        <v>194</v>
      </c>
      <c r="D15" s="520"/>
      <c r="E15" s="521" t="s">
        <v>196</v>
      </c>
      <c r="F15" s="522"/>
      <c r="G15" s="112"/>
      <c r="H15" s="113"/>
    </row>
    <row r="16" spans="2:8" ht="19.5" customHeight="1" x14ac:dyDescent="0.25">
      <c r="B16" s="109"/>
      <c r="C16" s="519" t="s">
        <v>195</v>
      </c>
      <c r="D16" s="520"/>
      <c r="E16" s="521" t="s">
        <v>197</v>
      </c>
      <c r="F16" s="522"/>
      <c r="G16" s="112"/>
      <c r="H16" s="113"/>
    </row>
    <row r="17" spans="2:8" ht="69.75" customHeight="1" x14ac:dyDescent="0.25">
      <c r="B17" s="109"/>
      <c r="C17" s="519" t="s">
        <v>167</v>
      </c>
      <c r="D17" s="520"/>
      <c r="E17" s="521" t="s">
        <v>168</v>
      </c>
      <c r="F17" s="522"/>
      <c r="G17" s="112"/>
      <c r="H17" s="113"/>
    </row>
    <row r="18" spans="2:8" ht="34.5" customHeight="1" x14ac:dyDescent="0.25">
      <c r="B18" s="109"/>
      <c r="C18" s="523" t="s">
        <v>2</v>
      </c>
      <c r="D18" s="524"/>
      <c r="E18" s="525" t="s">
        <v>201</v>
      </c>
      <c r="F18" s="526"/>
      <c r="G18" s="112"/>
      <c r="H18" s="113"/>
    </row>
    <row r="19" spans="2:8" ht="27.75" customHeight="1" x14ac:dyDescent="0.25">
      <c r="B19" s="109"/>
      <c r="C19" s="523" t="s">
        <v>3</v>
      </c>
      <c r="D19" s="524"/>
      <c r="E19" s="525" t="s">
        <v>202</v>
      </c>
      <c r="F19" s="526"/>
      <c r="G19" s="112"/>
      <c r="H19" s="113"/>
    </row>
    <row r="20" spans="2:8" ht="28.5" customHeight="1" x14ac:dyDescent="0.25">
      <c r="B20" s="109"/>
      <c r="C20" s="523" t="s">
        <v>42</v>
      </c>
      <c r="D20" s="524"/>
      <c r="E20" s="525" t="s">
        <v>203</v>
      </c>
      <c r="F20" s="526"/>
      <c r="G20" s="112"/>
      <c r="H20" s="113"/>
    </row>
    <row r="21" spans="2:8" ht="72.75" customHeight="1" x14ac:dyDescent="0.25">
      <c r="B21" s="109"/>
      <c r="C21" s="523" t="s">
        <v>1</v>
      </c>
      <c r="D21" s="524"/>
      <c r="E21" s="525" t="s">
        <v>536</v>
      </c>
      <c r="F21" s="526"/>
      <c r="G21" s="112"/>
      <c r="H21" s="113"/>
    </row>
    <row r="22" spans="2:8" ht="64.5" customHeight="1" x14ac:dyDescent="0.25">
      <c r="B22" s="109"/>
      <c r="C22" s="523" t="s">
        <v>50</v>
      </c>
      <c r="D22" s="524"/>
      <c r="E22" s="525" t="s">
        <v>170</v>
      </c>
      <c r="F22" s="526"/>
      <c r="G22" s="112"/>
      <c r="H22" s="113"/>
    </row>
    <row r="23" spans="2:8" ht="71.25" customHeight="1" x14ac:dyDescent="0.25">
      <c r="B23" s="109"/>
      <c r="C23" s="523" t="s">
        <v>169</v>
      </c>
      <c r="D23" s="524"/>
      <c r="E23" s="525" t="s">
        <v>171</v>
      </c>
      <c r="F23" s="526"/>
      <c r="G23" s="112"/>
      <c r="H23" s="113"/>
    </row>
    <row r="24" spans="2:8" ht="55.5" customHeight="1" x14ac:dyDescent="0.25">
      <c r="B24" s="109"/>
      <c r="C24" s="527" t="s">
        <v>172</v>
      </c>
      <c r="D24" s="528"/>
      <c r="E24" s="525" t="s">
        <v>173</v>
      </c>
      <c r="F24" s="526"/>
      <c r="G24" s="112"/>
      <c r="H24" s="113"/>
    </row>
    <row r="25" spans="2:8" ht="42" customHeight="1" x14ac:dyDescent="0.25">
      <c r="B25" s="109"/>
      <c r="C25" s="527" t="s">
        <v>48</v>
      </c>
      <c r="D25" s="528"/>
      <c r="E25" s="525" t="s">
        <v>174</v>
      </c>
      <c r="F25" s="526"/>
      <c r="G25" s="112"/>
      <c r="H25" s="113"/>
    </row>
    <row r="26" spans="2:8" ht="59.25" customHeight="1" x14ac:dyDescent="0.25">
      <c r="B26" s="109"/>
      <c r="C26" s="527" t="s">
        <v>163</v>
      </c>
      <c r="D26" s="528"/>
      <c r="E26" s="525" t="s">
        <v>537</v>
      </c>
      <c r="F26" s="526"/>
      <c r="G26" s="112"/>
      <c r="H26" s="113"/>
    </row>
    <row r="27" spans="2:8" ht="23.25" customHeight="1" x14ac:dyDescent="0.25">
      <c r="B27" s="109"/>
      <c r="C27" s="527" t="s">
        <v>12</v>
      </c>
      <c r="D27" s="528"/>
      <c r="E27" s="525" t="s">
        <v>175</v>
      </c>
      <c r="F27" s="526"/>
      <c r="G27" s="112"/>
      <c r="H27" s="113"/>
    </row>
    <row r="28" spans="2:8" ht="30.75" customHeight="1" x14ac:dyDescent="0.25">
      <c r="B28" s="109"/>
      <c r="C28" s="527" t="s">
        <v>179</v>
      </c>
      <c r="D28" s="528"/>
      <c r="E28" s="525" t="s">
        <v>176</v>
      </c>
      <c r="F28" s="526"/>
      <c r="G28" s="112"/>
      <c r="H28" s="113"/>
    </row>
    <row r="29" spans="2:8" ht="35.25" customHeight="1" x14ac:dyDescent="0.25">
      <c r="B29" s="109"/>
      <c r="C29" s="527" t="s">
        <v>180</v>
      </c>
      <c r="D29" s="528"/>
      <c r="E29" s="525" t="s">
        <v>177</v>
      </c>
      <c r="F29" s="526"/>
      <c r="G29" s="112"/>
      <c r="H29" s="113"/>
    </row>
    <row r="30" spans="2:8" ht="33" customHeight="1" x14ac:dyDescent="0.25">
      <c r="B30" s="109"/>
      <c r="C30" s="527" t="s">
        <v>180</v>
      </c>
      <c r="D30" s="528"/>
      <c r="E30" s="525" t="s">
        <v>177</v>
      </c>
      <c r="F30" s="526"/>
      <c r="G30" s="112"/>
      <c r="H30" s="113"/>
    </row>
    <row r="31" spans="2:8" ht="30" customHeight="1" x14ac:dyDescent="0.25">
      <c r="B31" s="109"/>
      <c r="C31" s="527" t="s">
        <v>181</v>
      </c>
      <c r="D31" s="528"/>
      <c r="E31" s="525" t="s">
        <v>178</v>
      </c>
      <c r="F31" s="526"/>
      <c r="G31" s="112"/>
      <c r="H31" s="113"/>
    </row>
    <row r="32" spans="2:8" ht="35.25" customHeight="1" x14ac:dyDescent="0.25">
      <c r="B32" s="109"/>
      <c r="C32" s="527" t="s">
        <v>182</v>
      </c>
      <c r="D32" s="528"/>
      <c r="E32" s="525" t="s">
        <v>183</v>
      </c>
      <c r="F32" s="526"/>
      <c r="G32" s="112"/>
      <c r="H32" s="113"/>
    </row>
    <row r="33" spans="2:8" ht="31.5" customHeight="1" x14ac:dyDescent="0.25">
      <c r="B33" s="109"/>
      <c r="C33" s="527" t="s">
        <v>184</v>
      </c>
      <c r="D33" s="528"/>
      <c r="E33" s="525" t="s">
        <v>185</v>
      </c>
      <c r="F33" s="526"/>
      <c r="G33" s="112"/>
      <c r="H33" s="113"/>
    </row>
    <row r="34" spans="2:8" ht="35.25" customHeight="1" x14ac:dyDescent="0.25">
      <c r="B34" s="109"/>
      <c r="C34" s="527" t="s">
        <v>186</v>
      </c>
      <c r="D34" s="528"/>
      <c r="E34" s="525" t="s">
        <v>187</v>
      </c>
      <c r="F34" s="526"/>
      <c r="G34" s="112"/>
      <c r="H34" s="113"/>
    </row>
    <row r="35" spans="2:8" ht="59.25" customHeight="1" x14ac:dyDescent="0.25">
      <c r="B35" s="109"/>
      <c r="C35" s="527" t="s">
        <v>188</v>
      </c>
      <c r="D35" s="528"/>
      <c r="E35" s="525" t="s">
        <v>538</v>
      </c>
      <c r="F35" s="526"/>
      <c r="G35" s="112"/>
      <c r="H35" s="113"/>
    </row>
    <row r="36" spans="2:8" ht="29.25" customHeight="1" x14ac:dyDescent="0.25">
      <c r="B36" s="109"/>
      <c r="C36" s="527" t="s">
        <v>29</v>
      </c>
      <c r="D36" s="528"/>
      <c r="E36" s="525" t="s">
        <v>189</v>
      </c>
      <c r="F36" s="526"/>
      <c r="G36" s="112"/>
      <c r="H36" s="113"/>
    </row>
    <row r="37" spans="2:8" ht="82.5" customHeight="1" x14ac:dyDescent="0.25">
      <c r="B37" s="109"/>
      <c r="C37" s="527" t="s">
        <v>191</v>
      </c>
      <c r="D37" s="528"/>
      <c r="E37" s="525" t="s">
        <v>190</v>
      </c>
      <c r="F37" s="526"/>
      <c r="G37" s="112"/>
      <c r="H37" s="113"/>
    </row>
    <row r="38" spans="2:8" ht="46.5" customHeight="1" x14ac:dyDescent="0.25">
      <c r="B38" s="109"/>
      <c r="C38" s="527" t="s">
        <v>39</v>
      </c>
      <c r="D38" s="528"/>
      <c r="E38" s="525" t="s">
        <v>192</v>
      </c>
      <c r="F38" s="526"/>
      <c r="G38" s="112"/>
      <c r="H38" s="113"/>
    </row>
    <row r="39" spans="2:8" ht="6.75" customHeight="1" thickBot="1" x14ac:dyDescent="0.3">
      <c r="B39" s="109"/>
      <c r="C39" s="529"/>
      <c r="D39" s="530"/>
      <c r="E39" s="531"/>
      <c r="F39" s="532"/>
      <c r="G39" s="112"/>
      <c r="H39" s="113"/>
    </row>
    <row r="40" spans="2:8" ht="15.75" thickTop="1" x14ac:dyDescent="0.25">
      <c r="B40" s="109"/>
      <c r="C40" s="110"/>
      <c r="D40" s="110"/>
      <c r="E40" s="111"/>
      <c r="F40" s="111"/>
      <c r="G40" s="112"/>
      <c r="H40" s="113"/>
    </row>
    <row r="41" spans="2:8" ht="15.75" thickBot="1" x14ac:dyDescent="0.3">
      <c r="B41" s="114"/>
      <c r="C41" s="115"/>
      <c r="D41" s="115"/>
      <c r="E41" s="115"/>
      <c r="F41" s="115"/>
      <c r="G41" s="115"/>
      <c r="H41" s="116"/>
    </row>
    <row r="42" spans="2:8" x14ac:dyDescent="0.25">
      <c r="B42" s="107"/>
      <c r="C42" s="107"/>
      <c r="D42" s="107"/>
      <c r="E42" s="107"/>
      <c r="F42" s="107"/>
      <c r="G42" s="107"/>
      <c r="H42" s="107"/>
    </row>
    <row r="43" spans="2:8" x14ac:dyDescent="0.25">
      <c r="B43" s="107"/>
      <c r="C43" s="107"/>
      <c r="D43" s="107"/>
      <c r="E43" s="107"/>
      <c r="F43" s="107"/>
      <c r="G43" s="107"/>
      <c r="H43" s="107"/>
    </row>
  </sheetData>
  <mergeCells count="59">
    <mergeCell ref="C16:D16"/>
    <mergeCell ref="E16:F16"/>
    <mergeCell ref="E23:F23"/>
    <mergeCell ref="C23:D23"/>
    <mergeCell ref="C26:D26"/>
    <mergeCell ref="E26:F26"/>
    <mergeCell ref="E24:F24"/>
    <mergeCell ref="C24:D24"/>
    <mergeCell ref="C25:D25"/>
    <mergeCell ref="E25:F25"/>
    <mergeCell ref="C39:D39"/>
    <mergeCell ref="E39:F39"/>
    <mergeCell ref="C38:D38"/>
    <mergeCell ref="E38:F38"/>
    <mergeCell ref="C34:D34"/>
    <mergeCell ref="C35:D35"/>
    <mergeCell ref="C36:D36"/>
    <mergeCell ref="E36:F36"/>
    <mergeCell ref="C37:D37"/>
    <mergeCell ref="E37:F37"/>
    <mergeCell ref="C27:D27"/>
    <mergeCell ref="E27:F27"/>
    <mergeCell ref="E35:F35"/>
    <mergeCell ref="C33:D33"/>
    <mergeCell ref="C32:D32"/>
    <mergeCell ref="E32:F32"/>
    <mergeCell ref="E33:F33"/>
    <mergeCell ref="C28:D28"/>
    <mergeCell ref="E28:F28"/>
    <mergeCell ref="C30:D30"/>
    <mergeCell ref="E30:F30"/>
    <mergeCell ref="C31:D31"/>
    <mergeCell ref="E31:F31"/>
    <mergeCell ref="E34:F34"/>
    <mergeCell ref="E29:F29"/>
    <mergeCell ref="C29:D29"/>
    <mergeCell ref="C14:D14"/>
    <mergeCell ref="E14:F14"/>
    <mergeCell ref="C18:D18"/>
    <mergeCell ref="E18:F18"/>
    <mergeCell ref="C22:D22"/>
    <mergeCell ref="C19:D19"/>
    <mergeCell ref="C20:D20"/>
    <mergeCell ref="C21:D21"/>
    <mergeCell ref="E19:F19"/>
    <mergeCell ref="E20:F20"/>
    <mergeCell ref="E21:F21"/>
    <mergeCell ref="E22:F22"/>
    <mergeCell ref="C17:D17"/>
    <mergeCell ref="E17:F17"/>
    <mergeCell ref="C15:D15"/>
    <mergeCell ref="E15:F15"/>
    <mergeCell ref="B3:H3"/>
    <mergeCell ref="B5:H6"/>
    <mergeCell ref="B7:H7"/>
    <mergeCell ref="B10:H11"/>
    <mergeCell ref="C13:D13"/>
    <mergeCell ref="E13:F13"/>
    <mergeCell ref="B8:H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25E3-D4A6-47FA-996E-9B1DC6B76879}">
  <sheetPr>
    <tabColor rgb="FF002060"/>
  </sheetPr>
  <dimension ref="A1:BR116"/>
  <sheetViews>
    <sheetView topLeftCell="A14" zoomScale="70" zoomScaleNormal="70" workbookViewId="0">
      <selection activeCell="F15" sqref="F15:F16"/>
    </sheetView>
  </sheetViews>
  <sheetFormatPr baseColWidth="10" defaultColWidth="11.42578125" defaultRowHeight="16.5" x14ac:dyDescent="0.3"/>
  <cols>
    <col min="1" max="1" width="18.140625" style="2"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30.5703125" style="1" hidden="1" customWidth="1"/>
    <col min="12" max="12" width="17.5703125" style="1" customWidth="1"/>
    <col min="13" max="13" width="9.28515625" style="1" customWidth="1"/>
    <col min="14" max="14" width="16" style="1" customWidth="1"/>
    <col min="15" max="15" width="5.85546875" style="1" customWidth="1"/>
    <col min="16" max="16" width="23.7109375" style="1" customWidth="1"/>
    <col min="17" max="17" width="20.42578125" style="1" customWidth="1"/>
    <col min="18" max="18" width="8.85546875" style="1" customWidth="1"/>
    <col min="19" max="20" width="8.140625" style="1" customWidth="1"/>
    <col min="21" max="23" width="9.5703125" style="1" customWidth="1"/>
    <col min="24" max="24" width="7.28515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5" width="16.85546875" style="1" customWidth="1"/>
    <col min="36" max="36" width="14.85546875" style="1" customWidth="1"/>
    <col min="37" max="37" width="18.5703125" style="1" customWidth="1"/>
    <col min="38" max="38" width="21" style="1" customWidth="1"/>
    <col min="39" max="16384" width="11.42578125" style="1"/>
  </cols>
  <sheetData>
    <row r="1" spans="1:70" ht="88.5" customHeight="1" x14ac:dyDescent="0.3"/>
    <row r="2" spans="1:70" ht="19.5" customHeight="1" thickBot="1" x14ac:dyDescent="0.35"/>
    <row r="3" spans="1:70" ht="16.5" customHeight="1" x14ac:dyDescent="0.3">
      <c r="A3" s="567" t="s">
        <v>507</v>
      </c>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9"/>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4.25" customHeight="1" thickBot="1" x14ac:dyDescent="0.35">
      <c r="A4" s="570"/>
      <c r="B4" s="571"/>
      <c r="C4" s="571"/>
      <c r="D4" s="571"/>
      <c r="E4" s="571"/>
      <c r="F4" s="571"/>
      <c r="G4" s="571"/>
      <c r="H4" s="571"/>
      <c r="I4" s="571"/>
      <c r="J4" s="571"/>
      <c r="K4" s="571"/>
      <c r="L4" s="571"/>
      <c r="M4" s="571"/>
      <c r="N4" s="571"/>
      <c r="O4" s="572"/>
      <c r="P4" s="572"/>
      <c r="Q4" s="572"/>
      <c r="R4" s="572"/>
      <c r="S4" s="572"/>
      <c r="T4" s="572"/>
      <c r="U4" s="572"/>
      <c r="V4" s="572"/>
      <c r="W4" s="572"/>
      <c r="X4" s="572"/>
      <c r="Y4" s="572"/>
      <c r="Z4" s="572"/>
      <c r="AA4" s="572"/>
      <c r="AB4" s="572"/>
      <c r="AC4" s="572"/>
      <c r="AD4" s="572"/>
      <c r="AE4" s="572"/>
      <c r="AF4" s="572"/>
      <c r="AG4" s="572"/>
      <c r="AH4" s="572"/>
      <c r="AI4" s="572"/>
      <c r="AJ4" s="572"/>
      <c r="AK4" s="572"/>
      <c r="AL4" s="573"/>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26.25" customHeight="1" x14ac:dyDescent="0.3">
      <c r="A5" s="574" t="s">
        <v>43</v>
      </c>
      <c r="B5" s="574"/>
      <c r="C5" s="575" t="str">
        <f>'Datos del proceso'!A10</f>
        <v>GESTIÓN FINANCIERAS</v>
      </c>
      <c r="D5" s="575"/>
      <c r="E5" s="575"/>
      <c r="F5" s="575"/>
      <c r="G5" s="575"/>
      <c r="H5" s="575"/>
      <c r="I5" s="575"/>
      <c r="J5" s="575"/>
      <c r="K5" s="575"/>
      <c r="L5" s="575"/>
      <c r="M5" s="575"/>
      <c r="N5" s="575"/>
      <c r="O5" s="576"/>
      <c r="P5" s="576"/>
      <c r="Q5" s="576"/>
      <c r="R5" s="268"/>
      <c r="S5" s="268"/>
      <c r="T5" s="268"/>
      <c r="U5" s="268"/>
      <c r="V5" s="268"/>
      <c r="W5" s="268"/>
      <c r="X5" s="268"/>
      <c r="Y5" s="268"/>
      <c r="Z5" s="268"/>
      <c r="AA5" s="268"/>
      <c r="AB5" s="268"/>
      <c r="AC5" s="268"/>
      <c r="AD5" s="268"/>
      <c r="AE5" s="268"/>
      <c r="AF5" s="268"/>
      <c r="AG5" s="268"/>
      <c r="AH5" s="268"/>
      <c r="AI5" s="268"/>
      <c r="AJ5" s="268"/>
      <c r="AK5" s="268"/>
      <c r="AL5" s="26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33" customHeight="1" x14ac:dyDescent="0.3">
      <c r="A6" s="574" t="s">
        <v>130</v>
      </c>
      <c r="B6" s="574"/>
      <c r="C6" s="575" t="str">
        <f>'Datos del proceso'!I10</f>
        <v>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v>
      </c>
      <c r="D6" s="575"/>
      <c r="E6" s="575"/>
      <c r="F6" s="575"/>
      <c r="G6" s="575"/>
      <c r="H6" s="575"/>
      <c r="I6" s="575"/>
      <c r="J6" s="575"/>
      <c r="K6" s="575"/>
      <c r="L6" s="575"/>
      <c r="M6" s="575"/>
      <c r="N6" s="575"/>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s="552" customFormat="1" ht="18" customHeight="1" thickBot="1" x14ac:dyDescent="0.3">
      <c r="A7" s="551"/>
      <c r="B7" s="551"/>
      <c r="C7" s="551"/>
      <c r="D7" s="551"/>
      <c r="E7" s="551"/>
      <c r="F7" s="551"/>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row>
    <row r="8" spans="1:70" ht="23.25" customHeight="1" x14ac:dyDescent="0.3">
      <c r="A8" s="549" t="s">
        <v>508</v>
      </c>
      <c r="B8" s="550"/>
      <c r="C8" s="550"/>
      <c r="D8" s="550"/>
      <c r="E8" s="550"/>
      <c r="F8" s="550"/>
      <c r="G8" s="550"/>
      <c r="H8" s="550"/>
      <c r="I8" s="550"/>
      <c r="J8" s="550"/>
      <c r="K8" s="550"/>
      <c r="L8" s="550"/>
      <c r="M8" s="550"/>
      <c r="N8" s="550"/>
      <c r="O8" s="550"/>
      <c r="P8" s="550"/>
      <c r="Q8" s="550"/>
      <c r="R8" s="550"/>
      <c r="S8" s="550"/>
      <c r="T8" s="550"/>
      <c r="U8" s="550"/>
      <c r="V8" s="550"/>
      <c r="W8" s="270"/>
      <c r="X8" s="270"/>
      <c r="Y8" s="270"/>
      <c r="Z8" s="270"/>
      <c r="AA8" s="270"/>
      <c r="AB8" s="270"/>
      <c r="AC8" s="270"/>
      <c r="AD8" s="270"/>
      <c r="AE8" s="270"/>
      <c r="AF8" s="270"/>
      <c r="AG8" s="270"/>
      <c r="AH8" s="270"/>
      <c r="AI8" s="270"/>
      <c r="AJ8" s="270"/>
      <c r="AK8" s="270"/>
      <c r="AL8" s="270"/>
    </row>
    <row r="9" spans="1:70" s="553" customFormat="1" ht="9.75" customHeight="1" x14ac:dyDescent="0.25"/>
    <row r="10" spans="1:70" ht="30" customHeight="1" x14ac:dyDescent="0.3">
      <c r="A10" s="539" t="s">
        <v>338</v>
      </c>
      <c r="B10" s="539"/>
      <c r="C10" s="539"/>
      <c r="D10" s="545" t="s">
        <v>339</v>
      </c>
      <c r="E10" s="546"/>
      <c r="F10" s="547"/>
      <c r="G10" s="539" t="s">
        <v>340</v>
      </c>
      <c r="H10" s="539"/>
      <c r="I10" s="539" t="s">
        <v>341</v>
      </c>
      <c r="J10" s="539"/>
      <c r="K10" s="172"/>
      <c r="L10" s="269" t="s">
        <v>218</v>
      </c>
      <c r="M10" s="539" t="s">
        <v>1</v>
      </c>
      <c r="N10" s="539"/>
      <c r="O10" s="533" t="s">
        <v>13</v>
      </c>
      <c r="P10" s="533"/>
      <c r="Q10" s="269" t="s">
        <v>342</v>
      </c>
      <c r="R10" s="533" t="s">
        <v>343</v>
      </c>
      <c r="S10" s="533"/>
      <c r="T10" s="533"/>
      <c r="U10" s="533"/>
      <c r="V10" s="176"/>
      <c r="W10" s="268"/>
      <c r="X10" s="268"/>
      <c r="Y10" s="268"/>
      <c r="Z10" s="268"/>
      <c r="AA10" s="268"/>
      <c r="AB10" s="268"/>
      <c r="AC10" s="268"/>
      <c r="AD10" s="268"/>
      <c r="AE10" s="268"/>
      <c r="AF10" s="268"/>
      <c r="AG10" s="268"/>
      <c r="AH10" s="268"/>
      <c r="AI10" s="268"/>
      <c r="AJ10" s="268"/>
      <c r="AK10" s="268"/>
      <c r="AL10" s="26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row>
    <row r="11" spans="1:70" ht="30" customHeight="1" x14ac:dyDescent="0.3">
      <c r="A11" s="534"/>
      <c r="B11" s="534"/>
      <c r="C11" s="534"/>
      <c r="D11" s="534"/>
      <c r="E11" s="534"/>
      <c r="F11" s="534"/>
      <c r="G11" s="535"/>
      <c r="H11" s="535"/>
      <c r="I11" s="535"/>
      <c r="J11" s="535"/>
      <c r="K11" s="153"/>
      <c r="L11" s="166"/>
      <c r="M11" s="536"/>
      <c r="N11" s="536"/>
      <c r="O11" s="534"/>
      <c r="P11" s="534"/>
      <c r="Q11" s="153"/>
      <c r="R11" s="534"/>
      <c r="S11" s="534"/>
      <c r="T11" s="534"/>
      <c r="U11" s="534"/>
      <c r="V11" s="176"/>
      <c r="W11" s="268"/>
      <c r="X11" s="268"/>
      <c r="Y11" s="268"/>
      <c r="Z11" s="268"/>
      <c r="AA11" s="268"/>
      <c r="AB11" s="268"/>
      <c r="AC11" s="268"/>
      <c r="AD11" s="268"/>
      <c r="AE11" s="268"/>
      <c r="AF11" s="268"/>
      <c r="AG11" s="268"/>
      <c r="AH11" s="268"/>
      <c r="AI11" s="268"/>
      <c r="AJ11" s="268"/>
      <c r="AK11" s="268"/>
      <c r="AL11" s="26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row>
    <row r="12" spans="1:70" ht="30" customHeight="1" x14ac:dyDescent="0.3">
      <c r="A12" s="534"/>
      <c r="B12" s="534"/>
      <c r="C12" s="534"/>
      <c r="D12" s="534"/>
      <c r="E12" s="534"/>
      <c r="F12" s="534"/>
      <c r="G12" s="535"/>
      <c r="H12" s="535"/>
      <c r="I12" s="535"/>
      <c r="J12" s="535"/>
      <c r="K12" s="153"/>
      <c r="L12" s="166"/>
      <c r="M12" s="536"/>
      <c r="N12" s="536"/>
      <c r="O12" s="534"/>
      <c r="P12" s="534"/>
      <c r="Q12" s="153"/>
      <c r="R12" s="534"/>
      <c r="S12" s="534"/>
      <c r="T12" s="534"/>
      <c r="U12" s="534"/>
      <c r="V12" s="176"/>
      <c r="W12" s="268"/>
      <c r="X12" s="268"/>
      <c r="Y12" s="268"/>
      <c r="Z12" s="268"/>
      <c r="AA12" s="268"/>
      <c r="AB12" s="268"/>
      <c r="AC12" s="268"/>
      <c r="AD12" s="268"/>
      <c r="AE12" s="268"/>
      <c r="AF12" s="268"/>
      <c r="AG12" s="268"/>
      <c r="AH12" s="268"/>
      <c r="AI12" s="268"/>
      <c r="AJ12" s="268"/>
      <c r="AK12" s="268"/>
      <c r="AL12" s="26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row>
    <row r="13" spans="1:70" ht="30" customHeight="1" x14ac:dyDescent="0.3">
      <c r="A13" s="544"/>
      <c r="B13" s="544"/>
      <c r="C13" s="544"/>
      <c r="D13" s="544"/>
      <c r="E13" s="544"/>
      <c r="F13" s="544"/>
      <c r="G13" s="535"/>
      <c r="H13" s="535"/>
      <c r="I13" s="537"/>
      <c r="J13" s="538"/>
      <c r="K13" s="175"/>
      <c r="L13" s="175"/>
      <c r="M13" s="542"/>
      <c r="N13" s="543"/>
      <c r="O13" s="540"/>
      <c r="P13" s="541"/>
      <c r="Q13" s="153"/>
      <c r="R13" s="534"/>
      <c r="S13" s="534"/>
      <c r="T13" s="534"/>
      <c r="U13" s="534"/>
      <c r="V13" s="177"/>
      <c r="W13" s="268"/>
      <c r="X13" s="268"/>
      <c r="Y13" s="268"/>
      <c r="Z13" s="268"/>
      <c r="AA13" s="268"/>
      <c r="AB13" s="268"/>
      <c r="AC13" s="268"/>
      <c r="AD13" s="268"/>
      <c r="AE13" s="268"/>
      <c r="AF13" s="268"/>
      <c r="AG13" s="268"/>
      <c r="AH13" s="268"/>
      <c r="AI13" s="268"/>
      <c r="AJ13" s="268"/>
      <c r="AK13" s="268"/>
      <c r="AL13" s="26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row>
    <row r="14" spans="1:70" s="270" customFormat="1" ht="15" x14ac:dyDescent="0.2">
      <c r="A14" s="533" t="s">
        <v>509</v>
      </c>
      <c r="B14" s="533"/>
      <c r="C14" s="533"/>
      <c r="D14" s="533"/>
      <c r="E14" s="533"/>
      <c r="F14" s="533"/>
      <c r="G14" s="533"/>
      <c r="H14" s="533" t="s">
        <v>140</v>
      </c>
      <c r="I14" s="533"/>
      <c r="J14" s="533"/>
      <c r="K14" s="533"/>
      <c r="L14" s="533"/>
      <c r="M14" s="533"/>
      <c r="N14" s="533"/>
      <c r="O14" s="533" t="s">
        <v>141</v>
      </c>
      <c r="P14" s="533"/>
      <c r="Q14" s="533"/>
      <c r="R14" s="533"/>
      <c r="S14" s="533"/>
      <c r="T14" s="533"/>
      <c r="U14" s="533"/>
      <c r="V14" s="533"/>
      <c r="W14" s="533"/>
      <c r="X14" s="533" t="s">
        <v>142</v>
      </c>
      <c r="Y14" s="533"/>
      <c r="Z14" s="533"/>
      <c r="AA14" s="533"/>
      <c r="AB14" s="533"/>
      <c r="AC14" s="533"/>
      <c r="AD14" s="533"/>
      <c r="AE14" s="533" t="s">
        <v>34</v>
      </c>
      <c r="AF14" s="533"/>
      <c r="AG14" s="533"/>
      <c r="AH14" s="533"/>
      <c r="AI14" s="533"/>
      <c r="AJ14" s="533"/>
      <c r="AK14" s="533"/>
      <c r="AL14" s="533"/>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row>
    <row r="15" spans="1:70" s="270" customFormat="1" ht="16.5" customHeight="1" x14ac:dyDescent="0.2">
      <c r="A15" s="539"/>
      <c r="B15" s="566"/>
      <c r="C15" s="539"/>
      <c r="D15" s="533"/>
      <c r="E15" s="539" t="s">
        <v>478</v>
      </c>
      <c r="F15" s="578" t="s">
        <v>480</v>
      </c>
      <c r="I15" s="564" t="s">
        <v>481</v>
      </c>
      <c r="J15" s="564" t="s">
        <v>479</v>
      </c>
      <c r="K15" s="271" t="s">
        <v>92</v>
      </c>
      <c r="L15" s="564" t="s">
        <v>482</v>
      </c>
      <c r="M15" s="564" t="s">
        <v>483</v>
      </c>
      <c r="N15" s="564" t="s">
        <v>484</v>
      </c>
      <c r="O15" s="539" t="s">
        <v>163</v>
      </c>
      <c r="P15" s="539" t="s">
        <v>503</v>
      </c>
      <c r="Q15" s="539" t="s">
        <v>8</v>
      </c>
      <c r="R15" s="539"/>
      <c r="S15" s="539"/>
      <c r="T15" s="539"/>
      <c r="U15" s="539"/>
      <c r="V15" s="539"/>
      <c r="W15" s="563" t="s">
        <v>502</v>
      </c>
      <c r="X15" s="563" t="s">
        <v>485</v>
      </c>
      <c r="Y15" s="563" t="s">
        <v>488</v>
      </c>
      <c r="Z15" s="563" t="s">
        <v>486</v>
      </c>
      <c r="AA15" s="563" t="s">
        <v>481</v>
      </c>
      <c r="AB15" s="563" t="s">
        <v>489</v>
      </c>
      <c r="AC15" s="563" t="s">
        <v>29</v>
      </c>
      <c r="AD15" s="539" t="s">
        <v>34</v>
      </c>
      <c r="AE15" s="564" t="s">
        <v>496</v>
      </c>
      <c r="AF15" s="539" t="s">
        <v>35</v>
      </c>
      <c r="AG15" s="539" t="s">
        <v>236</v>
      </c>
      <c r="AH15" s="564" t="s">
        <v>506</v>
      </c>
      <c r="AI15" s="577" t="s">
        <v>38</v>
      </c>
      <c r="AJ15" s="577" t="s">
        <v>37</v>
      </c>
      <c r="AK15" s="577" t="s">
        <v>39</v>
      </c>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row>
    <row r="16" spans="1:70" s="273" customFormat="1" ht="110.25" customHeight="1" x14ac:dyDescent="0.25">
      <c r="A16" s="539"/>
      <c r="B16" s="566"/>
      <c r="C16" s="539"/>
      <c r="D16" s="533"/>
      <c r="E16" s="539"/>
      <c r="F16" s="579"/>
      <c r="I16" s="565"/>
      <c r="J16" s="565"/>
      <c r="K16" s="271"/>
      <c r="L16" s="565"/>
      <c r="M16" s="565"/>
      <c r="N16" s="565"/>
      <c r="O16" s="539"/>
      <c r="P16" s="539"/>
      <c r="Q16" s="290" t="s">
        <v>490</v>
      </c>
      <c r="R16" s="290" t="s">
        <v>492</v>
      </c>
      <c r="S16" s="290" t="s">
        <v>487</v>
      </c>
      <c r="T16" s="290" t="s">
        <v>499</v>
      </c>
      <c r="U16" s="290" t="s">
        <v>500</v>
      </c>
      <c r="V16" s="290" t="s">
        <v>501</v>
      </c>
      <c r="W16" s="563"/>
      <c r="X16" s="563"/>
      <c r="Y16" s="563"/>
      <c r="Z16" s="563"/>
      <c r="AA16" s="563"/>
      <c r="AB16" s="563"/>
      <c r="AC16" s="563"/>
      <c r="AD16" s="539"/>
      <c r="AE16" s="565"/>
      <c r="AF16" s="539"/>
      <c r="AG16" s="539"/>
      <c r="AH16" s="565"/>
      <c r="AI16" s="577"/>
      <c r="AJ16" s="577"/>
      <c r="AK16" s="577"/>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row>
    <row r="17" spans="1:70" s="287" customFormat="1" ht="83.25" customHeight="1" x14ac:dyDescent="0.25">
      <c r="A17" s="561"/>
      <c r="B17" s="557"/>
      <c r="C17" s="557"/>
      <c r="D17" s="558"/>
      <c r="E17" s="556">
        <v>120</v>
      </c>
      <c r="F17" s="557" t="str">
        <f>IF(E17&lt;=0,"",IF(E17&lt;=2,"Muy Baja",IF(E17&lt;=24,"Baja",IF(E17&lt;=500,"Media",IF(E17&lt;=5000,"Alta","Muy Alta")))))</f>
        <v>Media</v>
      </c>
      <c r="I17" s="554">
        <f>IF(F17="","",IF(F17="Muy Baja",0.2,IF(F17="Baja",0.4,IF(F17="Media",0.6,IF(F17="Alta",0.8,IF(F17="Muy Alta",1,))))))</f>
        <v>0.6</v>
      </c>
      <c r="J17" s="558">
        <v>500</v>
      </c>
      <c r="K17" s="554">
        <f>IF(NOT(ISERROR(MATCH(J17,'[2]Tabla Impacto'!$B$221:$B$223,0))),'[2]Tabla Impacto'!$F$223&amp;"Por favor no seleccionar los criterios de impacto(Afectación Económica o presupuestal y Pérdida Reputacional)",J17)</f>
        <v>500</v>
      </c>
      <c r="L17" s="557" t="str">
        <f>IF(J17&lt;=0,"",IF(J17&lt;=10,"Leve",IF(J17&lt;=50,"Menor",IF(J17&lt;=100,"Moderado",IF(J17&lt;=500,"Mayor","Catastrófico")))))</f>
        <v>Mayor</v>
      </c>
      <c r="M17" s="554">
        <f>IF(L17="","",IF(L17="Leve",0.2,IF(L17="Menor",0.4,IF(L17="Moderado",0.6,IF(L17="Mayor",0.8,IF(L17="Catastrófico",1,))))))</f>
        <v>0.8</v>
      </c>
      <c r="N17" s="555"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274">
        <v>1</v>
      </c>
      <c r="P17" s="275"/>
      <c r="Q17" s="276" t="str">
        <f t="shared" ref="Q17:Q30" si="0">IF(OR(R17="Preventivo",R17="Detectivo"),"Probabilidad",IF(R17="Correctivo","Impacto",""))</f>
        <v>Probabilidad</v>
      </c>
      <c r="R17" s="277" t="s">
        <v>14</v>
      </c>
      <c r="S17" s="277" t="s">
        <v>9</v>
      </c>
      <c r="T17" s="278" t="str">
        <f>IF(AND(R17="Preventivo",S17="Automático"),"50%",IF(AND(R17="Preventivo",S17="Manual"),"40%",IF(AND(R17="Detectivo",S17="Automático"),"40%",IF(AND(R17="Detectivo",S17="Manual"),"30%",IF(AND(R17="Correctivo",S17="Automático"),"35%",IF(AND(R17="Correctivo",S17="Manual"),"25%",""))))))</f>
        <v>40%</v>
      </c>
      <c r="U17" s="277" t="s">
        <v>493</v>
      </c>
      <c r="V17" s="277" t="s">
        <v>22</v>
      </c>
      <c r="W17" s="277" t="s">
        <v>497</v>
      </c>
      <c r="X17" s="279">
        <f>IFERROR(IF(Q17="Probabilidad",(I17-(+I17*T17)),IF(Q17="Impacto",I17,"")),"")</f>
        <v>0.36</v>
      </c>
      <c r="Y17" s="280" t="str">
        <f>IFERROR(IF(X17="","",IF(X17&lt;=0.2,"Muy Baja",IF(X17&lt;=0.4,"Baja",IF(X17&lt;=0.6,"Media",IF(X17&lt;=0.8,"Alta","Muy Alta"))))),"")</f>
        <v>Baja</v>
      </c>
      <c r="Z17" s="278">
        <f>+X17</f>
        <v>0.36</v>
      </c>
      <c r="AA17" s="280" t="str">
        <f>IFERROR(IF(AB17="","",IF(AB17&lt;=0.2,"Leve",IF(AB17&lt;=0.4,"Menor",IF(AB17&lt;=0.6,"Moderado",IF(AB17&lt;=0.8,"Mayor","Catastrófico"))))),"")</f>
        <v>Mayor</v>
      </c>
      <c r="AB17" s="278">
        <f>IFERROR(IF(Q17="Impacto",(M17-(+M17*T17)),IF(Q17="Probabilidad",M17,"")),"")</f>
        <v>0.8</v>
      </c>
      <c r="AC17" s="281"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77" t="s">
        <v>30</v>
      </c>
      <c r="AE17" s="282"/>
      <c r="AF17" s="282"/>
      <c r="AG17" s="283"/>
      <c r="AH17" s="284"/>
      <c r="AI17" s="284"/>
      <c r="AJ17" s="284"/>
      <c r="AK17" s="282"/>
      <c r="AL17" s="285" t="s">
        <v>40</v>
      </c>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row>
    <row r="18" spans="1:70" s="289" customFormat="1" ht="60" customHeight="1" x14ac:dyDescent="0.2">
      <c r="A18" s="562"/>
      <c r="B18" s="557"/>
      <c r="C18" s="557"/>
      <c r="D18" s="558"/>
      <c r="E18" s="556"/>
      <c r="F18" s="557"/>
      <c r="I18" s="554"/>
      <c r="J18" s="558"/>
      <c r="K18" s="554">
        <f ca="1">IF(NOT(ISERROR(MATCH(J18,_xlfn.ANCHORARRAY(E21),0))),#REF!&amp;"Por favor no seleccionar los criterios de impacto",J18)</f>
        <v>0</v>
      </c>
      <c r="L18" s="557"/>
      <c r="M18" s="554"/>
      <c r="N18" s="555"/>
      <c r="O18" s="274">
        <v>2</v>
      </c>
      <c r="P18" s="275"/>
      <c r="Q18" s="276" t="str">
        <f t="shared" si="0"/>
        <v>Probabilidad</v>
      </c>
      <c r="R18" s="277" t="s">
        <v>15</v>
      </c>
      <c r="S18" s="277" t="s">
        <v>9</v>
      </c>
      <c r="T18" s="278" t="str">
        <f t="shared" ref="T18" si="1">IF(AND(R18="Preventivo",S18="Automático"),"50%",IF(AND(R18="Preventivo",S18="Manual"),"40%",IF(AND(R18="Detectivo",S18="Automático"),"40%",IF(AND(R18="Detectivo",S18="Manual"),"30%",IF(AND(R18="Correctivo",S18="Automático"),"35%",IF(AND(R18="Correctivo",S18="Manual"),"25%",""))))))</f>
        <v>30%</v>
      </c>
      <c r="U18" s="277" t="s">
        <v>493</v>
      </c>
      <c r="V18" s="277" t="s">
        <v>22</v>
      </c>
      <c r="W18" s="277" t="s">
        <v>497</v>
      </c>
      <c r="X18" s="279">
        <f>IFERROR(IF(AND(Q17="Probabilidad",Q18="Probabilidad"),(Z17-(+Z17*T18)),IF(Q18="Probabilidad",(I17-(+I17*T18)),IF(Q18="Impacto",Z17,""))),"")</f>
        <v>0.252</v>
      </c>
      <c r="Y18" s="280" t="str">
        <f t="shared" ref="Y18:Y30" si="2">IFERROR(IF(X18="","",IF(X18&lt;=0.2,"Muy Baja",IF(X18&lt;=0.4,"Baja",IF(X18&lt;=0.6,"Media",IF(X18&lt;=0.8,"Alta","Muy Alta"))))),"")</f>
        <v>Baja</v>
      </c>
      <c r="Z18" s="278">
        <f t="shared" ref="Z18" si="3">+X18</f>
        <v>0.252</v>
      </c>
      <c r="AA18" s="280" t="str">
        <f t="shared" ref="AA18:AA30" si="4">IFERROR(IF(AB18="","",IF(AB18&lt;=0.2,"Leve",IF(AB18&lt;=0.4,"Menor",IF(AB18&lt;=0.6,"Moderado",IF(AB18&lt;=0.8,"Mayor","Catastrófico"))))),"")</f>
        <v>Mayor</v>
      </c>
      <c r="AB18" s="278">
        <f>IFERROR(IF(AND(Q17="Impacto",Q18="Impacto"),(AB17-(+AB17*T18)),IF(Q18="Impacto",($M$17-(+$M$17*T18)),IF(Q18="Probabilidad",AB17,""))),"")</f>
        <v>0.8</v>
      </c>
      <c r="AC18" s="281" t="str">
        <f t="shared" ref="AC18" si="5">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Alto</v>
      </c>
      <c r="AD18" s="277" t="s">
        <v>30</v>
      </c>
      <c r="AE18" s="282"/>
      <c r="AF18" s="282"/>
      <c r="AG18" s="283"/>
      <c r="AH18" s="284"/>
      <c r="AI18" s="284"/>
      <c r="AJ18" s="284"/>
      <c r="AK18" s="282"/>
      <c r="AL18" s="285"/>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row>
    <row r="19" spans="1:70" s="289" customFormat="1" ht="69" customHeight="1" x14ac:dyDescent="0.2">
      <c r="A19" s="559"/>
      <c r="B19" s="558"/>
      <c r="C19" s="558"/>
      <c r="D19" s="558"/>
      <c r="E19" s="560"/>
      <c r="F19" s="558"/>
      <c r="G19" s="556"/>
      <c r="H19" s="557" t="str">
        <f t="shared" ref="H19" si="6">IF(G19&lt;=0,"",IF(G19&lt;=2,"Muy Baja",IF(G19&lt;=24,"Baja",IF(G19&lt;=500,"Media",IF(G19&lt;=5000,"Alta","Muy Alta")))))</f>
        <v/>
      </c>
      <c r="I19" s="554" t="str">
        <f t="shared" ref="I19" si="7">IF(H19="","",IF(H19="Muy Baja",0.2,IF(H19="Baja",0.4,IF(H19="Media",0.6,IF(H19="Alta",0.8,IF(H19="Muy Alta",1,))))))</f>
        <v/>
      </c>
      <c r="J19" s="558"/>
      <c r="K19" s="554">
        <f>IF(NOT(ISERROR(MATCH(J19,'[2]Tabla Impacto'!$B$221:$B$223,0))),'[2]Tabla Impacto'!$F$223&amp;"Por favor no seleccionar los criterios de impacto(Afectación Económica o presupuestal y Pérdida Reputacional)",J19)</f>
        <v>0</v>
      </c>
      <c r="L19" s="557" t="str">
        <f t="shared" ref="L19" si="8">IF(J19&lt;=0,"",IF(J19&lt;=10,"Leve",IF(J19&lt;=50,"Menor",IF(J19&lt;=100,"Moderado",IF(J19&lt;=500,"Mayor","Catastrófico")))))</f>
        <v/>
      </c>
      <c r="M19" s="554" t="str">
        <f t="shared" ref="M19" si="9">IF(L19="","",IF(L19="Leve",0.2,IF(L19="Menor",0.4,IF(L19="Moderado",0.6,IF(L19="Mayor",0.8,IF(L19="Catastrófico",1,))))))</f>
        <v/>
      </c>
      <c r="N19" s="555" t="str">
        <f t="shared" ref="N19" si="10">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274">
        <v>1</v>
      </c>
      <c r="P19" s="275"/>
      <c r="Q19" s="276" t="str">
        <f t="shared" si="0"/>
        <v/>
      </c>
      <c r="R19" s="277"/>
      <c r="S19" s="277"/>
      <c r="T19" s="278" t="str">
        <f>IF(AND(R19="Preventivo",S19="Automático"),"50%",IF(AND(R19="Preventivo",S19="Manual"),"40%",IF(AND(R19="Detectivo",S19="Automático"),"40%",IF(AND(R19="Detectivo",S19="Manual"),"30%",IF(AND(R19="Correctivo",S19="Automático"),"35%",IF(AND(R19="Correctivo",S19="Manual"),"25%",""))))))</f>
        <v/>
      </c>
      <c r="U19" s="277"/>
      <c r="V19" s="277"/>
      <c r="W19" s="277"/>
      <c r="X19" s="279" t="str">
        <f>IFERROR(IF(Q19="Probabilidad",(I19-(+I19*T19)),IF(Q19="Impacto",I19,"")),"")</f>
        <v/>
      </c>
      <c r="Y19" s="280" t="str">
        <f>IFERROR(IF(X19="","",IF(X19&lt;=0.2,"Muy Baja",IF(X19&lt;=0.4,"Baja",IF(X19&lt;=0.6,"Media",IF(X19&lt;=0.8,"Alta","Muy Alta"))))),"")</f>
        <v/>
      </c>
      <c r="Z19" s="278" t="str">
        <f>+X19</f>
        <v/>
      </c>
      <c r="AA19" s="280" t="str">
        <f>IFERROR(IF(AB19="","",IF(AB19&lt;=0.2,"Leve",IF(AB19&lt;=0.4,"Menor",IF(AB19&lt;=0.6,"Moderado",IF(AB19&lt;=0.8,"Mayor","Catastrófico"))))),"")</f>
        <v/>
      </c>
      <c r="AB19" s="278" t="str">
        <f>IFERROR(IF(Q19="Impacto",(M19-(+M19*T19)),IF(Q19="Probabilidad",M19,"")),"")</f>
        <v/>
      </c>
      <c r="AC19" s="28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7"/>
      <c r="AE19" s="282"/>
      <c r="AF19" s="282"/>
      <c r="AG19" s="283"/>
      <c r="AH19" s="284"/>
      <c r="AI19" s="284"/>
      <c r="AJ19" s="284"/>
      <c r="AK19" s="282"/>
      <c r="AL19" s="285"/>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row>
    <row r="20" spans="1:70" s="289" customFormat="1" ht="69" customHeight="1" x14ac:dyDescent="0.2">
      <c r="A20" s="559"/>
      <c r="B20" s="558"/>
      <c r="C20" s="558"/>
      <c r="D20" s="558"/>
      <c r="E20" s="560"/>
      <c r="F20" s="558"/>
      <c r="G20" s="556"/>
      <c r="H20" s="557"/>
      <c r="I20" s="554"/>
      <c r="J20" s="558"/>
      <c r="K20" s="554">
        <f ca="1">IF(NOT(ISERROR(MATCH(J20,_xlfn.ANCHORARRAY(E23),0))),#REF!&amp;"Por favor no seleccionar los criterios de impacto",J20)</f>
        <v>0</v>
      </c>
      <c r="L20" s="557"/>
      <c r="M20" s="554"/>
      <c r="N20" s="555"/>
      <c r="O20" s="274">
        <v>2</v>
      </c>
      <c r="P20" s="275"/>
      <c r="Q20" s="276" t="str">
        <f t="shared" si="0"/>
        <v/>
      </c>
      <c r="R20" s="277"/>
      <c r="S20" s="277"/>
      <c r="T20" s="278" t="str">
        <f t="shared" ref="T20" si="11">IF(AND(R20="Preventivo",S20="Automático"),"50%",IF(AND(R20="Preventivo",S20="Manual"),"40%",IF(AND(R20="Detectivo",S20="Automático"),"40%",IF(AND(R20="Detectivo",S20="Manual"),"30%",IF(AND(R20="Correctivo",S20="Automático"),"35%",IF(AND(R20="Correctivo",S20="Manual"),"25%",""))))))</f>
        <v/>
      </c>
      <c r="U20" s="277"/>
      <c r="V20" s="277"/>
      <c r="W20" s="277"/>
      <c r="X20" s="279" t="str">
        <f>IFERROR(IF(AND(Q19="Probabilidad",Q20="Probabilidad"),(Z19-(+Z19*T20)),IF(Q20="Probabilidad",(I19-(+I19*T20)),IF(Q20="Impacto",Z19,""))),"")</f>
        <v/>
      </c>
      <c r="Y20" s="280" t="str">
        <f t="shared" si="2"/>
        <v/>
      </c>
      <c r="Z20" s="278" t="str">
        <f t="shared" ref="Z20" si="12">+X20</f>
        <v/>
      </c>
      <c r="AA20" s="280" t="str">
        <f t="shared" si="4"/>
        <v/>
      </c>
      <c r="AB20" s="278" t="str">
        <f>IFERROR(IF(AND(Q19="Impacto",Q20="Impacto"),(AB17-(+AB17*T20)),IF(Q20="Impacto",($M$19-(+$M$19*T20)),IF(Q20="Probabilidad",AB17,""))),"")</f>
        <v/>
      </c>
      <c r="AC20" s="281" t="str">
        <f t="shared" ref="AC20" si="13">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77"/>
      <c r="AE20" s="282"/>
      <c r="AF20" s="282"/>
      <c r="AG20" s="283"/>
      <c r="AH20" s="284"/>
      <c r="AI20" s="284"/>
      <c r="AJ20" s="284"/>
      <c r="AK20" s="282"/>
      <c r="AL20" s="285"/>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row>
    <row r="21" spans="1:70" s="289" customFormat="1" ht="69" customHeight="1" x14ac:dyDescent="0.2">
      <c r="A21" s="559"/>
      <c r="B21" s="558"/>
      <c r="C21" s="558"/>
      <c r="D21" s="558"/>
      <c r="E21" s="560"/>
      <c r="F21" s="558"/>
      <c r="G21" s="556"/>
      <c r="H21" s="557" t="str">
        <f t="shared" ref="H21" si="14">IF(G21&lt;=0,"",IF(G21&lt;=2,"Muy Baja",IF(G21&lt;=24,"Baja",IF(G21&lt;=500,"Media",IF(G21&lt;=5000,"Alta","Muy Alta")))))</f>
        <v/>
      </c>
      <c r="I21" s="554" t="str">
        <f t="shared" ref="I21" si="15">IF(H21="","",IF(H21="Muy Baja",0.2,IF(H21="Baja",0.4,IF(H21="Media",0.6,IF(H21="Alta",0.8,IF(H21="Muy Alta",1,))))))</f>
        <v/>
      </c>
      <c r="J21" s="558"/>
      <c r="K21" s="554">
        <f>IF(NOT(ISERROR(MATCH(J21,'[2]Tabla Impacto'!$B$221:$B$223,0))),'[2]Tabla Impacto'!$F$223&amp;"Por favor no seleccionar los criterios de impacto(Afectación Económica o presupuestal y Pérdida Reputacional)",J21)</f>
        <v>0</v>
      </c>
      <c r="L21" s="557" t="str">
        <f t="shared" ref="L21" si="16">IF(J21&lt;=0,"",IF(J21&lt;=10,"Leve",IF(J21&lt;=50,"Menor",IF(J21&lt;=100,"Moderado",IF(J21&lt;=500,"Mayor","Catastrófico")))))</f>
        <v/>
      </c>
      <c r="M21" s="554" t="str">
        <f t="shared" ref="M21" si="17">IF(L21="","",IF(L21="Leve",0.2,IF(L21="Menor",0.4,IF(L21="Moderado",0.6,IF(L21="Mayor",0.8,IF(L21="Catastrófico",1,))))))</f>
        <v/>
      </c>
      <c r="N21" s="555" t="str">
        <f t="shared" ref="N21" si="1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4">
        <v>1</v>
      </c>
      <c r="P21" s="275"/>
      <c r="Q21" s="276" t="str">
        <f t="shared" si="0"/>
        <v/>
      </c>
      <c r="R21" s="277"/>
      <c r="S21" s="277"/>
      <c r="T21" s="278" t="str">
        <f>IF(AND(R21="Preventivo",S21="Automático"),"50%",IF(AND(R21="Preventivo",S21="Manual"),"40%",IF(AND(R21="Detectivo",S21="Automático"),"40%",IF(AND(R21="Detectivo",S21="Manual"),"30%",IF(AND(R21="Correctivo",S21="Automático"),"35%",IF(AND(R21="Correctivo",S21="Manual"),"25%",""))))))</f>
        <v/>
      </c>
      <c r="U21" s="277"/>
      <c r="V21" s="277"/>
      <c r="W21" s="277"/>
      <c r="X21" s="279" t="str">
        <f>IFERROR(IF(Q21="Probabilidad",(I21-(+I21*T21)),IF(Q21="Impacto",I21,"")),"")</f>
        <v/>
      </c>
      <c r="Y21" s="280" t="str">
        <f>IFERROR(IF(X21="","",IF(X21&lt;=0.2,"Muy Baja",IF(X21&lt;=0.4,"Baja",IF(X21&lt;=0.6,"Media",IF(X21&lt;=0.8,"Alta","Muy Alta"))))),"")</f>
        <v/>
      </c>
      <c r="Z21" s="278" t="str">
        <f>+X21</f>
        <v/>
      </c>
      <c r="AA21" s="280" t="str">
        <f>IFERROR(IF(AB21="","",IF(AB21&lt;=0.2,"Leve",IF(AB21&lt;=0.4,"Menor",IF(AB21&lt;=0.6,"Moderado",IF(AB21&lt;=0.8,"Mayor","Catastrófico"))))),"")</f>
        <v/>
      </c>
      <c r="AB21" s="278" t="str">
        <f>IFERROR(IF(Q21="Impacto",(M21-(+M21*T21)),IF(Q21="Probabilidad",M21,"")),"")</f>
        <v/>
      </c>
      <c r="AC21" s="281"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7"/>
      <c r="AE21" s="282"/>
      <c r="AF21" s="282"/>
      <c r="AG21" s="283"/>
      <c r="AH21" s="284"/>
      <c r="AI21" s="284"/>
      <c r="AJ21" s="284"/>
      <c r="AK21" s="282"/>
      <c r="AL21" s="285"/>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row>
    <row r="22" spans="1:70" s="289" customFormat="1" ht="69" customHeight="1" x14ac:dyDescent="0.2">
      <c r="A22" s="559"/>
      <c r="B22" s="558"/>
      <c r="C22" s="558"/>
      <c r="D22" s="558"/>
      <c r="E22" s="560"/>
      <c r="F22" s="558"/>
      <c r="G22" s="556"/>
      <c r="H22" s="557"/>
      <c r="I22" s="554"/>
      <c r="J22" s="558"/>
      <c r="K22" s="554">
        <f ca="1">IF(NOT(ISERROR(MATCH(J22,_xlfn.ANCHORARRAY(E25),0))),#REF!&amp;"Por favor no seleccionar los criterios de impacto",J22)</f>
        <v>0</v>
      </c>
      <c r="L22" s="557"/>
      <c r="M22" s="554"/>
      <c r="N22" s="555"/>
      <c r="O22" s="274">
        <v>2</v>
      </c>
      <c r="P22" s="275"/>
      <c r="Q22" s="276" t="str">
        <f t="shared" si="0"/>
        <v/>
      </c>
      <c r="R22" s="277"/>
      <c r="S22" s="277"/>
      <c r="T22" s="278" t="str">
        <f t="shared" ref="T22" si="19">IF(AND(R22="Preventivo",S22="Automático"),"50%",IF(AND(R22="Preventivo",S22="Manual"),"40%",IF(AND(R22="Detectivo",S22="Automático"),"40%",IF(AND(R22="Detectivo",S22="Manual"),"30%",IF(AND(R22="Correctivo",S22="Automático"),"35%",IF(AND(R22="Correctivo",S22="Manual"),"25%",""))))))</f>
        <v/>
      </c>
      <c r="U22" s="277"/>
      <c r="V22" s="277"/>
      <c r="W22" s="277"/>
      <c r="X22" s="279" t="str">
        <f>IFERROR(IF(AND(Q21="Probabilidad",Q22="Probabilidad"),(Z21-(+Z21*T22)),IF(Q22="Probabilidad",(I21-(+I21*T22)),IF(Q22="Impacto",Z21,""))),"")</f>
        <v/>
      </c>
      <c r="Y22" s="280" t="str">
        <f t="shared" si="2"/>
        <v/>
      </c>
      <c r="Z22" s="278" t="str">
        <f t="shared" ref="Z22" si="20">+X22</f>
        <v/>
      </c>
      <c r="AA22" s="280" t="str">
        <f t="shared" si="4"/>
        <v/>
      </c>
      <c r="AB22" s="278" t="str">
        <f>IFERROR(IF(AND(Q21="Impacto",Q22="Impacto"),(AB19-(+AB19*T22)),IF(Q22="Impacto",($M$21-(+$M$21*T22)),IF(Q22="Probabilidad",AB19,""))),"")</f>
        <v/>
      </c>
      <c r="AC22" s="281" t="str">
        <f t="shared" ref="AC22" si="2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7"/>
      <c r="AE22" s="282"/>
      <c r="AF22" s="282"/>
      <c r="AG22" s="283"/>
      <c r="AH22" s="284"/>
      <c r="AI22" s="284"/>
      <c r="AJ22" s="284"/>
      <c r="AK22" s="282"/>
      <c r="AL22" s="285"/>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row>
    <row r="23" spans="1:70" s="289" customFormat="1" ht="69" customHeight="1" x14ac:dyDescent="0.2">
      <c r="A23" s="559"/>
      <c r="B23" s="558"/>
      <c r="C23" s="558"/>
      <c r="D23" s="558"/>
      <c r="E23" s="560"/>
      <c r="F23" s="558"/>
      <c r="G23" s="556"/>
      <c r="H23" s="557" t="str">
        <f t="shared" ref="H23" si="22">IF(G23&lt;=0,"",IF(G23&lt;=2,"Muy Baja",IF(G23&lt;=24,"Baja",IF(G23&lt;=500,"Media",IF(G23&lt;=5000,"Alta","Muy Alta")))))</f>
        <v/>
      </c>
      <c r="I23" s="554" t="str">
        <f t="shared" ref="I23" si="23">IF(H23="","",IF(H23="Muy Baja",0.2,IF(H23="Baja",0.4,IF(H23="Media",0.6,IF(H23="Alta",0.8,IF(H23="Muy Alta",1,))))))</f>
        <v/>
      </c>
      <c r="J23" s="558"/>
      <c r="K23" s="554">
        <f>IF(NOT(ISERROR(MATCH(J23,'[2]Tabla Impacto'!$B$221:$B$223,0))),'[2]Tabla Impacto'!$F$223&amp;"Por favor no seleccionar los criterios de impacto(Afectación Económica o presupuestal y Pérdida Reputacional)",J23)</f>
        <v>0</v>
      </c>
      <c r="L23" s="557" t="str">
        <f t="shared" ref="L23" si="24">IF(J23&lt;=0,"",IF(J23&lt;=10,"Leve",IF(J23&lt;=50,"Menor",IF(J23&lt;=100,"Moderado",IF(J23&lt;=500,"Mayor","Catastrófico")))))</f>
        <v/>
      </c>
      <c r="M23" s="554" t="str">
        <f t="shared" ref="M23" si="25">IF(L23="","",IF(L23="Leve",0.2,IF(L23="Menor",0.4,IF(L23="Moderado",0.6,IF(L23="Mayor",0.8,IF(L23="Catastrófico",1,))))))</f>
        <v/>
      </c>
      <c r="N23" s="555" t="str">
        <f t="shared" ref="N23" si="2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4">
        <v>1</v>
      </c>
      <c r="P23" s="275"/>
      <c r="Q23" s="276" t="str">
        <f t="shared" si="0"/>
        <v/>
      </c>
      <c r="R23" s="277"/>
      <c r="S23" s="277"/>
      <c r="T23" s="278" t="str">
        <f>IF(AND(R23="Preventivo",S23="Automático"),"50%",IF(AND(R23="Preventivo",S23="Manual"),"40%",IF(AND(R23="Detectivo",S23="Automático"),"40%",IF(AND(R23="Detectivo",S23="Manual"),"30%",IF(AND(R23="Correctivo",S23="Automático"),"35%",IF(AND(R23="Correctivo",S23="Manual"),"25%",""))))))</f>
        <v/>
      </c>
      <c r="U23" s="277"/>
      <c r="V23" s="277"/>
      <c r="W23" s="277"/>
      <c r="X23" s="279" t="str">
        <f>IFERROR(IF(Q23="Probabilidad",(I23-(+I23*T23)),IF(Q23="Impacto",I23,"")),"")</f>
        <v/>
      </c>
      <c r="Y23" s="280" t="str">
        <f>IFERROR(IF(X23="","",IF(X23&lt;=0.2,"Muy Baja",IF(X23&lt;=0.4,"Baja",IF(X23&lt;=0.6,"Media",IF(X23&lt;=0.8,"Alta","Muy Alta"))))),"")</f>
        <v/>
      </c>
      <c r="Z23" s="278" t="str">
        <f>+X23</f>
        <v/>
      </c>
      <c r="AA23" s="280" t="str">
        <f>IFERROR(IF(AB23="","",IF(AB23&lt;=0.2,"Leve",IF(AB23&lt;=0.4,"Menor",IF(AB23&lt;=0.6,"Moderado",IF(AB23&lt;=0.8,"Mayor","Catastrófico"))))),"")</f>
        <v/>
      </c>
      <c r="AB23" s="278" t="str">
        <f>IFERROR(IF(Q23="Impacto",(M23-(+M23*T23)),IF(Q23="Probabilidad",M23,"")),"")</f>
        <v/>
      </c>
      <c r="AC23" s="281"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7"/>
      <c r="AE23" s="282"/>
      <c r="AF23" s="282"/>
      <c r="AG23" s="283"/>
      <c r="AH23" s="284"/>
      <c r="AI23" s="284"/>
      <c r="AJ23" s="284"/>
      <c r="AK23" s="282"/>
      <c r="AL23" s="285"/>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row>
    <row r="24" spans="1:70" s="289" customFormat="1" ht="69" customHeight="1" x14ac:dyDescent="0.2">
      <c r="A24" s="559"/>
      <c r="B24" s="558"/>
      <c r="C24" s="558"/>
      <c r="D24" s="558"/>
      <c r="E24" s="560"/>
      <c r="F24" s="558"/>
      <c r="G24" s="556"/>
      <c r="H24" s="557"/>
      <c r="I24" s="554"/>
      <c r="J24" s="558"/>
      <c r="K24" s="554">
        <f ca="1">IF(NOT(ISERROR(MATCH(J24,_xlfn.ANCHORARRAY(E27),0))),#REF!&amp;"Por favor no seleccionar los criterios de impacto",J24)</f>
        <v>0</v>
      </c>
      <c r="L24" s="557"/>
      <c r="M24" s="554"/>
      <c r="N24" s="555"/>
      <c r="O24" s="274">
        <v>2</v>
      </c>
      <c r="P24" s="275"/>
      <c r="Q24" s="276" t="str">
        <f t="shared" si="0"/>
        <v/>
      </c>
      <c r="R24" s="277"/>
      <c r="S24" s="277"/>
      <c r="T24" s="278" t="str">
        <f t="shared" ref="T24" si="27">IF(AND(R24="Preventivo",S24="Automático"),"50%",IF(AND(R24="Preventivo",S24="Manual"),"40%",IF(AND(R24="Detectivo",S24="Automático"),"40%",IF(AND(R24="Detectivo",S24="Manual"),"30%",IF(AND(R24="Correctivo",S24="Automático"),"35%",IF(AND(R24="Correctivo",S24="Manual"),"25%",""))))))</f>
        <v/>
      </c>
      <c r="U24" s="277"/>
      <c r="V24" s="277"/>
      <c r="W24" s="277"/>
      <c r="X24" s="279" t="str">
        <f>IFERROR(IF(AND(Q23="Probabilidad",Q24="Probabilidad"),(Z23-(+Z23*T24)),IF(Q24="Probabilidad",(I23-(+I23*T24)),IF(Q24="Impacto",Z23,""))),"")</f>
        <v/>
      </c>
      <c r="Y24" s="280" t="str">
        <f t="shared" si="2"/>
        <v/>
      </c>
      <c r="Z24" s="278" t="str">
        <f t="shared" ref="Z24" si="28">+X24</f>
        <v/>
      </c>
      <c r="AA24" s="280" t="str">
        <f t="shared" si="4"/>
        <v/>
      </c>
      <c r="AB24" s="278" t="str">
        <f>IFERROR(IF(AND(Q23="Impacto",Q24="Impacto"),(AB21-(+AB21*T24)),IF(Q24="Impacto",($M$23-(+$M$23*T24)),IF(Q24="Probabilidad",AB21,""))),"")</f>
        <v/>
      </c>
      <c r="AC24" s="281" t="str">
        <f t="shared" ref="AC24" si="29">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7"/>
      <c r="AE24" s="282"/>
      <c r="AF24" s="282"/>
      <c r="AG24" s="283"/>
      <c r="AH24" s="284"/>
      <c r="AI24" s="284"/>
      <c r="AJ24" s="284"/>
      <c r="AK24" s="282"/>
      <c r="AL24" s="285"/>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row>
    <row r="25" spans="1:70" s="289" customFormat="1" ht="69" customHeight="1" x14ac:dyDescent="0.2">
      <c r="A25" s="559"/>
      <c r="B25" s="558"/>
      <c r="C25" s="558"/>
      <c r="D25" s="558"/>
      <c r="E25" s="560"/>
      <c r="F25" s="558"/>
      <c r="G25" s="556"/>
      <c r="H25" s="557" t="str">
        <f t="shared" ref="H25" si="30">IF(G25&lt;=0,"",IF(G25&lt;=2,"Muy Baja",IF(G25&lt;=24,"Baja",IF(G25&lt;=500,"Media",IF(G25&lt;=5000,"Alta","Muy Alta")))))</f>
        <v/>
      </c>
      <c r="I25" s="554" t="str">
        <f t="shared" ref="I25" si="31">IF(H25="","",IF(H25="Muy Baja",0.2,IF(H25="Baja",0.4,IF(H25="Media",0.6,IF(H25="Alta",0.8,IF(H25="Muy Alta",1,))))))</f>
        <v/>
      </c>
      <c r="J25" s="558"/>
      <c r="K25" s="554">
        <f>IF(NOT(ISERROR(MATCH(J25,'[2]Tabla Impacto'!$B$221:$B$223,0))),'[2]Tabla Impacto'!$F$223&amp;"Por favor no seleccionar los criterios de impacto(Afectación Económica o presupuestal y Pérdida Reputacional)",J25)</f>
        <v>0</v>
      </c>
      <c r="L25" s="557" t="str">
        <f t="shared" ref="L25" si="32">IF(J25&lt;=0,"",IF(J25&lt;=10,"Leve",IF(J25&lt;=50,"Menor",IF(J25&lt;=100,"Moderado",IF(J25&lt;=500,"Mayor","Catastrófico")))))</f>
        <v/>
      </c>
      <c r="M25" s="554" t="str">
        <f t="shared" ref="M25" si="33">IF(L25="","",IF(L25="Leve",0.2,IF(L25="Menor",0.4,IF(L25="Moderado",0.6,IF(L25="Mayor",0.8,IF(L25="Catastrófico",1,))))))</f>
        <v/>
      </c>
      <c r="N25" s="555" t="str">
        <f t="shared" ref="N25" si="34">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4">
        <v>1</v>
      </c>
      <c r="P25" s="275"/>
      <c r="Q25" s="276" t="str">
        <f t="shared" si="0"/>
        <v/>
      </c>
      <c r="R25" s="277"/>
      <c r="S25" s="277"/>
      <c r="T25" s="278" t="str">
        <f>IF(AND(R25="Preventivo",S25="Automático"),"50%",IF(AND(R25="Preventivo",S25="Manual"),"40%",IF(AND(R25="Detectivo",S25="Automático"),"40%",IF(AND(R25="Detectivo",S25="Manual"),"30%",IF(AND(R25="Correctivo",S25="Automático"),"35%",IF(AND(R25="Correctivo",S25="Manual"),"25%",""))))))</f>
        <v/>
      </c>
      <c r="U25" s="277"/>
      <c r="V25" s="277"/>
      <c r="W25" s="277"/>
      <c r="X25" s="279" t="str">
        <f>IFERROR(IF(Q25="Probabilidad",(I25-(+I25*T25)),IF(Q25="Impacto",I25,"")),"")</f>
        <v/>
      </c>
      <c r="Y25" s="280" t="str">
        <f>IFERROR(IF(X25="","",IF(X25&lt;=0.2,"Muy Baja",IF(X25&lt;=0.4,"Baja",IF(X25&lt;=0.6,"Media",IF(X25&lt;=0.8,"Alta","Muy Alta"))))),"")</f>
        <v/>
      </c>
      <c r="Z25" s="278" t="str">
        <f>+X25</f>
        <v/>
      </c>
      <c r="AA25" s="280" t="str">
        <f>IFERROR(IF(AB25="","",IF(AB25&lt;=0.2,"Leve",IF(AB25&lt;=0.4,"Menor",IF(AB25&lt;=0.6,"Moderado",IF(AB25&lt;=0.8,"Mayor","Catastrófico"))))),"")</f>
        <v/>
      </c>
      <c r="AB25" s="278" t="str">
        <f>IFERROR(IF(Q25="Impacto",(M25-(+M25*T25)),IF(Q25="Probabilidad",M25,"")),"")</f>
        <v/>
      </c>
      <c r="AC25" s="28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7"/>
      <c r="AE25" s="282"/>
      <c r="AF25" s="282"/>
      <c r="AG25" s="283"/>
      <c r="AH25" s="284"/>
      <c r="AI25" s="284"/>
      <c r="AJ25" s="284"/>
      <c r="AK25" s="282"/>
      <c r="AL25" s="285"/>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row>
    <row r="26" spans="1:70" s="289" customFormat="1" ht="69" customHeight="1" x14ac:dyDescent="0.2">
      <c r="A26" s="559"/>
      <c r="B26" s="558"/>
      <c r="C26" s="558"/>
      <c r="D26" s="558"/>
      <c r="E26" s="560"/>
      <c r="F26" s="558"/>
      <c r="G26" s="556"/>
      <c r="H26" s="557"/>
      <c r="I26" s="554"/>
      <c r="J26" s="558"/>
      <c r="K26" s="554">
        <f ca="1">IF(NOT(ISERROR(MATCH(J26,_xlfn.ANCHORARRAY(E29),0))),#REF!&amp;"Por favor no seleccionar los criterios de impacto",J26)</f>
        <v>0</v>
      </c>
      <c r="L26" s="557"/>
      <c r="M26" s="554"/>
      <c r="N26" s="555"/>
      <c r="O26" s="274">
        <v>2</v>
      </c>
      <c r="P26" s="275"/>
      <c r="Q26" s="276" t="str">
        <f t="shared" si="0"/>
        <v/>
      </c>
      <c r="R26" s="277"/>
      <c r="S26" s="277"/>
      <c r="T26" s="278" t="str">
        <f t="shared" ref="T26" si="35">IF(AND(R26="Preventivo",S26="Automático"),"50%",IF(AND(R26="Preventivo",S26="Manual"),"40%",IF(AND(R26="Detectivo",S26="Automático"),"40%",IF(AND(R26="Detectivo",S26="Manual"),"30%",IF(AND(R26="Correctivo",S26="Automático"),"35%",IF(AND(R26="Correctivo",S26="Manual"),"25%",""))))))</f>
        <v/>
      </c>
      <c r="U26" s="277"/>
      <c r="V26" s="277"/>
      <c r="W26" s="277"/>
      <c r="X26" s="279" t="str">
        <f>IFERROR(IF(AND(Q25="Probabilidad",Q26="Probabilidad"),(Z25-(+Z25*T26)),IF(Q26="Probabilidad",(I25-(+I25*T26)),IF(Q26="Impacto",Z25,""))),"")</f>
        <v/>
      </c>
      <c r="Y26" s="280" t="str">
        <f t="shared" si="2"/>
        <v/>
      </c>
      <c r="Z26" s="278" t="str">
        <f t="shared" ref="Z26" si="36">+X26</f>
        <v/>
      </c>
      <c r="AA26" s="280" t="str">
        <f t="shared" si="4"/>
        <v/>
      </c>
      <c r="AB26" s="278" t="str">
        <f>IFERROR(IF(AND(Q25="Impacto",Q26="Impacto"),(AB23-(+AB23*T26)),IF(Q26="Impacto",($M$25-(+$M$25*T26)),IF(Q26="Probabilidad",AB23,""))),"")</f>
        <v/>
      </c>
      <c r="AC26" s="281" t="str">
        <f t="shared" ref="AC26" si="37">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7"/>
      <c r="AE26" s="282"/>
      <c r="AF26" s="282"/>
      <c r="AG26" s="283"/>
      <c r="AH26" s="284"/>
      <c r="AI26" s="284"/>
      <c r="AJ26" s="284"/>
      <c r="AK26" s="282"/>
      <c r="AL26" s="285"/>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row>
    <row r="27" spans="1:70" s="289" customFormat="1" ht="69" customHeight="1" x14ac:dyDescent="0.2">
      <c r="A27" s="559"/>
      <c r="B27" s="558"/>
      <c r="C27" s="558"/>
      <c r="D27" s="292"/>
      <c r="E27" s="292"/>
      <c r="F27" s="292"/>
      <c r="G27" s="292"/>
      <c r="H27" s="292"/>
      <c r="I27" s="554" t="str">
        <f t="shared" ref="I27" si="38">IF(H27="","",IF(H27="Muy Baja",0.2,IF(H27="Baja",0.4,IF(H27="Media",0.6,IF(H27="Alta",0.8,IF(H27="Muy Alta",1,))))))</f>
        <v/>
      </c>
      <c r="J27" s="558"/>
      <c r="K27" s="554">
        <f>IF(NOT(ISERROR(MATCH(J27,'[2]Tabla Impacto'!$B$221:$B$223,0))),'[2]Tabla Impacto'!$F$223&amp;"Por favor no seleccionar los criterios de impacto(Afectación Económica o presupuestal y Pérdida Reputacional)",J27)</f>
        <v>0</v>
      </c>
      <c r="L27" s="557" t="str">
        <f t="shared" ref="L27" si="39">IF(J27&lt;=0,"",IF(J27&lt;=10,"Leve",IF(J27&lt;=50,"Menor",IF(J27&lt;=100,"Moderado",IF(J27&lt;=500,"Mayor","Catastrófico")))))</f>
        <v/>
      </c>
      <c r="M27" s="554" t="str">
        <f t="shared" ref="M27" si="40">IF(L27="","",IF(L27="Leve",0.2,IF(L27="Menor",0.4,IF(L27="Moderado",0.6,IF(L27="Mayor",0.8,IF(L27="Catastrófico",1,))))))</f>
        <v/>
      </c>
      <c r="N27" s="555" t="str">
        <f t="shared" ref="N27" si="41">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4">
        <v>1</v>
      </c>
      <c r="P27" s="275"/>
      <c r="Q27" s="276" t="str">
        <f t="shared" si="0"/>
        <v/>
      </c>
      <c r="R27" s="277"/>
      <c r="S27" s="277"/>
      <c r="T27" s="278" t="str">
        <f>IF(AND(R27="Preventivo",S27="Automático"),"50%",IF(AND(R27="Preventivo",S27="Manual"),"40%",IF(AND(R27="Detectivo",S27="Automático"),"40%",IF(AND(R27="Detectivo",S27="Manual"),"30%",IF(AND(R27="Correctivo",S27="Automático"),"35%",IF(AND(R27="Correctivo",S27="Manual"),"25%",""))))))</f>
        <v/>
      </c>
      <c r="U27" s="277"/>
      <c r="V27" s="277"/>
      <c r="W27" s="277"/>
      <c r="X27" s="279" t="str">
        <f>IFERROR(IF(Q27="Probabilidad",(I27-(+I27*T27)),IF(Q27="Impacto",I27,"")),"")</f>
        <v/>
      </c>
      <c r="Y27" s="280" t="str">
        <f>IFERROR(IF(X27="","",IF(X27&lt;=0.2,"Muy Baja",IF(X27&lt;=0.4,"Baja",IF(X27&lt;=0.6,"Media",IF(X27&lt;=0.8,"Alta","Muy Alta"))))),"")</f>
        <v/>
      </c>
      <c r="Z27" s="278" t="str">
        <f>+X27</f>
        <v/>
      </c>
      <c r="AA27" s="280" t="str">
        <f>IFERROR(IF(AB27="","",IF(AB27&lt;=0.2,"Leve",IF(AB27&lt;=0.4,"Menor",IF(AB27&lt;=0.6,"Moderado",IF(AB27&lt;=0.8,"Mayor","Catastrófico"))))),"")</f>
        <v/>
      </c>
      <c r="AB27" s="278" t="str">
        <f>IFERROR(IF(Q27="Impacto",(M27-(+M27*T27)),IF(Q27="Probabilidad",M27,"")),"")</f>
        <v/>
      </c>
      <c r="AC27" s="281"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7"/>
      <c r="AE27" s="282"/>
      <c r="AF27" s="282"/>
      <c r="AG27" s="283"/>
      <c r="AH27" s="284"/>
      <c r="AI27" s="284"/>
      <c r="AJ27" s="284"/>
      <c r="AK27" s="282"/>
      <c r="AL27" s="285"/>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row>
    <row r="28" spans="1:70" s="289" customFormat="1" ht="69" customHeight="1" x14ac:dyDescent="0.2">
      <c r="A28" s="559"/>
      <c r="B28" s="558"/>
      <c r="C28" s="558"/>
      <c r="D28" s="292"/>
      <c r="E28" s="292"/>
      <c r="F28" s="292"/>
      <c r="G28" s="292"/>
      <c r="H28" s="292"/>
      <c r="I28" s="554"/>
      <c r="J28" s="558"/>
      <c r="K28" s="554">
        <f ca="1">IF(NOT(ISERROR(MATCH(J28,_xlfn.ANCHORARRAY(#REF!),0))),#REF!&amp;"Por favor no seleccionar los criterios de impacto",J28)</f>
        <v>0</v>
      </c>
      <c r="L28" s="557"/>
      <c r="M28" s="554"/>
      <c r="N28" s="555"/>
      <c r="O28" s="274">
        <v>2</v>
      </c>
      <c r="P28" s="275"/>
      <c r="Q28" s="276" t="str">
        <f t="shared" si="0"/>
        <v/>
      </c>
      <c r="R28" s="277"/>
      <c r="S28" s="277"/>
      <c r="T28" s="278" t="str">
        <f t="shared" ref="T28" si="42">IF(AND(R28="Preventivo",S28="Automático"),"50%",IF(AND(R28="Preventivo",S28="Manual"),"40%",IF(AND(R28="Detectivo",S28="Automático"),"40%",IF(AND(R28="Detectivo",S28="Manual"),"30%",IF(AND(R28="Correctivo",S28="Automático"),"35%",IF(AND(R28="Correctivo",S28="Manual"),"25%",""))))))</f>
        <v/>
      </c>
      <c r="U28" s="277"/>
      <c r="V28" s="277"/>
      <c r="W28" s="277"/>
      <c r="X28" s="279" t="str">
        <f>IFERROR(IF(AND(Q27="Probabilidad",Q28="Probabilidad"),(Z27-(+Z27*T28)),IF(Q28="Probabilidad",(I27-(+I27*T28)),IF(Q28="Impacto",Z27,""))),"")</f>
        <v/>
      </c>
      <c r="Y28" s="280" t="str">
        <f t="shared" si="2"/>
        <v/>
      </c>
      <c r="Z28" s="278" t="str">
        <f t="shared" ref="Z28" si="43">+X28</f>
        <v/>
      </c>
      <c r="AA28" s="280" t="str">
        <f t="shared" si="4"/>
        <v/>
      </c>
      <c r="AB28" s="278" t="str">
        <f>IFERROR(IF(AND(Q27="Impacto",Q28="Impacto"),(AB25-(+AB25*T28)),IF(Q28="Impacto",($M$27-(+$M$27*T28)),IF(Q28="Probabilidad",AB25,""))),"")</f>
        <v/>
      </c>
      <c r="AC28" s="281" t="str">
        <f t="shared" ref="AC28" si="44">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7"/>
      <c r="AE28" s="282"/>
      <c r="AF28" s="282"/>
      <c r="AG28" s="283"/>
      <c r="AH28" s="284"/>
      <c r="AI28" s="284"/>
      <c r="AJ28" s="284"/>
      <c r="AK28" s="282"/>
      <c r="AL28" s="285"/>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row>
    <row r="29" spans="1:70" s="289" customFormat="1" ht="69" customHeight="1" x14ac:dyDescent="0.2">
      <c r="A29" s="559"/>
      <c r="B29" s="558"/>
      <c r="C29" s="558"/>
      <c r="D29" s="558"/>
      <c r="E29" s="560"/>
      <c r="F29" s="558"/>
      <c r="G29" s="556"/>
      <c r="H29" s="557" t="str">
        <f t="shared" ref="H29" si="45">IF(G29&lt;=0,"",IF(G29&lt;=2,"Muy Baja",IF(G29&lt;=24,"Baja",IF(G29&lt;=500,"Media",IF(G29&lt;=5000,"Alta","Muy Alta")))))</f>
        <v/>
      </c>
      <c r="I29" s="554" t="str">
        <f t="shared" ref="I29" si="46">IF(H29="","",IF(H29="Muy Baja",0.2,IF(H29="Baja",0.4,IF(H29="Media",0.6,IF(H29="Alta",0.8,IF(H29="Muy Alta",1,))))))</f>
        <v/>
      </c>
      <c r="J29" s="558"/>
      <c r="K29" s="554">
        <f>IF(NOT(ISERROR(MATCH(J29,'[2]Tabla Impacto'!$B$221:$B$223,0))),'[2]Tabla Impacto'!$F$223&amp;"Por favor no seleccionar los criterios de impacto(Afectación Económica o presupuestal y Pérdida Reputacional)",J29)</f>
        <v>0</v>
      </c>
      <c r="L29" s="557" t="str">
        <f t="shared" ref="L29" si="47">IF(J29&lt;=0,"",IF(J29&lt;=10,"Leve",IF(J29&lt;=50,"Menor",IF(J29&lt;=100,"Moderado",IF(J29&lt;=500,"Mayor","Catastrófico")))))</f>
        <v/>
      </c>
      <c r="M29" s="554" t="str">
        <f t="shared" ref="M29" si="48">IF(L29="","",IF(L29="Leve",0.2,IF(L29="Menor",0.4,IF(L29="Moderado",0.6,IF(L29="Mayor",0.8,IF(L29="Catastrófico",1,))))))</f>
        <v/>
      </c>
      <c r="N29" s="555" t="str">
        <f t="shared" ref="N29" si="49">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4">
        <v>1</v>
      </c>
      <c r="P29" s="275"/>
      <c r="Q29" s="276" t="str">
        <f t="shared" si="0"/>
        <v/>
      </c>
      <c r="R29" s="277"/>
      <c r="S29" s="277"/>
      <c r="T29" s="278" t="str">
        <f>IF(AND(R29="Preventivo",S29="Automático"),"50%",IF(AND(R29="Preventivo",S29="Manual"),"40%",IF(AND(R29="Detectivo",S29="Automático"),"40%",IF(AND(R29="Detectivo",S29="Manual"),"30%",IF(AND(R29="Correctivo",S29="Automático"),"35%",IF(AND(R29="Correctivo",S29="Manual"),"25%",""))))))</f>
        <v/>
      </c>
      <c r="U29" s="277"/>
      <c r="V29" s="277"/>
      <c r="W29" s="277"/>
      <c r="X29" s="279" t="str">
        <f>IFERROR(IF(Q29="Probabilidad",(I29-(+I29*T29)),IF(Q29="Impacto",I29,"")),"")</f>
        <v/>
      </c>
      <c r="Y29" s="280" t="str">
        <f>IFERROR(IF(X29="","",IF(X29&lt;=0.2,"Muy Baja",IF(X29&lt;=0.4,"Baja",IF(X29&lt;=0.6,"Media",IF(X29&lt;=0.8,"Alta","Muy Alta"))))),"")</f>
        <v/>
      </c>
      <c r="Z29" s="278" t="str">
        <f>+X29</f>
        <v/>
      </c>
      <c r="AA29" s="280" t="str">
        <f>IFERROR(IF(AB29="","",IF(AB29&lt;=0.2,"Leve",IF(AB29&lt;=0.4,"Menor",IF(AB29&lt;=0.6,"Moderado",IF(AB29&lt;=0.8,"Mayor","Catastrófico"))))),"")</f>
        <v/>
      </c>
      <c r="AB29" s="278" t="str">
        <f>IFERROR(IF(Q29="Impacto",(M29-(+M29*T29)),IF(Q29="Probabilidad",M29,"")),"")</f>
        <v/>
      </c>
      <c r="AC29" s="281"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7"/>
      <c r="AE29" s="282"/>
      <c r="AF29" s="282"/>
      <c r="AG29" s="283"/>
      <c r="AH29" s="284"/>
      <c r="AI29" s="284"/>
      <c r="AJ29" s="284"/>
      <c r="AK29" s="282"/>
      <c r="AL29" s="285"/>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row>
    <row r="30" spans="1:70" s="289" customFormat="1" ht="69" customHeight="1" x14ac:dyDescent="0.2">
      <c r="A30" s="559"/>
      <c r="B30" s="558"/>
      <c r="C30" s="558"/>
      <c r="D30" s="558"/>
      <c r="E30" s="560"/>
      <c r="F30" s="558"/>
      <c r="G30" s="556"/>
      <c r="H30" s="557"/>
      <c r="I30" s="554"/>
      <c r="J30" s="558"/>
      <c r="K30" s="554">
        <f ca="1">IF(NOT(ISERROR(MATCH(J30,_xlfn.ANCHORARRAY(#REF!),0))),#REF!&amp;"Por favor no seleccionar los criterios de impacto",J30)</f>
        <v>0</v>
      </c>
      <c r="L30" s="557"/>
      <c r="M30" s="554"/>
      <c r="N30" s="555"/>
      <c r="O30" s="274">
        <v>2</v>
      </c>
      <c r="P30" s="275"/>
      <c r="Q30" s="276" t="str">
        <f t="shared" si="0"/>
        <v/>
      </c>
      <c r="R30" s="277"/>
      <c r="S30" s="277"/>
      <c r="T30" s="278" t="str">
        <f t="shared" ref="T30" si="50">IF(AND(R30="Preventivo",S30="Automático"),"50%",IF(AND(R30="Preventivo",S30="Manual"),"40%",IF(AND(R30="Detectivo",S30="Automático"),"40%",IF(AND(R30="Detectivo",S30="Manual"),"30%",IF(AND(R30="Correctivo",S30="Automático"),"35%",IF(AND(R30="Correctivo",S30="Manual"),"25%",""))))))</f>
        <v/>
      </c>
      <c r="U30" s="277"/>
      <c r="V30" s="277"/>
      <c r="W30" s="277"/>
      <c r="X30" s="279" t="str">
        <f>IFERROR(IF(AND(Q29="Probabilidad",Q30="Probabilidad"),(Z29-(+Z29*T30)),IF(Q30="Probabilidad",(I29-(+I29*T30)),IF(Q30="Impacto",Z29,""))),"")</f>
        <v/>
      </c>
      <c r="Y30" s="280" t="str">
        <f t="shared" si="2"/>
        <v/>
      </c>
      <c r="Z30" s="278" t="str">
        <f t="shared" ref="Z30" si="51">+X30</f>
        <v/>
      </c>
      <c r="AA30" s="280" t="str">
        <f t="shared" si="4"/>
        <v/>
      </c>
      <c r="AB30" s="278" t="str">
        <f>IFERROR(IF(AND(Q29="Impacto",Q30="Impacto"),(AB27-(+AB27*T30)),IF(Q30="Impacto",($M$29-(+$M$29*T30)),IF(Q30="Probabilidad",AB27,""))),"")</f>
        <v/>
      </c>
      <c r="AC30" s="281" t="str">
        <f t="shared" ref="AC30" si="52">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7"/>
      <c r="AE30" s="282"/>
      <c r="AF30" s="282"/>
      <c r="AG30" s="283"/>
      <c r="AH30" s="284"/>
      <c r="AI30" s="284"/>
      <c r="AJ30" s="284"/>
      <c r="AK30" s="282"/>
      <c r="AL30" s="285"/>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row>
    <row r="32" spans="1:70" x14ac:dyDescent="0.3">
      <c r="A32" s="1"/>
      <c r="B32" s="24"/>
      <c r="C32" s="1"/>
      <c r="D32" s="1"/>
      <c r="F32" s="1"/>
    </row>
    <row r="100" spans="5:9" x14ac:dyDescent="0.3">
      <c r="E100" s="548" t="s">
        <v>469</v>
      </c>
      <c r="F100" s="548"/>
      <c r="G100" s="548"/>
      <c r="H100" s="548"/>
      <c r="I100" s="548"/>
    </row>
    <row r="101" spans="5:9" x14ac:dyDescent="0.3">
      <c r="G101" s="291" t="s">
        <v>13</v>
      </c>
      <c r="H101" s="291" t="s">
        <v>498</v>
      </c>
    </row>
    <row r="102" spans="5:9" x14ac:dyDescent="0.3">
      <c r="E102" s="1" t="s">
        <v>470</v>
      </c>
      <c r="G102" s="1" t="s">
        <v>14</v>
      </c>
      <c r="H102" s="1" t="s">
        <v>491</v>
      </c>
    </row>
    <row r="103" spans="5:9" x14ac:dyDescent="0.3">
      <c r="E103" t="s">
        <v>471</v>
      </c>
      <c r="G103" s="1" t="s">
        <v>15</v>
      </c>
      <c r="H103" s="1" t="s">
        <v>9</v>
      </c>
    </row>
    <row r="104" spans="5:9" x14ac:dyDescent="0.3">
      <c r="E104" s="1" t="s">
        <v>472</v>
      </c>
      <c r="G104" s="1" t="s">
        <v>16</v>
      </c>
    </row>
    <row r="105" spans="5:9" x14ac:dyDescent="0.3">
      <c r="E105" s="1" t="s">
        <v>473</v>
      </c>
    </row>
    <row r="106" spans="5:9" x14ac:dyDescent="0.3">
      <c r="E106" s="1" t="s">
        <v>474</v>
      </c>
      <c r="G106" s="291" t="s">
        <v>18</v>
      </c>
      <c r="H106" s="291" t="s">
        <v>495</v>
      </c>
    </row>
    <row r="107" spans="5:9" x14ac:dyDescent="0.3">
      <c r="E107" s="1" t="s">
        <v>475</v>
      </c>
      <c r="G107" s="1" t="s">
        <v>493</v>
      </c>
      <c r="H107" s="1" t="s">
        <v>22</v>
      </c>
    </row>
    <row r="108" spans="5:9" x14ac:dyDescent="0.3">
      <c r="E108" s="1" t="s">
        <v>476</v>
      </c>
      <c r="G108" s="1" t="s">
        <v>494</v>
      </c>
      <c r="H108" s="1" t="s">
        <v>23</v>
      </c>
    </row>
    <row r="111" spans="5:9" x14ac:dyDescent="0.3">
      <c r="G111" s="291" t="s">
        <v>496</v>
      </c>
      <c r="H111" s="291" t="s">
        <v>29</v>
      </c>
    </row>
    <row r="112" spans="5:9" x14ac:dyDescent="0.3">
      <c r="G112" s="1" t="s">
        <v>497</v>
      </c>
      <c r="H112" s="1" t="s">
        <v>30</v>
      </c>
    </row>
    <row r="113" spans="7:8" x14ac:dyDescent="0.3">
      <c r="G113" s="1" t="s">
        <v>27</v>
      </c>
      <c r="H113" s="1" t="s">
        <v>504</v>
      </c>
    </row>
    <row r="114" spans="7:8" x14ac:dyDescent="0.3">
      <c r="H114" s="1" t="s">
        <v>31</v>
      </c>
    </row>
    <row r="115" spans="7:8" x14ac:dyDescent="0.3">
      <c r="H115" s="1" t="s">
        <v>505</v>
      </c>
    </row>
    <row r="116" spans="7:8" x14ac:dyDescent="0.3">
      <c r="H116" s="1" t="s">
        <v>32</v>
      </c>
    </row>
  </sheetData>
  <dataConsolidate/>
  <mergeCells count="163">
    <mergeCell ref="AE14:AL14"/>
    <mergeCell ref="A15:A16"/>
    <mergeCell ref="B15:B16"/>
    <mergeCell ref="C15:C16"/>
    <mergeCell ref="D15:D16"/>
    <mergeCell ref="A3:AL4"/>
    <mergeCell ref="A5:B5"/>
    <mergeCell ref="C5:N5"/>
    <mergeCell ref="O5:Q5"/>
    <mergeCell ref="A6:B6"/>
    <mergeCell ref="C6:N6"/>
    <mergeCell ref="P15:P16"/>
    <mergeCell ref="E15:E16"/>
    <mergeCell ref="I15:I16"/>
    <mergeCell ref="J15:J16"/>
    <mergeCell ref="A14:G14"/>
    <mergeCell ref="H14:N14"/>
    <mergeCell ref="O14:W14"/>
    <mergeCell ref="X14:AD14"/>
    <mergeCell ref="AH15:AH16"/>
    <mergeCell ref="AI15:AI16"/>
    <mergeCell ref="AJ15:AJ16"/>
    <mergeCell ref="AK15:AK16"/>
    <mergeCell ref="F15:F16"/>
    <mergeCell ref="AG15:AG16"/>
    <mergeCell ref="Q15:V15"/>
    <mergeCell ref="W15:W16"/>
    <mergeCell ref="X15:X16"/>
    <mergeCell ref="Y15:Y16"/>
    <mergeCell ref="Z15:Z16"/>
    <mergeCell ref="AA15:AA16"/>
    <mergeCell ref="L15:L16"/>
    <mergeCell ref="M15:M16"/>
    <mergeCell ref="N15:N16"/>
    <mergeCell ref="O15:O16"/>
    <mergeCell ref="AB15:AB16"/>
    <mergeCell ref="AC15:AC16"/>
    <mergeCell ref="AD15:AD16"/>
    <mergeCell ref="AE15:AE16"/>
    <mergeCell ref="AF15:AF16"/>
    <mergeCell ref="N19:N20"/>
    <mergeCell ref="M17:M18"/>
    <mergeCell ref="N17:N18"/>
    <mergeCell ref="A19:A20"/>
    <mergeCell ref="B19:B20"/>
    <mergeCell ref="C19:C20"/>
    <mergeCell ref="D19:D20"/>
    <mergeCell ref="E19:E20"/>
    <mergeCell ref="F19:F20"/>
    <mergeCell ref="G19:G20"/>
    <mergeCell ref="H19:H20"/>
    <mergeCell ref="E17:E18"/>
    <mergeCell ref="F17:F18"/>
    <mergeCell ref="I17:I18"/>
    <mergeCell ref="J17:J18"/>
    <mergeCell ref="K17:K18"/>
    <mergeCell ref="L17:L18"/>
    <mergeCell ref="A17:A18"/>
    <mergeCell ref="B17:B18"/>
    <mergeCell ref="C17:C18"/>
    <mergeCell ref="D17:D18"/>
    <mergeCell ref="C21:C22"/>
    <mergeCell ref="D21:D22"/>
    <mergeCell ref="E21:E22"/>
    <mergeCell ref="F21:F22"/>
    <mergeCell ref="I19:I20"/>
    <mergeCell ref="J19:J20"/>
    <mergeCell ref="K19:K20"/>
    <mergeCell ref="L19:L20"/>
    <mergeCell ref="M19:M20"/>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K27:K28"/>
    <mergeCell ref="L27:L28"/>
    <mergeCell ref="M27:M28"/>
    <mergeCell ref="N27:N28"/>
    <mergeCell ref="M25:M26"/>
    <mergeCell ref="N25:N26"/>
    <mergeCell ref="A27:A28"/>
    <mergeCell ref="B27:B28"/>
    <mergeCell ref="C27:C28"/>
    <mergeCell ref="G25:G26"/>
    <mergeCell ref="H25:H26"/>
    <mergeCell ref="I25:I26"/>
    <mergeCell ref="J25:J26"/>
    <mergeCell ref="K25:K26"/>
    <mergeCell ref="L25:L26"/>
    <mergeCell ref="A25:A26"/>
    <mergeCell ref="B25:B26"/>
    <mergeCell ref="C25:C26"/>
    <mergeCell ref="D25:D26"/>
    <mergeCell ref="E25:E26"/>
    <mergeCell ref="F25:F26"/>
    <mergeCell ref="D13:F13"/>
    <mergeCell ref="D10:F10"/>
    <mergeCell ref="E100:I100"/>
    <mergeCell ref="A8:V8"/>
    <mergeCell ref="A7:XFD7"/>
    <mergeCell ref="A9:XFD9"/>
    <mergeCell ref="I10:J10"/>
    <mergeCell ref="G10:H10"/>
    <mergeCell ref="M29:M30"/>
    <mergeCell ref="N29:N30"/>
    <mergeCell ref="G29:G30"/>
    <mergeCell ref="H29:H30"/>
    <mergeCell ref="I29:I30"/>
    <mergeCell ref="J29:J30"/>
    <mergeCell ref="K29:K30"/>
    <mergeCell ref="L29:L30"/>
    <mergeCell ref="A29:A30"/>
    <mergeCell ref="B29:B30"/>
    <mergeCell ref="C29:C30"/>
    <mergeCell ref="D29:D30"/>
    <mergeCell ref="E29:E30"/>
    <mergeCell ref="F29:F30"/>
    <mergeCell ref="I27:I28"/>
    <mergeCell ref="J27:J28"/>
    <mergeCell ref="R10:U10"/>
    <mergeCell ref="R11:U11"/>
    <mergeCell ref="R12:U12"/>
    <mergeCell ref="R13:U13"/>
    <mergeCell ref="A12:C12"/>
    <mergeCell ref="D12:F12"/>
    <mergeCell ref="G12:H12"/>
    <mergeCell ref="I12:J12"/>
    <mergeCell ref="M12:N12"/>
    <mergeCell ref="O12:P12"/>
    <mergeCell ref="I11:J11"/>
    <mergeCell ref="I13:J13"/>
    <mergeCell ref="M10:N10"/>
    <mergeCell ref="O10:P10"/>
    <mergeCell ref="O11:P11"/>
    <mergeCell ref="O13:P13"/>
    <mergeCell ref="M11:N11"/>
    <mergeCell ref="M13:N13"/>
    <mergeCell ref="A10:C10"/>
    <mergeCell ref="A11:C11"/>
    <mergeCell ref="A13:C13"/>
    <mergeCell ref="G11:H11"/>
    <mergeCell ref="G13:H13"/>
    <mergeCell ref="D11:F11"/>
  </mergeCells>
  <conditionalFormatting sqref="B17:C17">
    <cfRule type="cellIs" dxfId="258" priority="1" operator="equal">
      <formula>"Muy Alta"</formula>
    </cfRule>
    <cfRule type="cellIs" dxfId="257" priority="2" operator="equal">
      <formula>"Alta"</formula>
    </cfRule>
    <cfRule type="cellIs" dxfId="256" priority="3" operator="equal">
      <formula>"Media"</formula>
    </cfRule>
    <cfRule type="cellIs" dxfId="255" priority="4" operator="equal">
      <formula>"Baja"</formula>
    </cfRule>
    <cfRule type="cellIs" dxfId="254" priority="5" operator="equal">
      <formula>"Muy Baja"</formula>
    </cfRule>
  </conditionalFormatting>
  <conditionalFormatting sqref="F17 H19 H21 H23 H25 H29">
    <cfRule type="cellIs" dxfId="253" priority="147" operator="equal">
      <formula>"Muy Alta"</formula>
    </cfRule>
    <cfRule type="cellIs" dxfId="252" priority="148" operator="equal">
      <formula>"Alta"</formula>
    </cfRule>
    <cfRule type="cellIs" dxfId="251" priority="149" operator="equal">
      <formula>"Media"</formula>
    </cfRule>
    <cfRule type="cellIs" dxfId="250" priority="150" operator="equal">
      <formula>"Baja"</formula>
    </cfRule>
    <cfRule type="cellIs" dxfId="249" priority="151" operator="equal">
      <formula>"Muy Baja"</formula>
    </cfRule>
  </conditionalFormatting>
  <conditionalFormatting sqref="K17:K30">
    <cfRule type="containsText" dxfId="248" priority="11" operator="containsText" text="❌">
      <formula>NOT(ISERROR(SEARCH("❌",K17)))</formula>
    </cfRule>
  </conditionalFormatting>
  <conditionalFormatting sqref="L17 L19 L21 L23 L25 L27 L29">
    <cfRule type="cellIs" dxfId="247" priority="142" operator="equal">
      <formula>"Catastrófico"</formula>
    </cfRule>
    <cfRule type="cellIs" dxfId="246" priority="143" operator="equal">
      <formula>"Mayor"</formula>
    </cfRule>
    <cfRule type="cellIs" dxfId="245" priority="144" operator="equal">
      <formula>"Moderado"</formula>
    </cfRule>
    <cfRule type="cellIs" dxfId="244" priority="145" operator="equal">
      <formula>"Menor"</formula>
    </cfRule>
    <cfRule type="cellIs" dxfId="243" priority="146" operator="equal">
      <formula>"Leve"</formula>
    </cfRule>
  </conditionalFormatting>
  <conditionalFormatting sqref="N17 N19 N21 N23 N25 N27 N29">
    <cfRule type="cellIs" dxfId="242" priority="138" operator="equal">
      <formula>"Extremo"</formula>
    </cfRule>
    <cfRule type="cellIs" dxfId="241" priority="139" operator="equal">
      <formula>"Alto"</formula>
    </cfRule>
    <cfRule type="cellIs" dxfId="240" priority="140" operator="equal">
      <formula>"Moderado"</formula>
    </cfRule>
    <cfRule type="cellIs" dxfId="239" priority="141" operator="equal">
      <formula>"Bajo"</formula>
    </cfRule>
  </conditionalFormatting>
  <conditionalFormatting sqref="Y17:Y30">
    <cfRule type="cellIs" dxfId="238" priority="49" operator="equal">
      <formula>"Muy Alta"</formula>
    </cfRule>
    <cfRule type="cellIs" dxfId="237" priority="50" operator="equal">
      <formula>"Alta"</formula>
    </cfRule>
    <cfRule type="cellIs" dxfId="236" priority="51" operator="equal">
      <formula>"Media"</formula>
    </cfRule>
    <cfRule type="cellIs" dxfId="235" priority="52" operator="equal">
      <formula>"Baja"</formula>
    </cfRule>
    <cfRule type="cellIs" dxfId="234" priority="53" operator="equal">
      <formula>"Muy Baja"</formula>
    </cfRule>
  </conditionalFormatting>
  <conditionalFormatting sqref="AA17:AA30">
    <cfRule type="cellIs" dxfId="233" priority="44" operator="equal">
      <formula>"Catastrófico"</formula>
    </cfRule>
    <cfRule type="cellIs" dxfId="232" priority="45" operator="equal">
      <formula>"Mayor"</formula>
    </cfRule>
    <cfRule type="cellIs" dxfId="231" priority="46" operator="equal">
      <formula>"Moderado"</formula>
    </cfRule>
    <cfRule type="cellIs" dxfId="230" priority="47" operator="equal">
      <formula>"Menor"</formula>
    </cfRule>
    <cfRule type="cellIs" dxfId="229" priority="48" operator="equal">
      <formula>"Leve"</formula>
    </cfRule>
  </conditionalFormatting>
  <conditionalFormatting sqref="AC17:AC30">
    <cfRule type="cellIs" dxfId="228" priority="40" operator="equal">
      <formula>"Extremo"</formula>
    </cfRule>
    <cfRule type="cellIs" dxfId="227" priority="41" operator="equal">
      <formula>"Alto"</formula>
    </cfRule>
    <cfRule type="cellIs" dxfId="226" priority="42" operator="equal">
      <formula>"Moderado"</formula>
    </cfRule>
    <cfRule type="cellIs" dxfId="225" priority="43" operator="equal">
      <formula>"Bajo"</formula>
    </cfRule>
  </conditionalFormatting>
  <dataValidations count="7">
    <dataValidation type="list" allowBlank="1" showInputMessage="1" showErrorMessage="1" sqref="AD17:AD30" xr:uid="{48D09155-F485-433A-8EA9-97E7C8B3F7F1}">
      <formula1>$H$112:$H$116</formula1>
    </dataValidation>
    <dataValidation type="list" allowBlank="1" showInputMessage="1" showErrorMessage="1" sqref="W17:W30" xr:uid="{EDF84D9E-014D-49D8-B934-0C5DD000C590}">
      <formula1>$G$112:$G$113</formula1>
    </dataValidation>
    <dataValidation type="list" allowBlank="1" showInputMessage="1" showErrorMessage="1" sqref="V17:V30" xr:uid="{9BFBA6D9-8AE7-4C18-A0C9-90807ED8D46A}">
      <formula1>$H$107:$H$108</formula1>
    </dataValidation>
    <dataValidation type="list" allowBlank="1" showInputMessage="1" showErrorMessage="1" sqref="U17:U30" xr:uid="{8DCB431C-1FF4-4036-9E4F-E5486890AB24}">
      <formula1>$G$107:$G$108</formula1>
    </dataValidation>
    <dataValidation type="list" allowBlank="1" showInputMessage="1" showErrorMessage="1" sqref="S17:S30" xr:uid="{D47B7190-0F8F-45BD-BB73-884B10E9C61E}">
      <formula1>$H$102:$H$103</formula1>
    </dataValidation>
    <dataValidation type="list" allowBlank="1" showInputMessage="1" showErrorMessage="1" sqref="R17:R30" xr:uid="{97A6460A-EE59-4045-9194-11205D390B64}">
      <formula1>$G$102:$G$104</formula1>
    </dataValidation>
    <dataValidation type="list" allowBlank="1" showInputMessage="1" showErrorMessage="1" sqref="F19:F30" xr:uid="{0B4DB190-7AAA-4D4D-BD02-DFB38E1BD6A2}">
      <formula1>$E$102:$E$108</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P72"/>
  <sheetViews>
    <sheetView topLeftCell="A4" zoomScale="70" zoomScaleNormal="70" workbookViewId="0">
      <selection activeCell="L10" sqref="L10:L15"/>
    </sheetView>
  </sheetViews>
  <sheetFormatPr baseColWidth="10" defaultColWidth="11.42578125" defaultRowHeight="16.5" x14ac:dyDescent="0.3"/>
  <cols>
    <col min="1" max="1" width="4" style="2" bestFit="1"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6.28515625" style="1" bestFit="1" customWidth="1"/>
    <col min="10" max="10" width="27.28515625" style="1" bestFit="1" customWidth="1"/>
    <col min="11" max="11" width="30.5703125" style="1" hidden="1" customWidth="1"/>
    <col min="12" max="12" width="17.5703125" style="1" customWidth="1"/>
    <col min="13" max="13" width="6.28515625" style="1" bestFit="1" customWidth="1"/>
    <col min="14" max="14" width="16" style="1" customWidth="1"/>
    <col min="15" max="15" width="5.85546875" style="1" customWidth="1"/>
    <col min="16" max="16" width="31" style="1" customWidth="1"/>
    <col min="17" max="17" width="15.140625" style="1" bestFit="1" customWidth="1"/>
    <col min="18" max="18" width="6.85546875" style="1" customWidth="1"/>
    <col min="19" max="19" width="5" style="1" customWidth="1"/>
    <col min="20" max="20" width="5.5703125" style="1" customWidth="1"/>
    <col min="21" max="21" width="7.140625" style="1" customWidth="1"/>
    <col min="22" max="22" width="6.7109375" style="1" customWidth="1"/>
    <col min="23" max="23" width="7.5703125" style="1" customWidth="1"/>
    <col min="24" max="24" width="38.28515625" style="1" hidden="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23" style="1" customWidth="1"/>
    <col min="32" max="32" width="18.85546875" style="1" customWidth="1"/>
    <col min="33" max="33" width="16.85546875" style="1" customWidth="1"/>
    <col min="34" max="34" width="14.85546875" style="1" customWidth="1"/>
    <col min="35" max="35" width="18.5703125" style="1" customWidth="1"/>
    <col min="36" max="36" width="21" style="1" customWidth="1"/>
    <col min="37" max="16384" width="11.42578125" style="1"/>
  </cols>
  <sheetData>
    <row r="1" spans="1:68" ht="16.5" customHeight="1" x14ac:dyDescent="0.3">
      <c r="A1" s="627" t="s">
        <v>144</v>
      </c>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c r="AC1" s="628"/>
      <c r="AD1" s="628"/>
      <c r="AE1" s="628"/>
      <c r="AF1" s="628"/>
      <c r="AG1" s="628"/>
      <c r="AH1" s="628"/>
      <c r="AI1" s="628"/>
      <c r="AJ1" s="629"/>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ht="24" customHeight="1" x14ac:dyDescent="0.3">
      <c r="A2" s="630"/>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2"/>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68" x14ac:dyDescent="0.3">
      <c r="A3" s="28"/>
      <c r="B3" s="29"/>
      <c r="C3" s="28"/>
      <c r="D3" s="28"/>
      <c r="E3" s="8"/>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row>
    <row r="4" spans="1:68" ht="26.25" customHeight="1" x14ac:dyDescent="0.3">
      <c r="A4" s="613" t="s">
        <v>43</v>
      </c>
      <c r="B4" s="614"/>
      <c r="C4" s="620"/>
      <c r="D4" s="621"/>
      <c r="E4" s="621"/>
      <c r="F4" s="621"/>
      <c r="G4" s="621"/>
      <c r="H4" s="621"/>
      <c r="I4" s="621"/>
      <c r="J4" s="621"/>
      <c r="K4" s="621"/>
      <c r="L4" s="621"/>
      <c r="M4" s="621"/>
      <c r="N4" s="622"/>
      <c r="O4" s="626"/>
      <c r="P4" s="626"/>
      <c r="Q4" s="626"/>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row>
    <row r="5" spans="1:68" ht="30" customHeight="1" x14ac:dyDescent="0.3">
      <c r="A5" s="613" t="s">
        <v>130</v>
      </c>
      <c r="B5" s="614"/>
      <c r="C5" s="620"/>
      <c r="D5" s="621"/>
      <c r="E5" s="621"/>
      <c r="F5" s="621"/>
      <c r="G5" s="621"/>
      <c r="H5" s="621"/>
      <c r="I5" s="621"/>
      <c r="J5" s="621"/>
      <c r="K5" s="621"/>
      <c r="L5" s="621"/>
      <c r="M5" s="621"/>
      <c r="N5" s="622"/>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row>
    <row r="6" spans="1:68" ht="49.5" customHeight="1" x14ac:dyDescent="0.3">
      <c r="A6" s="613" t="s">
        <v>44</v>
      </c>
      <c r="B6" s="614"/>
      <c r="C6" s="623"/>
      <c r="D6" s="624"/>
      <c r="E6" s="624"/>
      <c r="F6" s="624"/>
      <c r="G6" s="624"/>
      <c r="H6" s="624"/>
      <c r="I6" s="624"/>
      <c r="J6" s="624"/>
      <c r="K6" s="624"/>
      <c r="L6" s="624"/>
      <c r="M6" s="624"/>
      <c r="N6" s="625"/>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row>
    <row r="7" spans="1:68" x14ac:dyDescent="0.3">
      <c r="A7" s="633" t="s">
        <v>139</v>
      </c>
      <c r="B7" s="634"/>
      <c r="C7" s="634"/>
      <c r="D7" s="634"/>
      <c r="E7" s="634"/>
      <c r="F7" s="634"/>
      <c r="G7" s="635"/>
      <c r="H7" s="633" t="s">
        <v>140</v>
      </c>
      <c r="I7" s="634"/>
      <c r="J7" s="634"/>
      <c r="K7" s="634"/>
      <c r="L7" s="634"/>
      <c r="M7" s="634"/>
      <c r="N7" s="635"/>
      <c r="O7" s="633" t="s">
        <v>141</v>
      </c>
      <c r="P7" s="634"/>
      <c r="Q7" s="634"/>
      <c r="R7" s="634"/>
      <c r="S7" s="634"/>
      <c r="T7" s="634"/>
      <c r="U7" s="634"/>
      <c r="V7" s="634"/>
      <c r="W7" s="635"/>
      <c r="X7" s="633" t="s">
        <v>142</v>
      </c>
      <c r="Y7" s="634"/>
      <c r="Z7" s="634"/>
      <c r="AA7" s="634"/>
      <c r="AB7" s="634"/>
      <c r="AC7" s="634"/>
      <c r="AD7" s="635"/>
      <c r="AE7" s="633" t="s">
        <v>34</v>
      </c>
      <c r="AF7" s="634"/>
      <c r="AG7" s="634"/>
      <c r="AH7" s="634"/>
      <c r="AI7" s="634"/>
      <c r="AJ7" s="635"/>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row>
    <row r="8" spans="1:68" ht="16.5" customHeight="1" x14ac:dyDescent="0.3">
      <c r="A8" s="615" t="s">
        <v>0</v>
      </c>
      <c r="B8" s="611" t="s">
        <v>2</v>
      </c>
      <c r="C8" s="605" t="s">
        <v>3</v>
      </c>
      <c r="D8" s="605" t="s">
        <v>42</v>
      </c>
      <c r="E8" s="617" t="s">
        <v>1</v>
      </c>
      <c r="F8" s="612" t="s">
        <v>50</v>
      </c>
      <c r="G8" s="605" t="s">
        <v>135</v>
      </c>
      <c r="H8" s="607" t="s">
        <v>33</v>
      </c>
      <c r="I8" s="608" t="s">
        <v>5</v>
      </c>
      <c r="J8" s="612" t="s">
        <v>87</v>
      </c>
      <c r="K8" s="612" t="s">
        <v>92</v>
      </c>
      <c r="L8" s="610" t="s">
        <v>45</v>
      </c>
      <c r="M8" s="608" t="s">
        <v>5</v>
      </c>
      <c r="N8" s="605" t="s">
        <v>48</v>
      </c>
      <c r="O8" s="618" t="s">
        <v>11</v>
      </c>
      <c r="P8" s="606" t="s">
        <v>163</v>
      </c>
      <c r="Q8" s="612" t="s">
        <v>12</v>
      </c>
      <c r="R8" s="606" t="s">
        <v>8</v>
      </c>
      <c r="S8" s="606"/>
      <c r="T8" s="606"/>
      <c r="U8" s="606"/>
      <c r="V8" s="606"/>
      <c r="W8" s="606"/>
      <c r="X8" s="604" t="s">
        <v>138</v>
      </c>
      <c r="Y8" s="604" t="s">
        <v>46</v>
      </c>
      <c r="Z8" s="604" t="s">
        <v>5</v>
      </c>
      <c r="AA8" s="604" t="s">
        <v>47</v>
      </c>
      <c r="AB8" s="604" t="s">
        <v>5</v>
      </c>
      <c r="AC8" s="604" t="s">
        <v>49</v>
      </c>
      <c r="AD8" s="618" t="s">
        <v>29</v>
      </c>
      <c r="AE8" s="606" t="s">
        <v>34</v>
      </c>
      <c r="AF8" s="606" t="s">
        <v>35</v>
      </c>
      <c r="AG8" s="606" t="s">
        <v>36</v>
      </c>
      <c r="AH8" s="606" t="s">
        <v>38</v>
      </c>
      <c r="AI8" s="606" t="s">
        <v>37</v>
      </c>
      <c r="AJ8" s="606" t="s">
        <v>39</v>
      </c>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row>
    <row r="9" spans="1:68" s="4" customFormat="1" ht="94.5" customHeight="1" x14ac:dyDescent="0.25">
      <c r="A9" s="616"/>
      <c r="B9" s="611"/>
      <c r="C9" s="606"/>
      <c r="D9" s="606"/>
      <c r="E9" s="611"/>
      <c r="F9" s="605"/>
      <c r="G9" s="606"/>
      <c r="H9" s="605"/>
      <c r="I9" s="609"/>
      <c r="J9" s="605"/>
      <c r="K9" s="605"/>
      <c r="L9" s="609"/>
      <c r="M9" s="609"/>
      <c r="N9" s="606"/>
      <c r="O9" s="619"/>
      <c r="P9" s="606"/>
      <c r="Q9" s="605"/>
      <c r="R9" s="7" t="s">
        <v>13</v>
      </c>
      <c r="S9" s="7" t="s">
        <v>17</v>
      </c>
      <c r="T9" s="7" t="s">
        <v>28</v>
      </c>
      <c r="U9" s="7" t="s">
        <v>18</v>
      </c>
      <c r="V9" s="7" t="s">
        <v>21</v>
      </c>
      <c r="W9" s="7" t="s">
        <v>24</v>
      </c>
      <c r="X9" s="604"/>
      <c r="Y9" s="604"/>
      <c r="Z9" s="604"/>
      <c r="AA9" s="604"/>
      <c r="AB9" s="604"/>
      <c r="AC9" s="604"/>
      <c r="AD9" s="619"/>
      <c r="AE9" s="606"/>
      <c r="AF9" s="606"/>
      <c r="AG9" s="606"/>
      <c r="AH9" s="606"/>
      <c r="AI9" s="606"/>
      <c r="AJ9" s="606"/>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row>
    <row r="10" spans="1:68" s="3" customFormat="1" ht="167.25" customHeight="1" x14ac:dyDescent="0.25">
      <c r="A10" s="589">
        <v>1</v>
      </c>
      <c r="B10" s="580" t="s">
        <v>134</v>
      </c>
      <c r="C10" s="580"/>
      <c r="D10" s="580"/>
      <c r="E10" s="592"/>
      <c r="F10" s="580" t="s">
        <v>123</v>
      </c>
      <c r="G10" s="583">
        <v>2</v>
      </c>
      <c r="H10" s="586" t="str">
        <f>IF(G10&lt;=0,"",IF(G10&lt;=2,"Muy Baja",IF(G10&lt;=24,"Baja",IF(G10&lt;=500,"Media",IF(G10&lt;=5000,"Alta","Muy Alta")))))</f>
        <v>Muy Baja</v>
      </c>
      <c r="I10" s="598">
        <f>IF(H10="","",IF(H10="Muy Baja",0.2,IF(H10="Baja",0.4,IF(H10="Media",0.6,IF(H10="Alta",0.8,IF(H10="Muy Alta",1,))))))</f>
        <v>0.2</v>
      </c>
      <c r="J10" s="601" t="s">
        <v>152</v>
      </c>
      <c r="K10" s="598" t="str">
        <f ca="1">IF(NOT(ISERROR(MATCH(J10,'Tabla Impacto'!$B$221:$B$223,0))),'Tabla Impacto'!$F$223&amp;"Por favor no seleccionar los criterios de impacto(Afectación Económica o presupuestal y Pérdida Reputacional)",J10)</f>
        <v xml:space="preserve">     Mayor a 500 SMLMV </v>
      </c>
      <c r="L10" s="586"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598">
        <f ca="1">IF(L10="","",IF(L10="Leve",0.2,IF(L10="Menor",0.4,IF(L10="Moderado",0.6,IF(L10="Mayor",0.8,IF(L10="Catastrófico",1,))))))</f>
        <v>1</v>
      </c>
      <c r="N10" s="595"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123">
        <v>1</v>
      </c>
      <c r="P10" s="124" t="s">
        <v>372</v>
      </c>
      <c r="Q10" s="125" t="str">
        <f>IF(OR(R10="Preventivo",R10="Detectivo"),"Probabilidad",IF(R10="Correctivo","Impacto",""))</f>
        <v>Probabilidad</v>
      </c>
      <c r="R10" s="126" t="s">
        <v>14</v>
      </c>
      <c r="S10" s="126" t="s">
        <v>10</v>
      </c>
      <c r="T10" s="127" t="str">
        <f>IF(AND(R10="Preventivo",S10="Automático"),"50%",IF(AND(R10="Preventivo",S10="Manual"),"40%",IF(AND(R10="Detectivo",S10="Automático"),"40%",IF(AND(R10="Detectivo",S10="Manual"),"30%",IF(AND(R10="Correctivo",S10="Automático"),"35%",IF(AND(R10="Correctivo",S10="Manual"),"25%",""))))))</f>
        <v>50%</v>
      </c>
      <c r="U10" s="126" t="s">
        <v>19</v>
      </c>
      <c r="V10" s="126" t="s">
        <v>23</v>
      </c>
      <c r="W10" s="126" t="s">
        <v>119</v>
      </c>
      <c r="X10" s="128">
        <f>IFERROR(IF(Q10="Probabilidad",(I10-(+I10*T10)),IF(Q10="Impacto",I10,"")),"")</f>
        <v>0.1</v>
      </c>
      <c r="Y10" s="129" t="str">
        <f>IFERROR(IF(X10="","",IF(X10&lt;=0.2,"Muy Baja",IF(X10&lt;=0.4,"Baja",IF(X10&lt;=0.6,"Media",IF(X10&lt;=0.8,"Alta","Muy Alta"))))),"")</f>
        <v>Muy Baja</v>
      </c>
      <c r="Z10" s="130">
        <f>+X10</f>
        <v>0.1</v>
      </c>
      <c r="AA10" s="129" t="str">
        <f ca="1">IFERROR(IF(AB10="","",IF(AB10&lt;=0.2,"Leve",IF(AB10&lt;=0.4,"Menor",IF(AB10&lt;=0.6,"Moderado",IF(AB10&lt;=0.8,"Mayor","Catastrófico"))))),"")</f>
        <v>Catastrófico</v>
      </c>
      <c r="AB10" s="130">
        <f ca="1">IFERROR(IF(Q10="Impacto",(M10-(+M10*T10)),IF(Q10="Probabilidad",M10,"")),"")</f>
        <v>1</v>
      </c>
      <c r="AC10" s="131"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132" t="s">
        <v>32</v>
      </c>
      <c r="AE10" s="133"/>
      <c r="AF10" s="134"/>
      <c r="AG10" s="135"/>
      <c r="AH10" s="135"/>
      <c r="AI10" s="133"/>
      <c r="AJ10" s="134" t="s">
        <v>40</v>
      </c>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51.5" customHeight="1" x14ac:dyDescent="0.3">
      <c r="A11" s="590"/>
      <c r="B11" s="581"/>
      <c r="C11" s="581"/>
      <c r="D11" s="581"/>
      <c r="E11" s="593"/>
      <c r="F11" s="581"/>
      <c r="G11" s="584"/>
      <c r="H11" s="587"/>
      <c r="I11" s="599"/>
      <c r="J11" s="602"/>
      <c r="K11" s="599">
        <f ca="1">IF(NOT(ISERROR(MATCH(J11,_xlfn.ANCHORARRAY(E22),0))),I24&amp;"Por favor no seleccionar los criterios de impacto",J11)</f>
        <v>0</v>
      </c>
      <c r="L11" s="587"/>
      <c r="M11" s="599"/>
      <c r="N11" s="596"/>
      <c r="O11" s="123">
        <v>2</v>
      </c>
      <c r="P11" s="124"/>
      <c r="Q11" s="125" t="str">
        <f>IF(OR(R11="Preventivo",R11="Detectivo"),"Probabilidad",IF(R11="Correctivo","Impacto",""))</f>
        <v/>
      </c>
      <c r="R11" s="126"/>
      <c r="S11" s="126"/>
      <c r="T11" s="127" t="str">
        <f t="shared" ref="T11:T15" si="0">IF(AND(R11="Preventivo",S11="Automático"),"50%",IF(AND(R11="Preventivo",S11="Manual"),"40%",IF(AND(R11="Detectivo",S11="Automático"),"40%",IF(AND(R11="Detectivo",S11="Manual"),"30%",IF(AND(R11="Correctivo",S11="Automático"),"35%",IF(AND(R11="Correctivo",S11="Manual"),"25%",""))))))</f>
        <v/>
      </c>
      <c r="U11" s="126"/>
      <c r="V11" s="126"/>
      <c r="W11" s="126"/>
      <c r="X11" s="128" t="str">
        <f>IFERROR(IF(AND(Q10="Probabilidad",Q11="Probabilidad"),(Z10-(+Z10*T11)),IF(Q11="Probabilidad",(I10-(+I10*T11)),IF(Q11="Impacto",Z10,""))),"")</f>
        <v/>
      </c>
      <c r="Y11" s="129" t="str">
        <f t="shared" ref="Y11:Y69" si="1">IFERROR(IF(X11="","",IF(X11&lt;=0.2,"Muy Baja",IF(X11&lt;=0.4,"Baja",IF(X11&lt;=0.6,"Media",IF(X11&lt;=0.8,"Alta","Muy Alta"))))),"")</f>
        <v/>
      </c>
      <c r="Z11" s="130" t="str">
        <f t="shared" ref="Z11:Z15" si="2">+X11</f>
        <v/>
      </c>
      <c r="AA11" s="129" t="str">
        <f t="shared" ref="AA11:AA69" si="3">IFERROR(IF(AB11="","",IF(AB11&lt;=0.2,"Leve",IF(AB11&lt;=0.4,"Menor",IF(AB11&lt;=0.6,"Moderado",IF(AB11&lt;=0.8,"Mayor","Catastrófico"))))),"")</f>
        <v/>
      </c>
      <c r="AB11" s="130" t="str">
        <f>IFERROR(IF(AND(Q10="Impacto",Q11="Impacto"),(AB10-(+AB10*T11)),IF(Q11="Impacto",($M$10-(+$M$10*T11)),IF(Q11="Probabilidad",AB10,""))),"")</f>
        <v/>
      </c>
      <c r="AC11" s="13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32"/>
      <c r="AE11" s="133"/>
      <c r="AF11" s="134"/>
      <c r="AG11" s="135"/>
      <c r="AH11" s="135"/>
      <c r="AI11" s="133"/>
      <c r="AJ11" s="134"/>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1:68" ht="151.5" customHeight="1" x14ac:dyDescent="0.3">
      <c r="A12" s="590"/>
      <c r="B12" s="581"/>
      <c r="C12" s="581"/>
      <c r="D12" s="581"/>
      <c r="E12" s="593"/>
      <c r="F12" s="581"/>
      <c r="G12" s="584"/>
      <c r="H12" s="587"/>
      <c r="I12" s="599"/>
      <c r="J12" s="602"/>
      <c r="K12" s="599">
        <f ca="1">IF(NOT(ISERROR(MATCH(J12,_xlfn.ANCHORARRAY(E23),0))),I25&amp;"Por favor no seleccionar los criterios de impacto",J12)</f>
        <v>0</v>
      </c>
      <c r="L12" s="587"/>
      <c r="M12" s="599"/>
      <c r="N12" s="596"/>
      <c r="O12" s="123">
        <v>3</v>
      </c>
      <c r="P12" s="136"/>
      <c r="Q12" s="125" t="str">
        <f>IF(OR(R12="Preventivo",R12="Detectivo"),"Probabilidad",IF(R12="Correctivo","Impacto",""))</f>
        <v/>
      </c>
      <c r="R12" s="126"/>
      <c r="S12" s="126"/>
      <c r="T12" s="127" t="str">
        <f t="shared" si="0"/>
        <v/>
      </c>
      <c r="U12" s="126"/>
      <c r="V12" s="126"/>
      <c r="W12" s="126"/>
      <c r="X12" s="128" t="str">
        <f>IFERROR(IF(AND(Q11="Probabilidad",Q12="Probabilidad"),(Z11-(+Z11*T12)),IF(AND(Q11="Impacto",Q12="Probabilidad"),(Z10-(+Z10*T12)),IF(Q12="Impacto",Z11,""))),"")</f>
        <v/>
      </c>
      <c r="Y12" s="129" t="str">
        <f t="shared" si="1"/>
        <v/>
      </c>
      <c r="Z12" s="130" t="str">
        <f t="shared" si="2"/>
        <v/>
      </c>
      <c r="AA12" s="129" t="str">
        <f t="shared" si="3"/>
        <v/>
      </c>
      <c r="AB12" s="130" t="str">
        <f>IFERROR(IF(AND(Q11="Impacto",Q12="Impacto"),(AB11-(+AB11*T12)),IF(AND(Q11="Probabilidad",Q12="Impacto"),(AB10-(+AB10*T12)),IF(Q12="Probabilidad",AB11,""))),"")</f>
        <v/>
      </c>
      <c r="AC12" s="131" t="str">
        <f t="shared" si="4"/>
        <v/>
      </c>
      <c r="AD12" s="132"/>
      <c r="AE12" s="133"/>
      <c r="AF12" s="134"/>
      <c r="AG12" s="135"/>
      <c r="AH12" s="135"/>
      <c r="AI12" s="133"/>
      <c r="AJ12" s="134"/>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1:68" ht="151.5" customHeight="1" x14ac:dyDescent="0.3">
      <c r="A13" s="590"/>
      <c r="B13" s="581"/>
      <c r="C13" s="581"/>
      <c r="D13" s="581"/>
      <c r="E13" s="593"/>
      <c r="F13" s="581"/>
      <c r="G13" s="584"/>
      <c r="H13" s="587"/>
      <c r="I13" s="599"/>
      <c r="J13" s="602"/>
      <c r="K13" s="599">
        <f ca="1">IF(NOT(ISERROR(MATCH(J13,_xlfn.ANCHORARRAY(E24),0))),I26&amp;"Por favor no seleccionar los criterios de impacto",J13)</f>
        <v>0</v>
      </c>
      <c r="L13" s="587"/>
      <c r="M13" s="599"/>
      <c r="N13" s="596"/>
      <c r="O13" s="123">
        <v>4</v>
      </c>
      <c r="P13" s="124"/>
      <c r="Q13" s="125" t="str">
        <f t="shared" ref="Q13:Q15" si="5">IF(OR(R13="Preventivo",R13="Detectivo"),"Probabilidad",IF(R13="Correctivo","Impacto",""))</f>
        <v/>
      </c>
      <c r="R13" s="126"/>
      <c r="S13" s="126"/>
      <c r="T13" s="127" t="str">
        <f t="shared" si="0"/>
        <v/>
      </c>
      <c r="U13" s="126"/>
      <c r="V13" s="126"/>
      <c r="W13" s="126"/>
      <c r="X13" s="128" t="str">
        <f t="shared" ref="X13:X15" si="6">IFERROR(IF(AND(Q12="Probabilidad",Q13="Probabilidad"),(Z12-(+Z12*T13)),IF(AND(Q12="Impacto",Q13="Probabilidad"),(Z11-(+Z11*T13)),IF(Q13="Impacto",Z12,""))),"")</f>
        <v/>
      </c>
      <c r="Y13" s="129" t="str">
        <f t="shared" si="1"/>
        <v/>
      </c>
      <c r="Z13" s="130" t="str">
        <f t="shared" si="2"/>
        <v/>
      </c>
      <c r="AA13" s="129" t="str">
        <f t="shared" si="3"/>
        <v/>
      </c>
      <c r="AB13" s="130" t="str">
        <f t="shared" ref="AB13:AB15" si="7">IFERROR(IF(AND(Q12="Impacto",Q13="Impacto"),(AB12-(+AB12*T13)),IF(AND(Q12="Probabilidad",Q13="Impacto"),(AB11-(+AB11*T13)),IF(Q13="Probabilidad",AB12,""))),"")</f>
        <v/>
      </c>
      <c r="AC13" s="13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132"/>
      <c r="AE13" s="133"/>
      <c r="AF13" s="134"/>
      <c r="AG13" s="135"/>
      <c r="AH13" s="135"/>
      <c r="AI13" s="133"/>
      <c r="AJ13" s="134"/>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1:68" ht="151.5" customHeight="1" x14ac:dyDescent="0.3">
      <c r="A14" s="590"/>
      <c r="B14" s="581"/>
      <c r="C14" s="581"/>
      <c r="D14" s="581"/>
      <c r="E14" s="593"/>
      <c r="F14" s="581"/>
      <c r="G14" s="584"/>
      <c r="H14" s="587"/>
      <c r="I14" s="599"/>
      <c r="J14" s="602"/>
      <c r="K14" s="599">
        <f ca="1">IF(NOT(ISERROR(MATCH(J14,_xlfn.ANCHORARRAY(E25),0))),I27&amp;"Por favor no seleccionar los criterios de impacto",J14)</f>
        <v>0</v>
      </c>
      <c r="L14" s="587"/>
      <c r="M14" s="599"/>
      <c r="N14" s="596"/>
      <c r="O14" s="123">
        <v>5</v>
      </c>
      <c r="P14" s="124"/>
      <c r="Q14" s="125" t="str">
        <f t="shared" si="5"/>
        <v/>
      </c>
      <c r="R14" s="126"/>
      <c r="S14" s="126"/>
      <c r="T14" s="127" t="str">
        <f t="shared" si="0"/>
        <v/>
      </c>
      <c r="U14" s="126"/>
      <c r="V14" s="126"/>
      <c r="W14" s="126"/>
      <c r="X14" s="128" t="str">
        <f t="shared" si="6"/>
        <v/>
      </c>
      <c r="Y14" s="129" t="str">
        <f t="shared" si="1"/>
        <v/>
      </c>
      <c r="Z14" s="130" t="str">
        <f t="shared" si="2"/>
        <v/>
      </c>
      <c r="AA14" s="129" t="str">
        <f t="shared" si="3"/>
        <v/>
      </c>
      <c r="AB14" s="130" t="str">
        <f t="shared" si="7"/>
        <v/>
      </c>
      <c r="AC14" s="131" t="str">
        <f t="shared" si="4"/>
        <v/>
      </c>
      <c r="AD14" s="132"/>
      <c r="AE14" s="133"/>
      <c r="AF14" s="134"/>
      <c r="AG14" s="135"/>
      <c r="AH14" s="135"/>
      <c r="AI14" s="133"/>
      <c r="AJ14" s="134"/>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1:68" ht="151.5" customHeight="1" x14ac:dyDescent="0.3">
      <c r="A15" s="591"/>
      <c r="B15" s="582"/>
      <c r="C15" s="582"/>
      <c r="D15" s="582"/>
      <c r="E15" s="594"/>
      <c r="F15" s="582"/>
      <c r="G15" s="585"/>
      <c r="H15" s="588"/>
      <c r="I15" s="600"/>
      <c r="J15" s="603"/>
      <c r="K15" s="600">
        <f ca="1">IF(NOT(ISERROR(MATCH(J15,_xlfn.ANCHORARRAY(E26),0))),I28&amp;"Por favor no seleccionar los criterios de impacto",J15)</f>
        <v>0</v>
      </c>
      <c r="L15" s="588"/>
      <c r="M15" s="600"/>
      <c r="N15" s="597"/>
      <c r="O15" s="123">
        <v>6</v>
      </c>
      <c r="P15" s="124"/>
      <c r="Q15" s="125" t="str">
        <f t="shared" si="5"/>
        <v/>
      </c>
      <c r="R15" s="126"/>
      <c r="S15" s="126"/>
      <c r="T15" s="127" t="str">
        <f t="shared" si="0"/>
        <v/>
      </c>
      <c r="U15" s="126"/>
      <c r="V15" s="126"/>
      <c r="W15" s="126"/>
      <c r="X15" s="128" t="str">
        <f t="shared" si="6"/>
        <v/>
      </c>
      <c r="Y15" s="129" t="str">
        <f t="shared" si="1"/>
        <v/>
      </c>
      <c r="Z15" s="130" t="str">
        <f t="shared" si="2"/>
        <v/>
      </c>
      <c r="AA15" s="129" t="str">
        <f t="shared" si="3"/>
        <v/>
      </c>
      <c r="AB15" s="130" t="str">
        <f t="shared" si="7"/>
        <v/>
      </c>
      <c r="AC15" s="131" t="str">
        <f t="shared" si="4"/>
        <v/>
      </c>
      <c r="AD15" s="132"/>
      <c r="AE15" s="133"/>
      <c r="AF15" s="134"/>
      <c r="AG15" s="135"/>
      <c r="AH15" s="135"/>
      <c r="AI15" s="133"/>
      <c r="AJ15" s="134"/>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1:68" ht="151.5" customHeight="1" x14ac:dyDescent="0.3">
      <c r="A16" s="589">
        <v>2</v>
      </c>
      <c r="B16" s="580"/>
      <c r="C16" s="580"/>
      <c r="D16" s="580"/>
      <c r="E16" s="592"/>
      <c r="F16" s="580"/>
      <c r="G16" s="583"/>
      <c r="H16" s="586" t="str">
        <f>IF(G16&lt;=0,"",IF(G16&lt;=2,"Muy Baja",IF(G16&lt;=24,"Baja",IF(G16&lt;=500,"Media",IF(G16&lt;=5000,"Alta","Muy Alta")))))</f>
        <v/>
      </c>
      <c r="I16" s="598" t="str">
        <f>IF(H16="","",IF(H16="Muy Baja",0.2,IF(H16="Baja",0.4,IF(H16="Media",0.6,IF(H16="Alta",0.8,IF(H16="Muy Alta",1,))))))</f>
        <v/>
      </c>
      <c r="J16" s="601"/>
      <c r="K16" s="598">
        <f ca="1">IF(NOT(ISERROR(MATCH(J16,'Tabla Impacto'!$B$221:$B$223,0))),'Tabla Impacto'!$F$223&amp;"Por favor no seleccionar los criterios de impacto(Afectación Económica o presupuestal y Pérdida Reputacional)",J16)</f>
        <v>0</v>
      </c>
      <c r="L16" s="586" t="str">
        <f ca="1">IF(OR(K16='Tabla Impacto'!$C$11,K16='Tabla Impacto'!$D$11),"Leve",IF(OR(K16='Tabla Impacto'!$C$12,K16='Tabla Impacto'!$D$12),"Menor",IF(OR(K16='Tabla Impacto'!$C$13,K16='Tabla Impacto'!$D$13),"Moderado",IF(OR(K16='Tabla Impacto'!$C$14,K16='Tabla Impacto'!$D$14),"Mayor",IF(OR(K16='Tabla Impacto'!$C$15,K16='Tabla Impacto'!$D$15),"Catastrófico","")))))</f>
        <v/>
      </c>
      <c r="M16" s="598" t="str">
        <f ca="1">IF(L16="","",IF(L16="Leve",0.2,IF(L16="Menor",0.4,IF(L16="Moderado",0.6,IF(L16="Mayor",0.8,IF(L16="Catastrófico",1,))))))</f>
        <v/>
      </c>
      <c r="N16" s="595"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23">
        <v>1</v>
      </c>
      <c r="P16" s="124"/>
      <c r="Q16" s="125" t="str">
        <f>IF(OR(R16="Preventivo",R16="Detectivo"),"Probabilidad",IF(R16="Correctivo","Impacto",""))</f>
        <v/>
      </c>
      <c r="R16" s="126"/>
      <c r="S16" s="126"/>
      <c r="T16" s="127" t="str">
        <f>IF(AND(R16="Preventivo",S16="Automático"),"50%",IF(AND(R16="Preventivo",S16="Manual"),"40%",IF(AND(R16="Detectivo",S16="Automático"),"40%",IF(AND(R16="Detectivo",S16="Manual"),"30%",IF(AND(R16="Correctivo",S16="Automático"),"35%",IF(AND(R16="Correctivo",S16="Manual"),"25%",""))))))</f>
        <v/>
      </c>
      <c r="U16" s="126"/>
      <c r="V16" s="126"/>
      <c r="W16" s="126"/>
      <c r="X16" s="128" t="str">
        <f>IFERROR(IF(Q16="Probabilidad",(I16-(+I16*T16)),IF(Q16="Impacto",I16,"")),"")</f>
        <v/>
      </c>
      <c r="Y16" s="129" t="str">
        <f>IFERROR(IF(X16="","",IF(X16&lt;=0.2,"Muy Baja",IF(X16&lt;=0.4,"Baja",IF(X16&lt;=0.6,"Media",IF(X16&lt;=0.8,"Alta","Muy Alta"))))),"")</f>
        <v/>
      </c>
      <c r="Z16" s="130" t="str">
        <f>+X16</f>
        <v/>
      </c>
      <c r="AA16" s="129" t="str">
        <f>IFERROR(IF(AB16="","",IF(AB16&lt;=0.2,"Leve",IF(AB16&lt;=0.4,"Menor",IF(AB16&lt;=0.6,"Moderado",IF(AB16&lt;=0.8,"Mayor","Catastrófico"))))),"")</f>
        <v/>
      </c>
      <c r="AB16" s="130" t="str">
        <f>IFERROR(IF(Q16="Impacto",(M16-(+M16*T16)),IF(Q16="Probabilidad",M16,"")),"")</f>
        <v/>
      </c>
      <c r="AC16" s="1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32"/>
      <c r="AE16" s="133"/>
      <c r="AF16" s="134"/>
      <c r="AG16" s="135"/>
      <c r="AH16" s="135"/>
      <c r="AI16" s="133"/>
      <c r="AJ16" s="134"/>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1:68" ht="151.5" customHeight="1" x14ac:dyDescent="0.3">
      <c r="A17" s="590"/>
      <c r="B17" s="581"/>
      <c r="C17" s="581"/>
      <c r="D17" s="581"/>
      <c r="E17" s="593"/>
      <c r="F17" s="581"/>
      <c r="G17" s="584"/>
      <c r="H17" s="587"/>
      <c r="I17" s="599"/>
      <c r="J17" s="602"/>
      <c r="K17" s="599">
        <f ca="1">IF(NOT(ISERROR(MATCH(J17,_xlfn.ANCHORARRAY(E28),0))),I30&amp;"Por favor no seleccionar los criterios de impacto",J17)</f>
        <v>0</v>
      </c>
      <c r="L17" s="587"/>
      <c r="M17" s="599"/>
      <c r="N17" s="596"/>
      <c r="O17" s="123">
        <v>2</v>
      </c>
      <c r="P17" s="124"/>
      <c r="Q17" s="125" t="str">
        <f>IF(OR(R17="Preventivo",R17="Detectivo"),"Probabilidad",IF(R17="Correctivo","Impacto",""))</f>
        <v/>
      </c>
      <c r="R17" s="126"/>
      <c r="S17" s="126"/>
      <c r="T17" s="127" t="str">
        <f t="shared" ref="T17:T21" si="8">IF(AND(R17="Preventivo",S17="Automático"),"50%",IF(AND(R17="Preventivo",S17="Manual"),"40%",IF(AND(R17="Detectivo",S17="Automático"),"40%",IF(AND(R17="Detectivo",S17="Manual"),"30%",IF(AND(R17="Correctivo",S17="Automático"),"35%",IF(AND(R17="Correctivo",S17="Manual"),"25%",""))))))</f>
        <v/>
      </c>
      <c r="U17" s="126"/>
      <c r="V17" s="126"/>
      <c r="W17" s="126"/>
      <c r="X17" s="128" t="str">
        <f>IFERROR(IF(AND(Q16="Probabilidad",Q17="Probabilidad"),(Z16-(+Z16*T17)),IF(Q17="Probabilidad",(I16-(+I16*T17)),IF(Q17="Impacto",Z16,""))),"")</f>
        <v/>
      </c>
      <c r="Y17" s="129" t="str">
        <f t="shared" si="1"/>
        <v/>
      </c>
      <c r="Z17" s="130" t="str">
        <f t="shared" ref="Z17:Z21" si="9">+X17</f>
        <v/>
      </c>
      <c r="AA17" s="129" t="str">
        <f t="shared" si="3"/>
        <v/>
      </c>
      <c r="AB17" s="130" t="str">
        <f>IFERROR(IF(AND(Q16="Impacto",Q17="Impacto"),(AB10-(+AB10*T17)),IF(Q17="Impacto",($M$16-(+$M$16*T17)),IF(Q17="Probabilidad",AB10,""))),"")</f>
        <v/>
      </c>
      <c r="AC17" s="131"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32"/>
      <c r="AE17" s="133"/>
      <c r="AF17" s="134"/>
      <c r="AG17" s="135"/>
      <c r="AH17" s="135"/>
      <c r="AI17" s="133"/>
      <c r="AJ17" s="134"/>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1:68" ht="151.5" customHeight="1" x14ac:dyDescent="0.3">
      <c r="A18" s="590"/>
      <c r="B18" s="581"/>
      <c r="C18" s="581"/>
      <c r="D18" s="581"/>
      <c r="E18" s="593"/>
      <c r="F18" s="581"/>
      <c r="G18" s="584"/>
      <c r="H18" s="587"/>
      <c r="I18" s="599"/>
      <c r="J18" s="602"/>
      <c r="K18" s="599">
        <f ca="1">IF(NOT(ISERROR(MATCH(J18,_xlfn.ANCHORARRAY(E29),0))),I31&amp;"Por favor no seleccionar los criterios de impacto",J18)</f>
        <v>0</v>
      </c>
      <c r="L18" s="587"/>
      <c r="M18" s="599"/>
      <c r="N18" s="596"/>
      <c r="O18" s="123">
        <v>3</v>
      </c>
      <c r="P18" s="136"/>
      <c r="Q18" s="125" t="str">
        <f>IF(OR(R18="Preventivo",R18="Detectivo"),"Probabilidad",IF(R18="Correctivo","Impacto",""))</f>
        <v/>
      </c>
      <c r="R18" s="126"/>
      <c r="S18" s="126"/>
      <c r="T18" s="127" t="str">
        <f t="shared" si="8"/>
        <v/>
      </c>
      <c r="U18" s="126"/>
      <c r="V18" s="126"/>
      <c r="W18" s="126"/>
      <c r="X18" s="128" t="str">
        <f>IFERROR(IF(AND(Q17="Probabilidad",Q18="Probabilidad"),(Z17-(+Z17*T18)),IF(AND(Q17="Impacto",Q18="Probabilidad"),(Z16-(+Z16*T18)),IF(Q18="Impacto",Z17,""))),"")</f>
        <v/>
      </c>
      <c r="Y18" s="129" t="str">
        <f t="shared" si="1"/>
        <v/>
      </c>
      <c r="Z18" s="130" t="str">
        <f t="shared" si="9"/>
        <v/>
      </c>
      <c r="AA18" s="129" t="str">
        <f t="shared" si="3"/>
        <v/>
      </c>
      <c r="AB18" s="130" t="str">
        <f>IFERROR(IF(AND(Q17="Impacto",Q18="Impacto"),(AB17-(+AB17*T18)),IF(AND(Q17="Probabilidad",Q18="Impacto"),(AB16-(+AB16*T18)),IF(Q18="Probabilidad",AB17,""))),"")</f>
        <v/>
      </c>
      <c r="AC18" s="131" t="str">
        <f t="shared" si="10"/>
        <v/>
      </c>
      <c r="AD18" s="132"/>
      <c r="AE18" s="133"/>
      <c r="AF18" s="134"/>
      <c r="AG18" s="135"/>
      <c r="AH18" s="135"/>
      <c r="AI18" s="133"/>
      <c r="AJ18" s="134"/>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1:68" ht="151.5" customHeight="1" x14ac:dyDescent="0.3">
      <c r="A19" s="590"/>
      <c r="B19" s="581"/>
      <c r="C19" s="581"/>
      <c r="D19" s="581"/>
      <c r="E19" s="593"/>
      <c r="F19" s="581"/>
      <c r="G19" s="584"/>
      <c r="H19" s="587"/>
      <c r="I19" s="599"/>
      <c r="J19" s="602"/>
      <c r="K19" s="599">
        <f ca="1">IF(NOT(ISERROR(MATCH(J19,_xlfn.ANCHORARRAY(E30),0))),I32&amp;"Por favor no seleccionar los criterios de impacto",J19)</f>
        <v>0</v>
      </c>
      <c r="L19" s="587"/>
      <c r="M19" s="599"/>
      <c r="N19" s="596"/>
      <c r="O19" s="123">
        <v>4</v>
      </c>
      <c r="P19" s="124"/>
      <c r="Q19" s="125" t="str">
        <f t="shared" ref="Q19:Q21" si="11">IF(OR(R19="Preventivo",R19="Detectivo"),"Probabilidad",IF(R19="Correctivo","Impacto",""))</f>
        <v/>
      </c>
      <c r="R19" s="126"/>
      <c r="S19" s="126"/>
      <c r="T19" s="127" t="str">
        <f t="shared" si="8"/>
        <v/>
      </c>
      <c r="U19" s="126"/>
      <c r="V19" s="126"/>
      <c r="W19" s="126"/>
      <c r="X19" s="128" t="str">
        <f t="shared" ref="X19:X21" si="12">IFERROR(IF(AND(Q18="Probabilidad",Q19="Probabilidad"),(Z18-(+Z18*T19)),IF(AND(Q18="Impacto",Q19="Probabilidad"),(Z17-(+Z17*T19)),IF(Q19="Impacto",Z18,""))),"")</f>
        <v/>
      </c>
      <c r="Y19" s="129" t="str">
        <f t="shared" si="1"/>
        <v/>
      </c>
      <c r="Z19" s="130" t="str">
        <f t="shared" si="9"/>
        <v/>
      </c>
      <c r="AA19" s="129" t="str">
        <f t="shared" si="3"/>
        <v/>
      </c>
      <c r="AB19" s="130" t="str">
        <f t="shared" ref="AB19:AB21" si="13">IFERROR(IF(AND(Q18="Impacto",Q19="Impacto"),(AB18-(+AB18*T19)),IF(AND(Q18="Probabilidad",Q19="Impacto"),(AB17-(+AB17*T19)),IF(Q19="Probabilidad",AB18,""))),"")</f>
        <v/>
      </c>
      <c r="AC19" s="1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32"/>
      <c r="AE19" s="133"/>
      <c r="AF19" s="134"/>
      <c r="AG19" s="135"/>
      <c r="AH19" s="135"/>
      <c r="AI19" s="133"/>
      <c r="AJ19" s="134"/>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1:68" ht="151.5" customHeight="1" x14ac:dyDescent="0.3">
      <c r="A20" s="590"/>
      <c r="B20" s="581"/>
      <c r="C20" s="581"/>
      <c r="D20" s="581"/>
      <c r="E20" s="593"/>
      <c r="F20" s="581"/>
      <c r="G20" s="584"/>
      <c r="H20" s="587"/>
      <c r="I20" s="599"/>
      <c r="J20" s="602"/>
      <c r="K20" s="599">
        <f ca="1">IF(NOT(ISERROR(MATCH(J20,_xlfn.ANCHORARRAY(E31),0))),I33&amp;"Por favor no seleccionar los criterios de impacto",J20)</f>
        <v>0</v>
      </c>
      <c r="L20" s="587"/>
      <c r="M20" s="599"/>
      <c r="N20" s="596"/>
      <c r="O20" s="123">
        <v>5</v>
      </c>
      <c r="P20" s="124"/>
      <c r="Q20" s="125" t="str">
        <f t="shared" si="11"/>
        <v/>
      </c>
      <c r="R20" s="126"/>
      <c r="S20" s="126"/>
      <c r="T20" s="127" t="str">
        <f t="shared" si="8"/>
        <v/>
      </c>
      <c r="U20" s="126"/>
      <c r="V20" s="126"/>
      <c r="W20" s="126"/>
      <c r="X20" s="128" t="str">
        <f t="shared" si="12"/>
        <v/>
      </c>
      <c r="Y20" s="129" t="str">
        <f t="shared" si="1"/>
        <v/>
      </c>
      <c r="Z20" s="130" t="str">
        <f t="shared" si="9"/>
        <v/>
      </c>
      <c r="AA20" s="129" t="str">
        <f t="shared" si="3"/>
        <v/>
      </c>
      <c r="AB20" s="130" t="str">
        <f t="shared" si="13"/>
        <v/>
      </c>
      <c r="AC20" s="131"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32"/>
      <c r="AE20" s="133"/>
      <c r="AF20" s="134"/>
      <c r="AG20" s="135"/>
      <c r="AH20" s="135"/>
      <c r="AI20" s="133"/>
      <c r="AJ20" s="134"/>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1" spans="1:68" ht="151.5" customHeight="1" x14ac:dyDescent="0.3">
      <c r="A21" s="591"/>
      <c r="B21" s="582"/>
      <c r="C21" s="582"/>
      <c r="D21" s="582"/>
      <c r="E21" s="594"/>
      <c r="F21" s="582"/>
      <c r="G21" s="585"/>
      <c r="H21" s="588"/>
      <c r="I21" s="600"/>
      <c r="J21" s="603"/>
      <c r="K21" s="600">
        <f ca="1">IF(NOT(ISERROR(MATCH(J21,_xlfn.ANCHORARRAY(E32),0))),I34&amp;"Por favor no seleccionar los criterios de impacto",J21)</f>
        <v>0</v>
      </c>
      <c r="L21" s="588"/>
      <c r="M21" s="600"/>
      <c r="N21" s="597"/>
      <c r="O21" s="123">
        <v>6</v>
      </c>
      <c r="P21" s="124"/>
      <c r="Q21" s="125" t="str">
        <f t="shared" si="11"/>
        <v/>
      </c>
      <c r="R21" s="126"/>
      <c r="S21" s="126"/>
      <c r="T21" s="127" t="str">
        <f t="shared" si="8"/>
        <v/>
      </c>
      <c r="U21" s="126"/>
      <c r="V21" s="126"/>
      <c r="W21" s="126"/>
      <c r="X21" s="128" t="str">
        <f t="shared" si="12"/>
        <v/>
      </c>
      <c r="Y21" s="129" t="str">
        <f t="shared" si="1"/>
        <v/>
      </c>
      <c r="Z21" s="130" t="str">
        <f t="shared" si="9"/>
        <v/>
      </c>
      <c r="AA21" s="129" t="str">
        <f t="shared" si="3"/>
        <v/>
      </c>
      <c r="AB21" s="130" t="str">
        <f t="shared" si="13"/>
        <v/>
      </c>
      <c r="AC21" s="131" t="str">
        <f t="shared" si="14"/>
        <v/>
      </c>
      <c r="AD21" s="132"/>
      <c r="AE21" s="133"/>
      <c r="AF21" s="134"/>
      <c r="AG21" s="135"/>
      <c r="AH21" s="135"/>
      <c r="AI21" s="133"/>
      <c r="AJ21" s="134"/>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row>
    <row r="22" spans="1:68" ht="151.5" customHeight="1" x14ac:dyDescent="0.3">
      <c r="A22" s="589">
        <v>3</v>
      </c>
      <c r="B22" s="580"/>
      <c r="C22" s="580"/>
      <c r="D22" s="580"/>
      <c r="E22" s="592"/>
      <c r="F22" s="580"/>
      <c r="G22" s="583"/>
      <c r="H22" s="586" t="str">
        <f>IF(G22&lt;=0,"",IF(G22&lt;=2,"Muy Baja",IF(G22&lt;=24,"Baja",IF(G22&lt;=500,"Media",IF(G22&lt;=5000,"Alta","Muy Alta")))))</f>
        <v/>
      </c>
      <c r="I22" s="598" t="str">
        <f>IF(H22="","",IF(H22="Muy Baja",0.2,IF(H22="Baja",0.4,IF(H22="Media",0.6,IF(H22="Alta",0.8,IF(H22="Muy Alta",1,))))))</f>
        <v/>
      </c>
      <c r="J22" s="601"/>
      <c r="K22" s="598">
        <f ca="1">IF(NOT(ISERROR(MATCH(J22,'Tabla Impacto'!$B$221:$B$223,0))),'Tabla Impacto'!$F$223&amp;"Por favor no seleccionar los criterios de impacto(Afectación Económica o presupuestal y Pérdida Reputacional)",J22)</f>
        <v>0</v>
      </c>
      <c r="L22" s="586" t="str">
        <f ca="1">IF(OR(K22='Tabla Impacto'!$C$11,K22='Tabla Impacto'!$D$11),"Leve",IF(OR(K22='Tabla Impacto'!$C$12,K22='Tabla Impacto'!$D$12),"Menor",IF(OR(K22='Tabla Impacto'!$C$13,K22='Tabla Impacto'!$D$13),"Moderado",IF(OR(K22='Tabla Impacto'!$C$14,K22='Tabla Impacto'!$D$14),"Mayor",IF(OR(K22='Tabla Impacto'!$C$15,K22='Tabla Impacto'!$D$15),"Catastrófico","")))))</f>
        <v/>
      </c>
      <c r="M22" s="598" t="str">
        <f ca="1">IF(L22="","",IF(L22="Leve",0.2,IF(L22="Menor",0.4,IF(L22="Moderado",0.6,IF(L22="Mayor",0.8,IF(L22="Catastrófico",1,))))))</f>
        <v/>
      </c>
      <c r="N22" s="595"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23">
        <v>1</v>
      </c>
      <c r="P22" s="124"/>
      <c r="Q22" s="125" t="str">
        <f>IF(OR(R22="Preventivo",R22="Detectivo"),"Probabilidad",IF(R22="Correctivo","Impacto",""))</f>
        <v/>
      </c>
      <c r="R22" s="126"/>
      <c r="S22" s="126"/>
      <c r="T22" s="127" t="str">
        <f>IF(AND(R22="Preventivo",S22="Automático"),"50%",IF(AND(R22="Preventivo",S22="Manual"),"40%",IF(AND(R22="Detectivo",S22="Automático"),"40%",IF(AND(R22="Detectivo",S22="Manual"),"30%",IF(AND(R22="Correctivo",S22="Automático"),"35%",IF(AND(R22="Correctivo",S22="Manual"),"25%",""))))))</f>
        <v/>
      </c>
      <c r="U22" s="126"/>
      <c r="V22" s="126"/>
      <c r="W22" s="126"/>
      <c r="X22" s="128" t="str">
        <f>IFERROR(IF(Q22="Probabilidad",(I22-(+I22*T22)),IF(Q22="Impacto",I22,"")),"")</f>
        <v/>
      </c>
      <c r="Y22" s="129" t="str">
        <f>IFERROR(IF(X22="","",IF(X22&lt;=0.2,"Muy Baja",IF(X22&lt;=0.4,"Baja",IF(X22&lt;=0.6,"Media",IF(X22&lt;=0.8,"Alta","Muy Alta"))))),"")</f>
        <v/>
      </c>
      <c r="Z22" s="130" t="str">
        <f>+X22</f>
        <v/>
      </c>
      <c r="AA22" s="129" t="str">
        <f>IFERROR(IF(AB22="","",IF(AB22&lt;=0.2,"Leve",IF(AB22&lt;=0.4,"Menor",IF(AB22&lt;=0.6,"Moderado",IF(AB22&lt;=0.8,"Mayor","Catastrófico"))))),"")</f>
        <v/>
      </c>
      <c r="AB22" s="130" t="str">
        <f>IFERROR(IF(Q22="Impacto",(M22-(+M22*T22)),IF(Q22="Probabilidad",M22,"")),"")</f>
        <v/>
      </c>
      <c r="AC22" s="1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32"/>
      <c r="AE22" s="133"/>
      <c r="AF22" s="134"/>
      <c r="AG22" s="135"/>
      <c r="AH22" s="135"/>
      <c r="AI22" s="133"/>
      <c r="AJ22" s="134"/>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row>
    <row r="23" spans="1:68" ht="151.5" customHeight="1" x14ac:dyDescent="0.3">
      <c r="A23" s="590"/>
      <c r="B23" s="581"/>
      <c r="C23" s="581"/>
      <c r="D23" s="581"/>
      <c r="E23" s="593"/>
      <c r="F23" s="581"/>
      <c r="G23" s="584"/>
      <c r="H23" s="587"/>
      <c r="I23" s="599"/>
      <c r="J23" s="602"/>
      <c r="K23" s="599">
        <f t="shared" ref="K23:K27" ca="1" si="15">IF(NOT(ISERROR(MATCH(J23,_xlfn.ANCHORARRAY(E34),0))),I36&amp;"Por favor no seleccionar los criterios de impacto",J23)</f>
        <v>0</v>
      </c>
      <c r="L23" s="587"/>
      <c r="M23" s="599"/>
      <c r="N23" s="596"/>
      <c r="O23" s="123">
        <v>2</v>
      </c>
      <c r="P23" s="124"/>
      <c r="Q23" s="125" t="str">
        <f>IF(OR(R23="Preventivo",R23="Detectivo"),"Probabilidad",IF(R23="Correctivo","Impacto",""))</f>
        <v/>
      </c>
      <c r="R23" s="126"/>
      <c r="S23" s="126"/>
      <c r="T23" s="127" t="str">
        <f t="shared" ref="T23:T27" si="16">IF(AND(R23="Preventivo",S23="Automático"),"50%",IF(AND(R23="Preventivo",S23="Manual"),"40%",IF(AND(R23="Detectivo",S23="Automático"),"40%",IF(AND(R23="Detectivo",S23="Manual"),"30%",IF(AND(R23="Correctivo",S23="Automático"),"35%",IF(AND(R23="Correctivo",S23="Manual"),"25%",""))))))</f>
        <v/>
      </c>
      <c r="U23" s="126"/>
      <c r="V23" s="126"/>
      <c r="W23" s="126"/>
      <c r="X23" s="137" t="str">
        <f>IFERROR(IF(AND(Q22="Probabilidad",Q23="Probabilidad"),(Z22-(+Z22*T23)),IF(Q23="Probabilidad",(I22-(+I22*T23)),IF(Q23="Impacto",Z22,""))),"")</f>
        <v/>
      </c>
      <c r="Y23" s="129" t="str">
        <f t="shared" si="1"/>
        <v/>
      </c>
      <c r="Z23" s="130" t="str">
        <f t="shared" ref="Z23:Z27" si="17">+X23</f>
        <v/>
      </c>
      <c r="AA23" s="129" t="str">
        <f t="shared" si="3"/>
        <v/>
      </c>
      <c r="AB23" s="130" t="str">
        <f>IFERROR(IF(AND(Q22="Impacto",Q23="Impacto"),(AB16-(+AB16*T23)),IF(Q23="Impacto",($M$22-(+$M$22*T23)),IF(Q23="Probabilidad",AB16,""))),"")</f>
        <v/>
      </c>
      <c r="AC23" s="131"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32"/>
      <c r="AE23" s="133"/>
      <c r="AF23" s="134"/>
      <c r="AG23" s="135"/>
      <c r="AH23" s="135"/>
      <c r="AI23" s="133"/>
      <c r="AJ23" s="134"/>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row>
    <row r="24" spans="1:68" ht="151.5" customHeight="1" x14ac:dyDescent="0.3">
      <c r="A24" s="590"/>
      <c r="B24" s="581"/>
      <c r="C24" s="581"/>
      <c r="D24" s="581"/>
      <c r="E24" s="593"/>
      <c r="F24" s="581"/>
      <c r="G24" s="584"/>
      <c r="H24" s="587"/>
      <c r="I24" s="599"/>
      <c r="J24" s="602"/>
      <c r="K24" s="599">
        <f t="shared" ca="1" si="15"/>
        <v>0</v>
      </c>
      <c r="L24" s="587"/>
      <c r="M24" s="599"/>
      <c r="N24" s="596"/>
      <c r="O24" s="123">
        <v>3</v>
      </c>
      <c r="P24" s="136"/>
      <c r="Q24" s="125" t="str">
        <f>IF(OR(R24="Preventivo",R24="Detectivo"),"Probabilidad",IF(R24="Correctivo","Impacto",""))</f>
        <v/>
      </c>
      <c r="R24" s="126"/>
      <c r="S24" s="126"/>
      <c r="T24" s="127" t="str">
        <f t="shared" si="16"/>
        <v/>
      </c>
      <c r="U24" s="126"/>
      <c r="V24" s="126"/>
      <c r="W24" s="126"/>
      <c r="X24" s="128" t="str">
        <f>IFERROR(IF(AND(Q23="Probabilidad",Q24="Probabilidad"),(Z23-(+Z23*T24)),IF(AND(Q23="Impacto",Q24="Probabilidad"),(Z22-(+Z22*T24)),IF(Q24="Impacto",Z23,""))),"")</f>
        <v/>
      </c>
      <c r="Y24" s="129" t="str">
        <f t="shared" si="1"/>
        <v/>
      </c>
      <c r="Z24" s="130" t="str">
        <f t="shared" si="17"/>
        <v/>
      </c>
      <c r="AA24" s="129" t="str">
        <f t="shared" si="3"/>
        <v/>
      </c>
      <c r="AB24" s="130" t="str">
        <f>IFERROR(IF(AND(Q23="Impacto",Q24="Impacto"),(AB23-(+AB23*T24)),IF(AND(Q23="Probabilidad",Q24="Impacto"),(AB22-(+AB22*T24)),IF(Q24="Probabilidad",AB23,""))),"")</f>
        <v/>
      </c>
      <c r="AC24" s="131" t="str">
        <f t="shared" si="18"/>
        <v/>
      </c>
      <c r="AD24" s="132"/>
      <c r="AE24" s="133"/>
      <c r="AF24" s="134"/>
      <c r="AG24" s="135"/>
      <c r="AH24" s="135"/>
      <c r="AI24" s="133"/>
      <c r="AJ24" s="134"/>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row>
    <row r="25" spans="1:68" ht="151.5" customHeight="1" x14ac:dyDescent="0.3">
      <c r="A25" s="590"/>
      <c r="B25" s="581"/>
      <c r="C25" s="581"/>
      <c r="D25" s="581"/>
      <c r="E25" s="593"/>
      <c r="F25" s="581"/>
      <c r="G25" s="584"/>
      <c r="H25" s="587"/>
      <c r="I25" s="599"/>
      <c r="J25" s="602"/>
      <c r="K25" s="599">
        <f t="shared" ca="1" si="15"/>
        <v>0</v>
      </c>
      <c r="L25" s="587"/>
      <c r="M25" s="599"/>
      <c r="N25" s="596"/>
      <c r="O25" s="123">
        <v>4</v>
      </c>
      <c r="P25" s="124"/>
      <c r="Q25" s="125" t="str">
        <f t="shared" ref="Q25:Q27" si="19">IF(OR(R25="Preventivo",R25="Detectivo"),"Probabilidad",IF(R25="Correctivo","Impacto",""))</f>
        <v/>
      </c>
      <c r="R25" s="126"/>
      <c r="S25" s="126"/>
      <c r="T25" s="127" t="str">
        <f t="shared" si="16"/>
        <v/>
      </c>
      <c r="U25" s="126"/>
      <c r="V25" s="126"/>
      <c r="W25" s="126"/>
      <c r="X25" s="128" t="str">
        <f t="shared" ref="X25:X27" si="20">IFERROR(IF(AND(Q24="Probabilidad",Q25="Probabilidad"),(Z24-(+Z24*T25)),IF(AND(Q24="Impacto",Q25="Probabilidad"),(Z23-(+Z23*T25)),IF(Q25="Impacto",Z24,""))),"")</f>
        <v/>
      </c>
      <c r="Y25" s="129" t="str">
        <f t="shared" si="1"/>
        <v/>
      </c>
      <c r="Z25" s="130" t="str">
        <f t="shared" si="17"/>
        <v/>
      </c>
      <c r="AA25" s="129" t="str">
        <f t="shared" si="3"/>
        <v/>
      </c>
      <c r="AB25" s="130" t="str">
        <f t="shared" ref="AB25:AB27" si="21">IFERROR(IF(AND(Q24="Impacto",Q25="Impacto"),(AB24-(+AB24*T25)),IF(AND(Q24="Probabilidad",Q25="Impacto"),(AB23-(+AB23*T25)),IF(Q25="Probabilidad",AB24,""))),"")</f>
        <v/>
      </c>
      <c r="AC25" s="1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32"/>
      <c r="AE25" s="133"/>
      <c r="AF25" s="134"/>
      <c r="AG25" s="135"/>
      <c r="AH25" s="135"/>
      <c r="AI25" s="133"/>
      <c r="AJ25" s="134"/>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row>
    <row r="26" spans="1:68" ht="151.5" customHeight="1" x14ac:dyDescent="0.3">
      <c r="A26" s="590"/>
      <c r="B26" s="581"/>
      <c r="C26" s="581"/>
      <c r="D26" s="581"/>
      <c r="E26" s="593"/>
      <c r="F26" s="581"/>
      <c r="G26" s="584"/>
      <c r="H26" s="587"/>
      <c r="I26" s="599"/>
      <c r="J26" s="602"/>
      <c r="K26" s="599">
        <f t="shared" ca="1" si="15"/>
        <v>0</v>
      </c>
      <c r="L26" s="587"/>
      <c r="M26" s="599"/>
      <c r="N26" s="596"/>
      <c r="O26" s="123">
        <v>5</v>
      </c>
      <c r="P26" s="124"/>
      <c r="Q26" s="125" t="str">
        <f t="shared" si="19"/>
        <v/>
      </c>
      <c r="R26" s="126"/>
      <c r="S26" s="126"/>
      <c r="T26" s="127" t="str">
        <f t="shared" si="16"/>
        <v/>
      </c>
      <c r="U26" s="126"/>
      <c r="V26" s="126"/>
      <c r="W26" s="126"/>
      <c r="X26" s="128" t="str">
        <f t="shared" si="20"/>
        <v/>
      </c>
      <c r="Y26" s="129" t="str">
        <f t="shared" si="1"/>
        <v/>
      </c>
      <c r="Z26" s="130" t="str">
        <f t="shared" si="17"/>
        <v/>
      </c>
      <c r="AA26" s="129" t="str">
        <f t="shared" si="3"/>
        <v/>
      </c>
      <c r="AB26" s="130" t="str">
        <f t="shared" si="21"/>
        <v/>
      </c>
      <c r="AC26" s="13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32"/>
      <c r="AE26" s="133"/>
      <c r="AF26" s="134"/>
      <c r="AG26" s="135"/>
      <c r="AH26" s="135"/>
      <c r="AI26" s="133"/>
      <c r="AJ26" s="134"/>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row>
    <row r="27" spans="1:68" ht="151.5" customHeight="1" x14ac:dyDescent="0.3">
      <c r="A27" s="591"/>
      <c r="B27" s="582"/>
      <c r="C27" s="582"/>
      <c r="D27" s="582"/>
      <c r="E27" s="594"/>
      <c r="F27" s="582"/>
      <c r="G27" s="585"/>
      <c r="H27" s="588"/>
      <c r="I27" s="600"/>
      <c r="J27" s="603"/>
      <c r="K27" s="600">
        <f t="shared" ca="1" si="15"/>
        <v>0</v>
      </c>
      <c r="L27" s="588"/>
      <c r="M27" s="600"/>
      <c r="N27" s="597"/>
      <c r="O27" s="123">
        <v>6</v>
      </c>
      <c r="P27" s="124"/>
      <c r="Q27" s="125" t="str">
        <f t="shared" si="19"/>
        <v/>
      </c>
      <c r="R27" s="126"/>
      <c r="S27" s="126"/>
      <c r="T27" s="127" t="str">
        <f t="shared" si="16"/>
        <v/>
      </c>
      <c r="U27" s="126"/>
      <c r="V27" s="126"/>
      <c r="W27" s="126"/>
      <c r="X27" s="128" t="str">
        <f t="shared" si="20"/>
        <v/>
      </c>
      <c r="Y27" s="129" t="str">
        <f t="shared" si="1"/>
        <v/>
      </c>
      <c r="Z27" s="130" t="str">
        <f t="shared" si="17"/>
        <v/>
      </c>
      <c r="AA27" s="129" t="str">
        <f t="shared" si="3"/>
        <v/>
      </c>
      <c r="AB27" s="130" t="str">
        <f t="shared" si="21"/>
        <v/>
      </c>
      <c r="AC27" s="131" t="str">
        <f t="shared" si="22"/>
        <v/>
      </c>
      <c r="AD27" s="132"/>
      <c r="AE27" s="133"/>
      <c r="AF27" s="134"/>
      <c r="AG27" s="135"/>
      <c r="AH27" s="135"/>
      <c r="AI27" s="133"/>
      <c r="AJ27" s="134"/>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row>
    <row r="28" spans="1:68" ht="151.5" customHeight="1" x14ac:dyDescent="0.3">
      <c r="A28" s="589">
        <v>4</v>
      </c>
      <c r="B28" s="580"/>
      <c r="C28" s="580"/>
      <c r="D28" s="580"/>
      <c r="E28" s="592"/>
      <c r="F28" s="580"/>
      <c r="G28" s="583"/>
      <c r="H28" s="586" t="str">
        <f>IF(G28&lt;=0,"",IF(G28&lt;=2,"Muy Baja",IF(G28&lt;=24,"Baja",IF(G28&lt;=500,"Media",IF(G28&lt;=5000,"Alta","Muy Alta")))))</f>
        <v/>
      </c>
      <c r="I28" s="598" t="str">
        <f>IF(H28="","",IF(H28="Muy Baja",0.2,IF(H28="Baja",0.4,IF(H28="Media",0.6,IF(H28="Alta",0.8,IF(H28="Muy Alta",1,))))))</f>
        <v/>
      </c>
      <c r="J28" s="601"/>
      <c r="K28" s="598">
        <f ca="1">IF(NOT(ISERROR(MATCH(J28,'Tabla Impacto'!$B$221:$B$223,0))),'Tabla Impacto'!$F$223&amp;"Por favor no seleccionar los criterios de impacto(Afectación Económica o presupuestal y Pérdida Reputacional)",J28)</f>
        <v>0</v>
      </c>
      <c r="L28" s="586" t="str">
        <f ca="1">IF(OR(K28='Tabla Impacto'!$C$11,K28='Tabla Impacto'!$D$11),"Leve",IF(OR(K28='Tabla Impacto'!$C$12,K28='Tabla Impacto'!$D$12),"Menor",IF(OR(K28='Tabla Impacto'!$C$13,K28='Tabla Impacto'!$D$13),"Moderado",IF(OR(K28='Tabla Impacto'!$C$14,K28='Tabla Impacto'!$D$14),"Mayor",IF(OR(K28='Tabla Impacto'!$C$15,K28='Tabla Impacto'!$D$15),"Catastrófico","")))))</f>
        <v/>
      </c>
      <c r="M28" s="598" t="str">
        <f ca="1">IF(L28="","",IF(L28="Leve",0.2,IF(L28="Menor",0.4,IF(L28="Moderado",0.6,IF(L28="Mayor",0.8,IF(L28="Catastrófico",1,))))))</f>
        <v/>
      </c>
      <c r="N28" s="595"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23">
        <v>1</v>
      </c>
      <c r="P28" s="124"/>
      <c r="Q28" s="125" t="str">
        <f>IF(OR(R28="Preventivo",R28="Detectivo"),"Probabilidad",IF(R28="Correctivo","Impacto",""))</f>
        <v/>
      </c>
      <c r="R28" s="126"/>
      <c r="S28" s="126"/>
      <c r="T28" s="127" t="str">
        <f>IF(AND(R28="Preventivo",S28="Automático"),"50%",IF(AND(R28="Preventivo",S28="Manual"),"40%",IF(AND(R28="Detectivo",S28="Automático"),"40%",IF(AND(R28="Detectivo",S28="Manual"),"30%",IF(AND(R28="Correctivo",S28="Automático"),"35%",IF(AND(R28="Correctivo",S28="Manual"),"25%",""))))))</f>
        <v/>
      </c>
      <c r="U28" s="126"/>
      <c r="V28" s="126"/>
      <c r="W28" s="126"/>
      <c r="X28" s="128" t="str">
        <f>IFERROR(IF(Q28="Probabilidad",(I28-(+I28*T28)),IF(Q28="Impacto",I28,"")),"")</f>
        <v/>
      </c>
      <c r="Y28" s="129" t="str">
        <f>IFERROR(IF(X28="","",IF(X28&lt;=0.2,"Muy Baja",IF(X28&lt;=0.4,"Baja",IF(X28&lt;=0.6,"Media",IF(X28&lt;=0.8,"Alta","Muy Alta"))))),"")</f>
        <v/>
      </c>
      <c r="Z28" s="130" t="str">
        <f>+X28</f>
        <v/>
      </c>
      <c r="AA28" s="129" t="str">
        <f>IFERROR(IF(AB28="","",IF(AB28&lt;=0.2,"Leve",IF(AB28&lt;=0.4,"Menor",IF(AB28&lt;=0.6,"Moderado",IF(AB28&lt;=0.8,"Mayor","Catastrófico"))))),"")</f>
        <v/>
      </c>
      <c r="AB28" s="130" t="str">
        <f>IFERROR(IF(Q28="Impacto",(M28-(+M28*T28)),IF(Q28="Probabilidad",M28,"")),"")</f>
        <v/>
      </c>
      <c r="AC28" s="1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32"/>
      <c r="AE28" s="133"/>
      <c r="AF28" s="134"/>
      <c r="AG28" s="135"/>
      <c r="AH28" s="135"/>
      <c r="AI28" s="133"/>
      <c r="AJ28" s="134"/>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row>
    <row r="29" spans="1:68" ht="151.5" customHeight="1" x14ac:dyDescent="0.3">
      <c r="A29" s="590"/>
      <c r="B29" s="581"/>
      <c r="C29" s="581"/>
      <c r="D29" s="581"/>
      <c r="E29" s="593"/>
      <c r="F29" s="581"/>
      <c r="G29" s="584"/>
      <c r="H29" s="587"/>
      <c r="I29" s="599"/>
      <c r="J29" s="602"/>
      <c r="K29" s="599">
        <f t="shared" ref="K29:K33" ca="1" si="23">IF(NOT(ISERROR(MATCH(J29,_xlfn.ANCHORARRAY(E40),0))),I42&amp;"Por favor no seleccionar los criterios de impacto",J29)</f>
        <v>0</v>
      </c>
      <c r="L29" s="587"/>
      <c r="M29" s="599"/>
      <c r="N29" s="596"/>
      <c r="O29" s="123">
        <v>2</v>
      </c>
      <c r="P29" s="124"/>
      <c r="Q29" s="125" t="str">
        <f>IF(OR(R29="Preventivo",R29="Detectivo"),"Probabilidad",IF(R29="Correctivo","Impacto",""))</f>
        <v/>
      </c>
      <c r="R29" s="126"/>
      <c r="S29" s="126"/>
      <c r="T29" s="127" t="str">
        <f t="shared" ref="T29:T33" si="24">IF(AND(R29="Preventivo",S29="Automático"),"50%",IF(AND(R29="Preventivo",S29="Manual"),"40%",IF(AND(R29="Detectivo",S29="Automático"),"40%",IF(AND(R29="Detectivo",S29="Manual"),"30%",IF(AND(R29="Correctivo",S29="Automático"),"35%",IF(AND(R29="Correctivo",S29="Manual"),"25%",""))))))</f>
        <v/>
      </c>
      <c r="U29" s="126"/>
      <c r="V29" s="126"/>
      <c r="W29" s="126"/>
      <c r="X29" s="128" t="str">
        <f>IFERROR(IF(AND(Q28="Probabilidad",Q29="Probabilidad"),(Z28-(+Z28*T29)),IF(Q29="Probabilidad",(I28-(+I28*T29)),IF(Q29="Impacto",Z28,""))),"")</f>
        <v/>
      </c>
      <c r="Y29" s="129" t="str">
        <f t="shared" si="1"/>
        <v/>
      </c>
      <c r="Z29" s="130" t="str">
        <f t="shared" ref="Z29:Z33" si="25">+X29</f>
        <v/>
      </c>
      <c r="AA29" s="129" t="str">
        <f t="shared" si="3"/>
        <v/>
      </c>
      <c r="AB29" s="130" t="str">
        <f>IFERROR(IF(AND(Q28="Impacto",Q29="Impacto"),(AB22-(+AB22*T29)),IF(Q29="Impacto",($M$28-(+$M$28*T29)),IF(Q29="Probabilidad",AB22,""))),"")</f>
        <v/>
      </c>
      <c r="AC29" s="13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32"/>
      <c r="AE29" s="133"/>
      <c r="AF29" s="134"/>
      <c r="AG29" s="135"/>
      <c r="AH29" s="135"/>
      <c r="AI29" s="133"/>
      <c r="AJ29" s="134"/>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row>
    <row r="30" spans="1:68" ht="151.5" customHeight="1" x14ac:dyDescent="0.3">
      <c r="A30" s="590"/>
      <c r="B30" s="581"/>
      <c r="C30" s="581"/>
      <c r="D30" s="581"/>
      <c r="E30" s="593"/>
      <c r="F30" s="581"/>
      <c r="G30" s="584"/>
      <c r="H30" s="587"/>
      <c r="I30" s="599"/>
      <c r="J30" s="602"/>
      <c r="K30" s="599">
        <f t="shared" ca="1" si="23"/>
        <v>0</v>
      </c>
      <c r="L30" s="587"/>
      <c r="M30" s="599"/>
      <c r="N30" s="596"/>
      <c r="O30" s="123">
        <v>3</v>
      </c>
      <c r="P30" s="136"/>
      <c r="Q30" s="125" t="str">
        <f>IF(OR(R30="Preventivo",R30="Detectivo"),"Probabilidad",IF(R30="Correctivo","Impacto",""))</f>
        <v/>
      </c>
      <c r="R30" s="126"/>
      <c r="S30" s="126"/>
      <c r="T30" s="127" t="str">
        <f t="shared" si="24"/>
        <v/>
      </c>
      <c r="U30" s="126"/>
      <c r="V30" s="126"/>
      <c r="W30" s="126"/>
      <c r="X30" s="128" t="str">
        <f>IFERROR(IF(AND(Q29="Probabilidad",Q30="Probabilidad"),(Z29-(+Z29*T30)),IF(AND(Q29="Impacto",Q30="Probabilidad"),(Z28-(+Z28*T30)),IF(Q30="Impacto",Z29,""))),"")</f>
        <v/>
      </c>
      <c r="Y30" s="129" t="str">
        <f t="shared" si="1"/>
        <v/>
      </c>
      <c r="Z30" s="130" t="str">
        <f t="shared" si="25"/>
        <v/>
      </c>
      <c r="AA30" s="129" t="str">
        <f t="shared" si="3"/>
        <v/>
      </c>
      <c r="AB30" s="130" t="str">
        <f>IFERROR(IF(AND(Q29="Impacto",Q30="Impacto"),(AB29-(+AB29*T30)),IF(AND(Q29="Probabilidad",Q30="Impacto"),(AB28-(+AB28*T30)),IF(Q30="Probabilidad",AB29,""))),"")</f>
        <v/>
      </c>
      <c r="AC30" s="131" t="str">
        <f t="shared" si="26"/>
        <v/>
      </c>
      <c r="AD30" s="132"/>
      <c r="AE30" s="133"/>
      <c r="AF30" s="134"/>
      <c r="AG30" s="135"/>
      <c r="AH30" s="135"/>
      <c r="AI30" s="133"/>
      <c r="AJ30" s="134"/>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row>
    <row r="31" spans="1:68" ht="151.5" customHeight="1" x14ac:dyDescent="0.3">
      <c r="A31" s="590"/>
      <c r="B31" s="581"/>
      <c r="C31" s="581"/>
      <c r="D31" s="581"/>
      <c r="E31" s="593"/>
      <c r="F31" s="581"/>
      <c r="G31" s="584"/>
      <c r="H31" s="587"/>
      <c r="I31" s="599"/>
      <c r="J31" s="602"/>
      <c r="K31" s="599">
        <f t="shared" ca="1" si="23"/>
        <v>0</v>
      </c>
      <c r="L31" s="587"/>
      <c r="M31" s="599"/>
      <c r="N31" s="596"/>
      <c r="O31" s="123">
        <v>4</v>
      </c>
      <c r="P31" s="124"/>
      <c r="Q31" s="125" t="str">
        <f t="shared" ref="Q31:Q33" si="27">IF(OR(R31="Preventivo",R31="Detectivo"),"Probabilidad",IF(R31="Correctivo","Impacto",""))</f>
        <v/>
      </c>
      <c r="R31" s="126"/>
      <c r="S31" s="126"/>
      <c r="T31" s="127" t="str">
        <f t="shared" si="24"/>
        <v/>
      </c>
      <c r="U31" s="126"/>
      <c r="V31" s="126"/>
      <c r="W31" s="126"/>
      <c r="X31" s="128" t="str">
        <f t="shared" ref="X31:X33" si="28">IFERROR(IF(AND(Q30="Probabilidad",Q31="Probabilidad"),(Z30-(+Z30*T31)),IF(AND(Q30="Impacto",Q31="Probabilidad"),(Z29-(+Z29*T31)),IF(Q31="Impacto",Z30,""))),"")</f>
        <v/>
      </c>
      <c r="Y31" s="129" t="str">
        <f t="shared" si="1"/>
        <v/>
      </c>
      <c r="Z31" s="130" t="str">
        <f t="shared" si="25"/>
        <v/>
      </c>
      <c r="AA31" s="129" t="str">
        <f t="shared" si="3"/>
        <v/>
      </c>
      <c r="AB31" s="130" t="str">
        <f t="shared" ref="AB31:AB33" si="29">IFERROR(IF(AND(Q30="Impacto",Q31="Impacto"),(AB30-(+AB30*T31)),IF(AND(Q30="Probabilidad",Q31="Impacto"),(AB29-(+AB29*T31)),IF(Q31="Probabilidad",AB30,""))),"")</f>
        <v/>
      </c>
      <c r="AC31" s="1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32"/>
      <c r="AE31" s="133"/>
      <c r="AF31" s="134"/>
      <c r="AG31" s="135"/>
      <c r="AH31" s="135"/>
      <c r="AI31" s="133"/>
      <c r="AJ31" s="134"/>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row>
    <row r="32" spans="1:68" ht="151.5" customHeight="1" x14ac:dyDescent="0.3">
      <c r="A32" s="590"/>
      <c r="B32" s="581"/>
      <c r="C32" s="581"/>
      <c r="D32" s="581"/>
      <c r="E32" s="593"/>
      <c r="F32" s="581"/>
      <c r="G32" s="584"/>
      <c r="H32" s="587"/>
      <c r="I32" s="599"/>
      <c r="J32" s="602"/>
      <c r="K32" s="599">
        <f t="shared" ca="1" si="23"/>
        <v>0</v>
      </c>
      <c r="L32" s="587"/>
      <c r="M32" s="599"/>
      <c r="N32" s="596"/>
      <c r="O32" s="123">
        <v>5</v>
      </c>
      <c r="P32" s="124"/>
      <c r="Q32" s="125" t="str">
        <f t="shared" si="27"/>
        <v/>
      </c>
      <c r="R32" s="126"/>
      <c r="S32" s="126"/>
      <c r="T32" s="127" t="str">
        <f t="shared" si="24"/>
        <v/>
      </c>
      <c r="U32" s="126"/>
      <c r="V32" s="126"/>
      <c r="W32" s="126"/>
      <c r="X32" s="137" t="str">
        <f t="shared" si="28"/>
        <v/>
      </c>
      <c r="Y32" s="129" t="str">
        <f>IFERROR(IF(X32="","",IF(X32&lt;=0.2,"Muy Baja",IF(X32&lt;=0.4,"Baja",IF(X32&lt;=0.6,"Media",IF(X32&lt;=0.8,"Alta","Muy Alta"))))),"")</f>
        <v/>
      </c>
      <c r="Z32" s="130" t="str">
        <f t="shared" si="25"/>
        <v/>
      </c>
      <c r="AA32" s="129" t="str">
        <f t="shared" si="3"/>
        <v/>
      </c>
      <c r="AB32" s="130" t="str">
        <f t="shared" si="29"/>
        <v/>
      </c>
      <c r="AC32" s="13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32"/>
      <c r="AE32" s="133"/>
      <c r="AF32" s="134"/>
      <c r="AG32" s="135"/>
      <c r="AH32" s="135"/>
      <c r="AI32" s="133"/>
      <c r="AJ32" s="134"/>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row>
    <row r="33" spans="1:68" ht="151.5" customHeight="1" x14ac:dyDescent="0.3">
      <c r="A33" s="591"/>
      <c r="B33" s="582"/>
      <c r="C33" s="582"/>
      <c r="D33" s="582"/>
      <c r="E33" s="594"/>
      <c r="F33" s="582"/>
      <c r="G33" s="585"/>
      <c r="H33" s="588"/>
      <c r="I33" s="600"/>
      <c r="J33" s="603"/>
      <c r="K33" s="600">
        <f t="shared" ca="1" si="23"/>
        <v>0</v>
      </c>
      <c r="L33" s="588"/>
      <c r="M33" s="600"/>
      <c r="N33" s="597"/>
      <c r="O33" s="123">
        <v>6</v>
      </c>
      <c r="P33" s="124"/>
      <c r="Q33" s="125" t="str">
        <f t="shared" si="27"/>
        <v/>
      </c>
      <c r="R33" s="126"/>
      <c r="S33" s="126"/>
      <c r="T33" s="127" t="str">
        <f t="shared" si="24"/>
        <v/>
      </c>
      <c r="U33" s="126"/>
      <c r="V33" s="126"/>
      <c r="W33" s="126"/>
      <c r="X33" s="128" t="str">
        <f t="shared" si="28"/>
        <v/>
      </c>
      <c r="Y33" s="129" t="str">
        <f t="shared" si="1"/>
        <v/>
      </c>
      <c r="Z33" s="130" t="str">
        <f t="shared" si="25"/>
        <v/>
      </c>
      <c r="AA33" s="129" t="str">
        <f t="shared" si="3"/>
        <v/>
      </c>
      <c r="AB33" s="130" t="str">
        <f t="shared" si="29"/>
        <v/>
      </c>
      <c r="AC33" s="131" t="str">
        <f t="shared" si="30"/>
        <v/>
      </c>
      <c r="AD33" s="132"/>
      <c r="AE33" s="133"/>
      <c r="AF33" s="134"/>
      <c r="AG33" s="135"/>
      <c r="AH33" s="135"/>
      <c r="AI33" s="133"/>
      <c r="AJ33" s="134"/>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row>
    <row r="34" spans="1:68" ht="151.5" customHeight="1" x14ac:dyDescent="0.3">
      <c r="A34" s="589">
        <v>5</v>
      </c>
      <c r="B34" s="580"/>
      <c r="C34" s="580"/>
      <c r="D34" s="580"/>
      <c r="E34" s="592"/>
      <c r="F34" s="580"/>
      <c r="G34" s="583"/>
      <c r="H34" s="586" t="str">
        <f>IF(G34&lt;=0,"",IF(G34&lt;=2,"Muy Baja",IF(G34&lt;=24,"Baja",IF(G34&lt;=500,"Media",IF(G34&lt;=5000,"Alta","Muy Alta")))))</f>
        <v/>
      </c>
      <c r="I34" s="598" t="str">
        <f>IF(H34="","",IF(H34="Muy Baja",0.2,IF(H34="Baja",0.4,IF(H34="Media",0.6,IF(H34="Alta",0.8,IF(H34="Muy Alta",1,))))))</f>
        <v/>
      </c>
      <c r="J34" s="601"/>
      <c r="K34" s="598">
        <f ca="1">IF(NOT(ISERROR(MATCH(J34,'Tabla Impacto'!$B$221:$B$223,0))),'Tabla Impacto'!$F$223&amp;"Por favor no seleccionar los criterios de impacto(Afectación Económica o presupuestal y Pérdida Reputacional)",J34)</f>
        <v>0</v>
      </c>
      <c r="L34" s="586" t="str">
        <f ca="1">IF(OR(K34='Tabla Impacto'!$C$11,K34='Tabla Impacto'!$D$11),"Leve",IF(OR(K34='Tabla Impacto'!$C$12,K34='Tabla Impacto'!$D$12),"Menor",IF(OR(K34='Tabla Impacto'!$C$13,K34='Tabla Impacto'!$D$13),"Moderado",IF(OR(K34='Tabla Impacto'!$C$14,K34='Tabla Impacto'!$D$14),"Mayor",IF(OR(K34='Tabla Impacto'!$C$15,K34='Tabla Impacto'!$D$15),"Catastrófico","")))))</f>
        <v/>
      </c>
      <c r="M34" s="598" t="str">
        <f ca="1">IF(L34="","",IF(L34="Leve",0.2,IF(L34="Menor",0.4,IF(L34="Moderado",0.6,IF(L34="Mayor",0.8,IF(L34="Catastrófico",1,))))))</f>
        <v/>
      </c>
      <c r="N34" s="595"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23">
        <v>1</v>
      </c>
      <c r="P34" s="124"/>
      <c r="Q34" s="125" t="str">
        <f>IF(OR(R34="Preventivo",R34="Detectivo"),"Probabilidad",IF(R34="Correctivo","Impacto",""))</f>
        <v/>
      </c>
      <c r="R34" s="126"/>
      <c r="S34" s="126"/>
      <c r="T34" s="127" t="str">
        <f>IF(AND(R34="Preventivo",S34="Automático"),"50%",IF(AND(R34="Preventivo",S34="Manual"),"40%",IF(AND(R34="Detectivo",S34="Automático"),"40%",IF(AND(R34="Detectivo",S34="Manual"),"30%",IF(AND(R34="Correctivo",S34="Automático"),"35%",IF(AND(R34="Correctivo",S34="Manual"),"25%",""))))))</f>
        <v/>
      </c>
      <c r="U34" s="126"/>
      <c r="V34" s="126"/>
      <c r="W34" s="126"/>
      <c r="X34" s="128" t="str">
        <f>IFERROR(IF(Q34="Probabilidad",(I34-(+I34*T34)),IF(Q34="Impacto",I34,"")),"")</f>
        <v/>
      </c>
      <c r="Y34" s="129" t="str">
        <f>IFERROR(IF(X34="","",IF(X34&lt;=0.2,"Muy Baja",IF(X34&lt;=0.4,"Baja",IF(X34&lt;=0.6,"Media",IF(X34&lt;=0.8,"Alta","Muy Alta"))))),"")</f>
        <v/>
      </c>
      <c r="Z34" s="130" t="str">
        <f>+X34</f>
        <v/>
      </c>
      <c r="AA34" s="129" t="str">
        <f>IFERROR(IF(AB34="","",IF(AB34&lt;=0.2,"Leve",IF(AB34&lt;=0.4,"Menor",IF(AB34&lt;=0.6,"Moderado",IF(AB34&lt;=0.8,"Mayor","Catastrófico"))))),"")</f>
        <v/>
      </c>
      <c r="AB34" s="130" t="str">
        <f>IFERROR(IF(Q34="Impacto",(M34-(+M34*T34)),IF(Q34="Probabilidad",M34,"")),"")</f>
        <v/>
      </c>
      <c r="AC34" s="1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32"/>
      <c r="AE34" s="133"/>
      <c r="AF34" s="134"/>
      <c r="AG34" s="135"/>
      <c r="AH34" s="135"/>
      <c r="AI34" s="133"/>
      <c r="AJ34" s="134"/>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row>
    <row r="35" spans="1:68" ht="151.5" customHeight="1" x14ac:dyDescent="0.3">
      <c r="A35" s="590"/>
      <c r="B35" s="581"/>
      <c r="C35" s="581"/>
      <c r="D35" s="581"/>
      <c r="E35" s="593"/>
      <c r="F35" s="581"/>
      <c r="G35" s="584"/>
      <c r="H35" s="587"/>
      <c r="I35" s="599"/>
      <c r="J35" s="602"/>
      <c r="K35" s="599">
        <f t="shared" ref="K35:K39" ca="1" si="31">IF(NOT(ISERROR(MATCH(J35,_xlfn.ANCHORARRAY(E46),0))),I48&amp;"Por favor no seleccionar los criterios de impacto",J35)</f>
        <v>0</v>
      </c>
      <c r="L35" s="587"/>
      <c r="M35" s="599"/>
      <c r="N35" s="596"/>
      <c r="O35" s="123">
        <v>2</v>
      </c>
      <c r="P35" s="124"/>
      <c r="Q35" s="125" t="str">
        <f>IF(OR(R35="Preventivo",R35="Detectivo"),"Probabilidad",IF(R35="Correctivo","Impacto",""))</f>
        <v/>
      </c>
      <c r="R35" s="126"/>
      <c r="S35" s="126"/>
      <c r="T35" s="127" t="str">
        <f t="shared" ref="T35:T39" si="32">IF(AND(R35="Preventivo",S35="Automático"),"50%",IF(AND(R35="Preventivo",S35="Manual"),"40%",IF(AND(R35="Detectivo",S35="Automático"),"40%",IF(AND(R35="Detectivo",S35="Manual"),"30%",IF(AND(R35="Correctivo",S35="Automático"),"35%",IF(AND(R35="Correctivo",S35="Manual"),"25%",""))))))</f>
        <v/>
      </c>
      <c r="U35" s="126"/>
      <c r="V35" s="126"/>
      <c r="W35" s="126"/>
      <c r="X35" s="128" t="str">
        <f>IFERROR(IF(AND(Q34="Probabilidad",Q35="Probabilidad"),(Z34-(+Z34*T35)),IF(Q35="Probabilidad",(I34-(+I34*T35)),IF(Q35="Impacto",Z34,""))),"")</f>
        <v/>
      </c>
      <c r="Y35" s="129" t="str">
        <f t="shared" si="1"/>
        <v/>
      </c>
      <c r="Z35" s="130" t="str">
        <f t="shared" ref="Z35:Z39" si="33">+X35</f>
        <v/>
      </c>
      <c r="AA35" s="129" t="str">
        <f t="shared" si="3"/>
        <v/>
      </c>
      <c r="AB35" s="130" t="str">
        <f>IFERROR(IF(AND(Q34="Impacto",Q35="Impacto"),(AB28-(+AB28*T35)),IF(Q35="Impacto",($M$34-(+$M$34*T35)),IF(Q35="Probabilidad",AB28,""))),"")</f>
        <v/>
      </c>
      <c r="AC35" s="13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32"/>
      <c r="AE35" s="133"/>
      <c r="AF35" s="134"/>
      <c r="AG35" s="135"/>
      <c r="AH35" s="135"/>
      <c r="AI35" s="133"/>
      <c r="AJ35" s="134"/>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ht="151.5" customHeight="1" x14ac:dyDescent="0.3">
      <c r="A36" s="590"/>
      <c r="B36" s="581"/>
      <c r="C36" s="581"/>
      <c r="D36" s="581"/>
      <c r="E36" s="593"/>
      <c r="F36" s="581"/>
      <c r="G36" s="584"/>
      <c r="H36" s="587"/>
      <c r="I36" s="599"/>
      <c r="J36" s="602"/>
      <c r="K36" s="599">
        <f t="shared" ca="1" si="31"/>
        <v>0</v>
      </c>
      <c r="L36" s="587"/>
      <c r="M36" s="599"/>
      <c r="N36" s="596"/>
      <c r="O36" s="123">
        <v>3</v>
      </c>
      <c r="P36" s="136"/>
      <c r="Q36" s="125" t="str">
        <f>IF(OR(R36="Preventivo",R36="Detectivo"),"Probabilidad",IF(R36="Correctivo","Impacto",""))</f>
        <v/>
      </c>
      <c r="R36" s="126"/>
      <c r="S36" s="126"/>
      <c r="T36" s="127" t="str">
        <f t="shared" si="32"/>
        <v/>
      </c>
      <c r="U36" s="126"/>
      <c r="V36" s="126"/>
      <c r="W36" s="126"/>
      <c r="X36" s="128" t="str">
        <f>IFERROR(IF(AND(Q35="Probabilidad",Q36="Probabilidad"),(Z35-(+Z35*T36)),IF(AND(Q35="Impacto",Q36="Probabilidad"),(Z34-(+Z34*T36)),IF(Q36="Impacto",Z35,""))),"")</f>
        <v/>
      </c>
      <c r="Y36" s="129" t="str">
        <f t="shared" si="1"/>
        <v/>
      </c>
      <c r="Z36" s="130" t="str">
        <f t="shared" si="33"/>
        <v/>
      </c>
      <c r="AA36" s="129" t="str">
        <f t="shared" si="3"/>
        <v/>
      </c>
      <c r="AB36" s="130" t="str">
        <f>IFERROR(IF(AND(Q35="Impacto",Q36="Impacto"),(AB35-(+AB35*T36)),IF(AND(Q35="Probabilidad",Q36="Impacto"),(AB34-(+AB34*T36)),IF(Q36="Probabilidad",AB35,""))),"")</f>
        <v/>
      </c>
      <c r="AC36" s="131" t="str">
        <f t="shared" si="34"/>
        <v/>
      </c>
      <c r="AD36" s="132"/>
      <c r="AE36" s="133"/>
      <c r="AF36" s="134"/>
      <c r="AG36" s="135"/>
      <c r="AH36" s="135"/>
      <c r="AI36" s="133"/>
      <c r="AJ36" s="134"/>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row>
    <row r="37" spans="1:68" ht="151.5" customHeight="1" x14ac:dyDescent="0.3">
      <c r="A37" s="590"/>
      <c r="B37" s="581"/>
      <c r="C37" s="581"/>
      <c r="D37" s="581"/>
      <c r="E37" s="593"/>
      <c r="F37" s="581"/>
      <c r="G37" s="584"/>
      <c r="H37" s="587"/>
      <c r="I37" s="599"/>
      <c r="J37" s="602"/>
      <c r="K37" s="599">
        <f t="shared" ca="1" si="31"/>
        <v>0</v>
      </c>
      <c r="L37" s="587"/>
      <c r="M37" s="599"/>
      <c r="N37" s="596"/>
      <c r="O37" s="123">
        <v>4</v>
      </c>
      <c r="P37" s="124"/>
      <c r="Q37" s="125" t="str">
        <f t="shared" ref="Q37:Q39" si="35">IF(OR(R37="Preventivo",R37="Detectivo"),"Probabilidad",IF(R37="Correctivo","Impacto",""))</f>
        <v/>
      </c>
      <c r="R37" s="126"/>
      <c r="S37" s="126"/>
      <c r="T37" s="127" t="str">
        <f t="shared" si="32"/>
        <v/>
      </c>
      <c r="U37" s="126"/>
      <c r="V37" s="126"/>
      <c r="W37" s="126"/>
      <c r="X37" s="128" t="str">
        <f t="shared" ref="X37:X39" si="36">IFERROR(IF(AND(Q36="Probabilidad",Q37="Probabilidad"),(Z36-(+Z36*T37)),IF(AND(Q36="Impacto",Q37="Probabilidad"),(Z35-(+Z35*T37)),IF(Q37="Impacto",Z36,""))),"")</f>
        <v/>
      </c>
      <c r="Y37" s="129" t="str">
        <f t="shared" si="1"/>
        <v/>
      </c>
      <c r="Z37" s="130" t="str">
        <f t="shared" si="33"/>
        <v/>
      </c>
      <c r="AA37" s="129" t="str">
        <f t="shared" si="3"/>
        <v/>
      </c>
      <c r="AB37" s="130" t="str">
        <f t="shared" ref="AB37:AB39" si="37">IFERROR(IF(AND(Q36="Impacto",Q37="Impacto"),(AB36-(+AB36*T37)),IF(AND(Q36="Probabilidad",Q37="Impacto"),(AB35-(+AB35*T37)),IF(Q37="Probabilidad",AB36,""))),"")</f>
        <v/>
      </c>
      <c r="AC37" s="1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32"/>
      <c r="AE37" s="133"/>
      <c r="AF37" s="134"/>
      <c r="AG37" s="135"/>
      <c r="AH37" s="135"/>
      <c r="AI37" s="133"/>
      <c r="AJ37" s="134"/>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row>
    <row r="38" spans="1:68" ht="151.5" customHeight="1" x14ac:dyDescent="0.3">
      <c r="A38" s="590"/>
      <c r="B38" s="581"/>
      <c r="C38" s="581"/>
      <c r="D38" s="581"/>
      <c r="E38" s="593"/>
      <c r="F38" s="581"/>
      <c r="G38" s="584"/>
      <c r="H38" s="587"/>
      <c r="I38" s="599"/>
      <c r="J38" s="602"/>
      <c r="K38" s="599">
        <f t="shared" ca="1" si="31"/>
        <v>0</v>
      </c>
      <c r="L38" s="587"/>
      <c r="M38" s="599"/>
      <c r="N38" s="596"/>
      <c r="O38" s="123">
        <v>5</v>
      </c>
      <c r="P38" s="124"/>
      <c r="Q38" s="125" t="str">
        <f t="shared" si="35"/>
        <v/>
      </c>
      <c r="R38" s="126"/>
      <c r="S38" s="126"/>
      <c r="T38" s="127" t="str">
        <f t="shared" si="32"/>
        <v/>
      </c>
      <c r="U38" s="126"/>
      <c r="V38" s="126"/>
      <c r="W38" s="126"/>
      <c r="X38" s="128" t="str">
        <f t="shared" si="36"/>
        <v/>
      </c>
      <c r="Y38" s="129" t="str">
        <f t="shared" si="1"/>
        <v/>
      </c>
      <c r="Z38" s="130" t="str">
        <f t="shared" si="33"/>
        <v/>
      </c>
      <c r="AA38" s="129" t="str">
        <f t="shared" si="3"/>
        <v/>
      </c>
      <c r="AB38" s="130" t="str">
        <f t="shared" si="37"/>
        <v/>
      </c>
      <c r="AC38" s="13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32"/>
      <c r="AE38" s="133"/>
      <c r="AF38" s="134"/>
      <c r="AG38" s="135"/>
      <c r="AH38" s="135"/>
      <c r="AI38" s="133"/>
      <c r="AJ38" s="134"/>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row>
    <row r="39" spans="1:68" ht="151.5" customHeight="1" x14ac:dyDescent="0.3">
      <c r="A39" s="591"/>
      <c r="B39" s="582"/>
      <c r="C39" s="582"/>
      <c r="D39" s="582"/>
      <c r="E39" s="594"/>
      <c r="F39" s="582"/>
      <c r="G39" s="585"/>
      <c r="H39" s="588"/>
      <c r="I39" s="600"/>
      <c r="J39" s="603"/>
      <c r="K39" s="600">
        <f t="shared" ca="1" si="31"/>
        <v>0</v>
      </c>
      <c r="L39" s="588"/>
      <c r="M39" s="600"/>
      <c r="N39" s="597"/>
      <c r="O39" s="123">
        <v>6</v>
      </c>
      <c r="P39" s="124"/>
      <c r="Q39" s="125" t="str">
        <f t="shared" si="35"/>
        <v/>
      </c>
      <c r="R39" s="126"/>
      <c r="S39" s="126"/>
      <c r="T39" s="127" t="str">
        <f t="shared" si="32"/>
        <v/>
      </c>
      <c r="U39" s="126"/>
      <c r="V39" s="126"/>
      <c r="W39" s="126"/>
      <c r="X39" s="128" t="str">
        <f t="shared" si="36"/>
        <v/>
      </c>
      <c r="Y39" s="129" t="str">
        <f t="shared" si="1"/>
        <v/>
      </c>
      <c r="Z39" s="130" t="str">
        <f t="shared" si="33"/>
        <v/>
      </c>
      <c r="AA39" s="129" t="str">
        <f t="shared" si="3"/>
        <v/>
      </c>
      <c r="AB39" s="130" t="str">
        <f t="shared" si="37"/>
        <v/>
      </c>
      <c r="AC39" s="131" t="str">
        <f t="shared" si="38"/>
        <v/>
      </c>
      <c r="AD39" s="132"/>
      <c r="AE39" s="133"/>
      <c r="AF39" s="134"/>
      <c r="AG39" s="135"/>
      <c r="AH39" s="135"/>
      <c r="AI39" s="133"/>
      <c r="AJ39" s="134"/>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row>
    <row r="40" spans="1:68" ht="151.5" customHeight="1" x14ac:dyDescent="0.3">
      <c r="A40" s="589">
        <v>6</v>
      </c>
      <c r="B40" s="580"/>
      <c r="C40" s="580"/>
      <c r="D40" s="580"/>
      <c r="E40" s="592"/>
      <c r="F40" s="580"/>
      <c r="G40" s="583"/>
      <c r="H40" s="586" t="str">
        <f>IF(G40&lt;=0,"",IF(G40&lt;=2,"Muy Baja",IF(G40&lt;=24,"Baja",IF(G40&lt;=500,"Media",IF(G40&lt;=5000,"Alta","Muy Alta")))))</f>
        <v/>
      </c>
      <c r="I40" s="598" t="str">
        <f>IF(H40="","",IF(H40="Muy Baja",0.2,IF(H40="Baja",0.4,IF(H40="Media",0.6,IF(H40="Alta",0.8,IF(H40="Muy Alta",1,))))))</f>
        <v/>
      </c>
      <c r="J40" s="601"/>
      <c r="K40" s="598">
        <f ca="1">IF(NOT(ISERROR(MATCH(J40,'Tabla Impacto'!$B$221:$B$223,0))),'Tabla Impacto'!$F$223&amp;"Por favor no seleccionar los criterios de impacto(Afectación Económica o presupuestal y Pérdida Reputacional)",J40)</f>
        <v>0</v>
      </c>
      <c r="L40" s="586" t="str">
        <f ca="1">IF(OR(K40='Tabla Impacto'!$C$11,K40='Tabla Impacto'!$D$11),"Leve",IF(OR(K40='Tabla Impacto'!$C$12,K40='Tabla Impacto'!$D$12),"Menor",IF(OR(K40='Tabla Impacto'!$C$13,K40='Tabla Impacto'!$D$13),"Moderado",IF(OR(K40='Tabla Impacto'!$C$14,K40='Tabla Impacto'!$D$14),"Mayor",IF(OR(K40='Tabla Impacto'!$C$15,K40='Tabla Impacto'!$D$15),"Catastrófico","")))))</f>
        <v/>
      </c>
      <c r="M40" s="598" t="str">
        <f ca="1">IF(L40="","",IF(L40="Leve",0.2,IF(L40="Menor",0.4,IF(L40="Moderado",0.6,IF(L40="Mayor",0.8,IF(L40="Catastrófico",1,))))))</f>
        <v/>
      </c>
      <c r="N40" s="595"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23">
        <v>1</v>
      </c>
      <c r="P40" s="124"/>
      <c r="Q40" s="125" t="str">
        <f>IF(OR(R40="Preventivo",R40="Detectivo"),"Probabilidad",IF(R40="Correctivo","Impacto",""))</f>
        <v/>
      </c>
      <c r="R40" s="126"/>
      <c r="S40" s="126"/>
      <c r="T40" s="127" t="str">
        <f>IF(AND(R40="Preventivo",S40="Automático"),"50%",IF(AND(R40="Preventivo",S40="Manual"),"40%",IF(AND(R40="Detectivo",S40="Automático"),"40%",IF(AND(R40="Detectivo",S40="Manual"),"30%",IF(AND(R40="Correctivo",S40="Automático"),"35%",IF(AND(R40="Correctivo",S40="Manual"),"25%",""))))))</f>
        <v/>
      </c>
      <c r="U40" s="126"/>
      <c r="V40" s="126"/>
      <c r="W40" s="126"/>
      <c r="X40" s="128" t="str">
        <f>IFERROR(IF(Q40="Probabilidad",(I40-(+I40*T40)),IF(Q40="Impacto",I40,"")),"")</f>
        <v/>
      </c>
      <c r="Y40" s="129" t="str">
        <f>IFERROR(IF(X40="","",IF(X40&lt;=0.2,"Muy Baja",IF(X40&lt;=0.4,"Baja",IF(X40&lt;=0.6,"Media",IF(X40&lt;=0.8,"Alta","Muy Alta"))))),"")</f>
        <v/>
      </c>
      <c r="Z40" s="130" t="str">
        <f>+X40</f>
        <v/>
      </c>
      <c r="AA40" s="129" t="str">
        <f>IFERROR(IF(AB40="","",IF(AB40&lt;=0.2,"Leve",IF(AB40&lt;=0.4,"Menor",IF(AB40&lt;=0.6,"Moderado",IF(AB40&lt;=0.8,"Mayor","Catastrófico"))))),"")</f>
        <v/>
      </c>
      <c r="AB40" s="130" t="str">
        <f>IFERROR(IF(Q40="Impacto",(M40-(+M40*T40)),IF(Q40="Probabilidad",M40,"")),"")</f>
        <v/>
      </c>
      <c r="AC40" s="1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32"/>
      <c r="AE40" s="133"/>
      <c r="AF40" s="134"/>
      <c r="AG40" s="135"/>
      <c r="AH40" s="135"/>
      <c r="AI40" s="133"/>
      <c r="AJ40" s="134"/>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row>
    <row r="41" spans="1:68" ht="151.5" customHeight="1" x14ac:dyDescent="0.3">
      <c r="A41" s="590"/>
      <c r="B41" s="581"/>
      <c r="C41" s="581"/>
      <c r="D41" s="581"/>
      <c r="E41" s="593"/>
      <c r="F41" s="581"/>
      <c r="G41" s="584"/>
      <c r="H41" s="587"/>
      <c r="I41" s="599"/>
      <c r="J41" s="602"/>
      <c r="K41" s="599">
        <f t="shared" ref="K41:K45" ca="1" si="39">IF(NOT(ISERROR(MATCH(J41,_xlfn.ANCHORARRAY(E52),0))),I54&amp;"Por favor no seleccionar los criterios de impacto",J41)</f>
        <v>0</v>
      </c>
      <c r="L41" s="587"/>
      <c r="M41" s="599"/>
      <c r="N41" s="596"/>
      <c r="O41" s="123">
        <v>2</v>
      </c>
      <c r="P41" s="124"/>
      <c r="Q41" s="125" t="str">
        <f>IF(OR(R41="Preventivo",R41="Detectivo"),"Probabilidad",IF(R41="Correctivo","Impacto",""))</f>
        <v/>
      </c>
      <c r="R41" s="126"/>
      <c r="S41" s="126"/>
      <c r="T41" s="127" t="str">
        <f t="shared" ref="T41:T45" si="40">IF(AND(R41="Preventivo",S41="Automático"),"50%",IF(AND(R41="Preventivo",S41="Manual"),"40%",IF(AND(R41="Detectivo",S41="Automático"),"40%",IF(AND(R41="Detectivo",S41="Manual"),"30%",IF(AND(R41="Correctivo",S41="Automático"),"35%",IF(AND(R41="Correctivo",S41="Manual"),"25%",""))))))</f>
        <v/>
      </c>
      <c r="U41" s="126"/>
      <c r="V41" s="126"/>
      <c r="W41" s="126"/>
      <c r="X41" s="128" t="str">
        <f>IFERROR(IF(AND(Q40="Probabilidad",Q41="Probabilidad"),(Z40-(+Z40*T41)),IF(Q41="Probabilidad",(I40-(+I40*T41)),IF(Q41="Impacto",Z40,""))),"")</f>
        <v/>
      </c>
      <c r="Y41" s="129" t="str">
        <f t="shared" si="1"/>
        <v/>
      </c>
      <c r="Z41" s="130" t="str">
        <f t="shared" ref="Z41:Z45" si="41">+X41</f>
        <v/>
      </c>
      <c r="AA41" s="129" t="str">
        <f t="shared" si="3"/>
        <v/>
      </c>
      <c r="AB41" s="130" t="str">
        <f>IFERROR(IF(AND(Q40="Impacto",Q41="Impacto"),(AB34-(+AB34*T41)),IF(Q41="Impacto",($M$40-(+$M$40*T41)),IF(Q41="Probabilidad",AB34,""))),"")</f>
        <v/>
      </c>
      <c r="AC41" s="13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32"/>
      <c r="AE41" s="133"/>
      <c r="AF41" s="134"/>
      <c r="AG41" s="135"/>
      <c r="AH41" s="135"/>
      <c r="AI41" s="133"/>
      <c r="AJ41" s="134"/>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row>
    <row r="42" spans="1:68" ht="151.5" customHeight="1" x14ac:dyDescent="0.3">
      <c r="A42" s="590"/>
      <c r="B42" s="581"/>
      <c r="C42" s="581"/>
      <c r="D42" s="581"/>
      <c r="E42" s="593"/>
      <c r="F42" s="581"/>
      <c r="G42" s="584"/>
      <c r="H42" s="587"/>
      <c r="I42" s="599"/>
      <c r="J42" s="602"/>
      <c r="K42" s="599">
        <f t="shared" ca="1" si="39"/>
        <v>0</v>
      </c>
      <c r="L42" s="587"/>
      <c r="M42" s="599"/>
      <c r="N42" s="596"/>
      <c r="O42" s="123">
        <v>3</v>
      </c>
      <c r="P42" s="136"/>
      <c r="Q42" s="125" t="str">
        <f>IF(OR(R42="Preventivo",R42="Detectivo"),"Probabilidad",IF(R42="Correctivo","Impacto",""))</f>
        <v/>
      </c>
      <c r="R42" s="126"/>
      <c r="S42" s="126"/>
      <c r="T42" s="127" t="str">
        <f t="shared" si="40"/>
        <v/>
      </c>
      <c r="U42" s="126"/>
      <c r="V42" s="126"/>
      <c r="W42" s="126"/>
      <c r="X42" s="128" t="str">
        <f>IFERROR(IF(AND(Q41="Probabilidad",Q42="Probabilidad"),(Z41-(+Z41*T42)),IF(AND(Q41="Impacto",Q42="Probabilidad"),(Z40-(+Z40*T42)),IF(Q42="Impacto",Z41,""))),"")</f>
        <v/>
      </c>
      <c r="Y42" s="129" t="str">
        <f t="shared" si="1"/>
        <v/>
      </c>
      <c r="Z42" s="130" t="str">
        <f t="shared" si="41"/>
        <v/>
      </c>
      <c r="AA42" s="129" t="str">
        <f t="shared" si="3"/>
        <v/>
      </c>
      <c r="AB42" s="130" t="str">
        <f>IFERROR(IF(AND(Q41="Impacto",Q42="Impacto"),(AB41-(+AB41*T42)),IF(AND(Q41="Probabilidad",Q42="Impacto"),(AB40-(+AB40*T42)),IF(Q42="Probabilidad",AB41,""))),"")</f>
        <v/>
      </c>
      <c r="AC42" s="131" t="str">
        <f t="shared" si="42"/>
        <v/>
      </c>
      <c r="AD42" s="132"/>
      <c r="AE42" s="133"/>
      <c r="AF42" s="134"/>
      <c r="AG42" s="135"/>
      <c r="AH42" s="135"/>
      <c r="AI42" s="133"/>
      <c r="AJ42" s="134"/>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row>
    <row r="43" spans="1:68" ht="151.5" customHeight="1" x14ac:dyDescent="0.3">
      <c r="A43" s="590"/>
      <c r="B43" s="581"/>
      <c r="C43" s="581"/>
      <c r="D43" s="581"/>
      <c r="E43" s="593"/>
      <c r="F43" s="581"/>
      <c r="G43" s="584"/>
      <c r="H43" s="587"/>
      <c r="I43" s="599"/>
      <c r="J43" s="602"/>
      <c r="K43" s="599">
        <f t="shared" ca="1" si="39"/>
        <v>0</v>
      </c>
      <c r="L43" s="587"/>
      <c r="M43" s="599"/>
      <c r="N43" s="596"/>
      <c r="O43" s="123">
        <v>4</v>
      </c>
      <c r="P43" s="124"/>
      <c r="Q43" s="125" t="str">
        <f t="shared" ref="Q43:Q45" si="43">IF(OR(R43="Preventivo",R43="Detectivo"),"Probabilidad",IF(R43="Correctivo","Impacto",""))</f>
        <v/>
      </c>
      <c r="R43" s="126"/>
      <c r="S43" s="126"/>
      <c r="T43" s="127" t="str">
        <f t="shared" si="40"/>
        <v/>
      </c>
      <c r="U43" s="126"/>
      <c r="V43" s="126"/>
      <c r="W43" s="126"/>
      <c r="X43" s="128" t="str">
        <f t="shared" ref="X43:X45" si="44">IFERROR(IF(AND(Q42="Probabilidad",Q43="Probabilidad"),(Z42-(+Z42*T43)),IF(AND(Q42="Impacto",Q43="Probabilidad"),(Z41-(+Z41*T43)),IF(Q43="Impacto",Z42,""))),"")</f>
        <v/>
      </c>
      <c r="Y43" s="129" t="str">
        <f t="shared" si="1"/>
        <v/>
      </c>
      <c r="Z43" s="130" t="str">
        <f t="shared" si="41"/>
        <v/>
      </c>
      <c r="AA43" s="129" t="str">
        <f t="shared" si="3"/>
        <v/>
      </c>
      <c r="AB43" s="130" t="str">
        <f t="shared" ref="AB43:AB45" si="45">IFERROR(IF(AND(Q42="Impacto",Q43="Impacto"),(AB42-(+AB42*T43)),IF(AND(Q42="Probabilidad",Q43="Impacto"),(AB41-(+AB41*T43)),IF(Q43="Probabilidad",AB42,""))),"")</f>
        <v/>
      </c>
      <c r="AC43" s="1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32"/>
      <c r="AE43" s="133"/>
      <c r="AF43" s="134"/>
      <c r="AG43" s="135"/>
      <c r="AH43" s="135"/>
      <c r="AI43" s="133"/>
      <c r="AJ43" s="134"/>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row>
    <row r="44" spans="1:68" ht="151.5" customHeight="1" x14ac:dyDescent="0.3">
      <c r="A44" s="590"/>
      <c r="B44" s="581"/>
      <c r="C44" s="581"/>
      <c r="D44" s="581"/>
      <c r="E44" s="593"/>
      <c r="F44" s="581"/>
      <c r="G44" s="584"/>
      <c r="H44" s="587"/>
      <c r="I44" s="599"/>
      <c r="J44" s="602"/>
      <c r="K44" s="599">
        <f t="shared" ca="1" si="39"/>
        <v>0</v>
      </c>
      <c r="L44" s="587"/>
      <c r="M44" s="599"/>
      <c r="N44" s="596"/>
      <c r="O44" s="123">
        <v>5</v>
      </c>
      <c r="P44" s="124"/>
      <c r="Q44" s="125" t="str">
        <f t="shared" si="43"/>
        <v/>
      </c>
      <c r="R44" s="126"/>
      <c r="S44" s="126"/>
      <c r="T44" s="127" t="str">
        <f t="shared" si="40"/>
        <v/>
      </c>
      <c r="U44" s="126"/>
      <c r="V44" s="126"/>
      <c r="W44" s="126"/>
      <c r="X44" s="128" t="str">
        <f t="shared" si="44"/>
        <v/>
      </c>
      <c r="Y44" s="129" t="str">
        <f t="shared" si="1"/>
        <v/>
      </c>
      <c r="Z44" s="130" t="str">
        <f t="shared" si="41"/>
        <v/>
      </c>
      <c r="AA44" s="129" t="str">
        <f t="shared" si="3"/>
        <v/>
      </c>
      <c r="AB44" s="130" t="str">
        <f t="shared" si="45"/>
        <v/>
      </c>
      <c r="AC44" s="13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32"/>
      <c r="AE44" s="133"/>
      <c r="AF44" s="134"/>
      <c r="AG44" s="135"/>
      <c r="AH44" s="135"/>
      <c r="AI44" s="133"/>
      <c r="AJ44" s="134"/>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row>
    <row r="45" spans="1:68" ht="151.5" customHeight="1" x14ac:dyDescent="0.3">
      <c r="A45" s="591"/>
      <c r="B45" s="582"/>
      <c r="C45" s="582"/>
      <c r="D45" s="582"/>
      <c r="E45" s="594"/>
      <c r="F45" s="582"/>
      <c r="G45" s="585"/>
      <c r="H45" s="588"/>
      <c r="I45" s="600"/>
      <c r="J45" s="603"/>
      <c r="K45" s="600">
        <f t="shared" ca="1" si="39"/>
        <v>0</v>
      </c>
      <c r="L45" s="588"/>
      <c r="M45" s="600"/>
      <c r="N45" s="597"/>
      <c r="O45" s="123">
        <v>6</v>
      </c>
      <c r="P45" s="124"/>
      <c r="Q45" s="125" t="str">
        <f t="shared" si="43"/>
        <v/>
      </c>
      <c r="R45" s="126"/>
      <c r="S45" s="126"/>
      <c r="T45" s="127" t="str">
        <f t="shared" si="40"/>
        <v/>
      </c>
      <c r="U45" s="126"/>
      <c r="V45" s="126"/>
      <c r="W45" s="126"/>
      <c r="X45" s="128" t="str">
        <f t="shared" si="44"/>
        <v/>
      </c>
      <c r="Y45" s="129" t="str">
        <f t="shared" si="1"/>
        <v/>
      </c>
      <c r="Z45" s="130" t="str">
        <f t="shared" si="41"/>
        <v/>
      </c>
      <c r="AA45" s="129" t="str">
        <f>IFERROR(IF(AB45="","",IF(AB45&lt;=0.2,"Leve",IF(AB45&lt;=0.4,"Menor",IF(AB45&lt;=0.6,"Moderado",IF(AB45&lt;=0.8,"Mayor","Catastrófico"))))),"")</f>
        <v/>
      </c>
      <c r="AB45" s="130" t="str">
        <f t="shared" si="45"/>
        <v/>
      </c>
      <c r="AC45" s="1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32"/>
      <c r="AE45" s="133"/>
      <c r="AF45" s="134"/>
      <c r="AG45" s="135"/>
      <c r="AH45" s="135"/>
      <c r="AI45" s="133"/>
      <c r="AJ45" s="134"/>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row>
    <row r="46" spans="1:68" ht="151.5" customHeight="1" x14ac:dyDescent="0.3">
      <c r="A46" s="589">
        <v>7</v>
      </c>
      <c r="B46" s="580"/>
      <c r="C46" s="580"/>
      <c r="D46" s="580"/>
      <c r="E46" s="592"/>
      <c r="F46" s="580"/>
      <c r="G46" s="583"/>
      <c r="H46" s="586" t="str">
        <f>IF(G46&lt;=0,"",IF(G46&lt;=2,"Muy Baja",IF(G46&lt;=24,"Baja",IF(G46&lt;=500,"Media",IF(G46&lt;=5000,"Alta","Muy Alta")))))</f>
        <v/>
      </c>
      <c r="I46" s="598" t="str">
        <f>IF(H46="","",IF(H46="Muy Baja",0.2,IF(H46="Baja",0.4,IF(H46="Media",0.6,IF(H46="Alta",0.8,IF(H46="Muy Alta",1,))))))</f>
        <v/>
      </c>
      <c r="J46" s="601"/>
      <c r="K46" s="598">
        <f ca="1">IF(NOT(ISERROR(MATCH(J46,'Tabla Impacto'!$B$221:$B$223,0))),'Tabla Impacto'!$F$223&amp;"Por favor no seleccionar los criterios de impacto(Afectación Económica o presupuestal y Pérdida Reputacional)",J46)</f>
        <v>0</v>
      </c>
      <c r="L46" s="586" t="str">
        <f ca="1">IF(OR(K46='Tabla Impacto'!$C$11,K46='Tabla Impacto'!$D$11),"Leve",IF(OR(K46='Tabla Impacto'!$C$12,K46='Tabla Impacto'!$D$12),"Menor",IF(OR(K46='Tabla Impacto'!$C$13,K46='Tabla Impacto'!$D$13),"Moderado",IF(OR(K46='Tabla Impacto'!$C$14,K46='Tabla Impacto'!$D$14),"Mayor",IF(OR(K46='Tabla Impacto'!$C$15,K46='Tabla Impacto'!$D$15),"Catastrófico","")))))</f>
        <v/>
      </c>
      <c r="M46" s="598" t="str">
        <f ca="1">IF(L46="","",IF(L46="Leve",0.2,IF(L46="Menor",0.4,IF(L46="Moderado",0.6,IF(L46="Mayor",0.8,IF(L46="Catastrófico",1,))))))</f>
        <v/>
      </c>
      <c r="N46" s="595"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23">
        <v>1</v>
      </c>
      <c r="P46" s="124"/>
      <c r="Q46" s="125" t="str">
        <f>IF(OR(R46="Preventivo",R46="Detectivo"),"Probabilidad",IF(R46="Correctivo","Impacto",""))</f>
        <v/>
      </c>
      <c r="R46" s="126"/>
      <c r="S46" s="126"/>
      <c r="T46" s="127" t="str">
        <f>IF(AND(R46="Preventivo",S46="Automático"),"50%",IF(AND(R46="Preventivo",S46="Manual"),"40%",IF(AND(R46="Detectivo",S46="Automático"),"40%",IF(AND(R46="Detectivo",S46="Manual"),"30%",IF(AND(R46="Correctivo",S46="Automático"),"35%",IF(AND(R46="Correctivo",S46="Manual"),"25%",""))))))</f>
        <v/>
      </c>
      <c r="U46" s="126"/>
      <c r="V46" s="126"/>
      <c r="W46" s="126"/>
      <c r="X46" s="128" t="str">
        <f>IFERROR(IF(Q46="Probabilidad",(I46-(+I46*T46)),IF(Q46="Impacto",I46,"")),"")</f>
        <v/>
      </c>
      <c r="Y46" s="129" t="str">
        <f>IFERROR(IF(X46="","",IF(X46&lt;=0.2,"Muy Baja",IF(X46&lt;=0.4,"Baja",IF(X46&lt;=0.6,"Media",IF(X46&lt;=0.8,"Alta","Muy Alta"))))),"")</f>
        <v/>
      </c>
      <c r="Z46" s="130" t="str">
        <f>+X46</f>
        <v/>
      </c>
      <c r="AA46" s="129" t="str">
        <f>IFERROR(IF(AB46="","",IF(AB46&lt;=0.2,"Leve",IF(AB46&lt;=0.4,"Menor",IF(AB46&lt;=0.6,"Moderado",IF(AB46&lt;=0.8,"Mayor","Catastrófico"))))),"")</f>
        <v/>
      </c>
      <c r="AB46" s="130" t="str">
        <f>IFERROR(IF(Q46="Impacto",(M46-(+M46*T46)),IF(Q46="Probabilidad",M46,"")),"")</f>
        <v/>
      </c>
      <c r="AC46" s="1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32"/>
      <c r="AE46" s="133"/>
      <c r="AF46" s="134"/>
      <c r="AG46" s="135"/>
      <c r="AH46" s="135"/>
      <c r="AI46" s="133"/>
      <c r="AJ46" s="134"/>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row>
    <row r="47" spans="1:68" ht="151.5" customHeight="1" x14ac:dyDescent="0.3">
      <c r="A47" s="590"/>
      <c r="B47" s="581"/>
      <c r="C47" s="581"/>
      <c r="D47" s="581"/>
      <c r="E47" s="593"/>
      <c r="F47" s="581"/>
      <c r="G47" s="584"/>
      <c r="H47" s="587"/>
      <c r="I47" s="599"/>
      <c r="J47" s="602"/>
      <c r="K47" s="599">
        <f t="shared" ref="K47:K51" ca="1" si="47">IF(NOT(ISERROR(MATCH(J47,_xlfn.ANCHORARRAY(E58),0))),I60&amp;"Por favor no seleccionar los criterios de impacto",J47)</f>
        <v>0</v>
      </c>
      <c r="L47" s="587"/>
      <c r="M47" s="599"/>
      <c r="N47" s="596"/>
      <c r="O47" s="123">
        <v>2</v>
      </c>
      <c r="P47" s="124"/>
      <c r="Q47" s="125" t="str">
        <f>IF(OR(R47="Preventivo",R47="Detectivo"),"Probabilidad",IF(R47="Correctivo","Impacto",""))</f>
        <v/>
      </c>
      <c r="R47" s="126"/>
      <c r="S47" s="126"/>
      <c r="T47" s="127" t="str">
        <f t="shared" ref="T47:T51" si="48">IF(AND(R47="Preventivo",S47="Automático"),"50%",IF(AND(R47="Preventivo",S47="Manual"),"40%",IF(AND(R47="Detectivo",S47="Automático"),"40%",IF(AND(R47="Detectivo",S47="Manual"),"30%",IF(AND(R47="Correctivo",S47="Automático"),"35%",IF(AND(R47="Correctivo",S47="Manual"),"25%",""))))))</f>
        <v/>
      </c>
      <c r="U47" s="126"/>
      <c r="V47" s="126"/>
      <c r="W47" s="126"/>
      <c r="X47" s="128" t="str">
        <f>IFERROR(IF(AND(Q46="Probabilidad",Q47="Probabilidad"),(Z46-(+Z46*T47)),IF(Q47="Probabilidad",(I46-(+I46*T47)),IF(Q47="Impacto",Z46,""))),"")</f>
        <v/>
      </c>
      <c r="Y47" s="129" t="str">
        <f t="shared" si="1"/>
        <v/>
      </c>
      <c r="Z47" s="130" t="str">
        <f t="shared" ref="Z47:Z51" si="49">+X47</f>
        <v/>
      </c>
      <c r="AA47" s="129" t="str">
        <f t="shared" si="3"/>
        <v/>
      </c>
      <c r="AB47" s="130" t="str">
        <f>IFERROR(IF(AND(Q46="Impacto",Q47="Impacto"),(AB40-(+AB40*T47)),IF(Q47="Impacto",($M$46-(+$M$46*T47)),IF(Q47="Probabilidad",AB40,""))),"")</f>
        <v/>
      </c>
      <c r="AC47" s="13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32"/>
      <c r="AE47" s="133"/>
      <c r="AF47" s="134"/>
      <c r="AG47" s="135"/>
      <c r="AH47" s="135"/>
      <c r="AI47" s="133"/>
      <c r="AJ47" s="134"/>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row>
    <row r="48" spans="1:68" ht="151.5" customHeight="1" x14ac:dyDescent="0.3">
      <c r="A48" s="590"/>
      <c r="B48" s="581"/>
      <c r="C48" s="581"/>
      <c r="D48" s="581"/>
      <c r="E48" s="593"/>
      <c r="F48" s="581"/>
      <c r="G48" s="584"/>
      <c r="H48" s="587"/>
      <c r="I48" s="599"/>
      <c r="J48" s="602"/>
      <c r="K48" s="599">
        <f t="shared" ca="1" si="47"/>
        <v>0</v>
      </c>
      <c r="L48" s="587"/>
      <c r="M48" s="599"/>
      <c r="N48" s="596"/>
      <c r="O48" s="123">
        <v>3</v>
      </c>
      <c r="P48" s="136"/>
      <c r="Q48" s="125" t="str">
        <f>IF(OR(R48="Preventivo",R48="Detectivo"),"Probabilidad",IF(R48="Correctivo","Impacto",""))</f>
        <v/>
      </c>
      <c r="R48" s="126"/>
      <c r="S48" s="126"/>
      <c r="T48" s="127" t="str">
        <f t="shared" si="48"/>
        <v/>
      </c>
      <c r="U48" s="126"/>
      <c r="V48" s="126"/>
      <c r="W48" s="126"/>
      <c r="X48" s="128" t="str">
        <f>IFERROR(IF(AND(Q47="Probabilidad",Q48="Probabilidad"),(Z47-(+Z47*T48)),IF(AND(Q47="Impacto",Q48="Probabilidad"),(Z46-(+Z46*T48)),IF(Q48="Impacto",Z47,""))),"")</f>
        <v/>
      </c>
      <c r="Y48" s="129" t="str">
        <f t="shared" si="1"/>
        <v/>
      </c>
      <c r="Z48" s="130" t="str">
        <f t="shared" si="49"/>
        <v/>
      </c>
      <c r="AA48" s="129" t="str">
        <f t="shared" si="3"/>
        <v/>
      </c>
      <c r="AB48" s="130" t="str">
        <f>IFERROR(IF(AND(Q47="Impacto",Q48="Impacto"),(AB47-(+AB47*T48)),IF(AND(Q47="Probabilidad",Q48="Impacto"),(AB46-(+AB46*T48)),IF(Q48="Probabilidad",AB47,""))),"")</f>
        <v/>
      </c>
      <c r="AC48" s="131" t="str">
        <f t="shared" si="50"/>
        <v/>
      </c>
      <c r="AD48" s="132"/>
      <c r="AE48" s="133"/>
      <c r="AF48" s="134"/>
      <c r="AG48" s="135"/>
      <c r="AH48" s="135"/>
      <c r="AI48" s="133"/>
      <c r="AJ48" s="134"/>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row>
    <row r="49" spans="1:68" ht="151.5" customHeight="1" x14ac:dyDescent="0.3">
      <c r="A49" s="590"/>
      <c r="B49" s="581"/>
      <c r="C49" s="581"/>
      <c r="D49" s="581"/>
      <c r="E49" s="593"/>
      <c r="F49" s="581"/>
      <c r="G49" s="584"/>
      <c r="H49" s="587"/>
      <c r="I49" s="599"/>
      <c r="J49" s="602"/>
      <c r="K49" s="599">
        <f t="shared" ca="1" si="47"/>
        <v>0</v>
      </c>
      <c r="L49" s="587"/>
      <c r="M49" s="599"/>
      <c r="N49" s="596"/>
      <c r="O49" s="123">
        <v>4</v>
      </c>
      <c r="P49" s="124"/>
      <c r="Q49" s="125" t="str">
        <f t="shared" ref="Q49:Q51" si="51">IF(OR(R49="Preventivo",R49="Detectivo"),"Probabilidad",IF(R49="Correctivo","Impacto",""))</f>
        <v/>
      </c>
      <c r="R49" s="126"/>
      <c r="S49" s="126"/>
      <c r="T49" s="127" t="str">
        <f t="shared" si="48"/>
        <v/>
      </c>
      <c r="U49" s="126"/>
      <c r="V49" s="126"/>
      <c r="W49" s="126"/>
      <c r="X49" s="128" t="str">
        <f t="shared" ref="X49:X51" si="52">IFERROR(IF(AND(Q48="Probabilidad",Q49="Probabilidad"),(Z48-(+Z48*T49)),IF(AND(Q48="Impacto",Q49="Probabilidad"),(Z47-(+Z47*T49)),IF(Q49="Impacto",Z48,""))),"")</f>
        <v/>
      </c>
      <c r="Y49" s="129" t="str">
        <f t="shared" si="1"/>
        <v/>
      </c>
      <c r="Z49" s="130" t="str">
        <f t="shared" si="49"/>
        <v/>
      </c>
      <c r="AA49" s="129" t="str">
        <f t="shared" si="3"/>
        <v/>
      </c>
      <c r="AB49" s="130" t="str">
        <f t="shared" ref="AB49:AB51" si="53">IFERROR(IF(AND(Q48="Impacto",Q49="Impacto"),(AB48-(+AB48*T49)),IF(AND(Q48="Probabilidad",Q49="Impacto"),(AB47-(+AB47*T49)),IF(Q49="Probabilidad",AB48,""))),"")</f>
        <v/>
      </c>
      <c r="AC49" s="1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32"/>
      <c r="AE49" s="133"/>
      <c r="AF49" s="134"/>
      <c r="AG49" s="135"/>
      <c r="AH49" s="135"/>
      <c r="AI49" s="133"/>
      <c r="AJ49" s="134"/>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row>
    <row r="50" spans="1:68" ht="151.5" customHeight="1" x14ac:dyDescent="0.3">
      <c r="A50" s="590"/>
      <c r="B50" s="581"/>
      <c r="C50" s="581"/>
      <c r="D50" s="581"/>
      <c r="E50" s="593"/>
      <c r="F50" s="581"/>
      <c r="G50" s="584"/>
      <c r="H50" s="587"/>
      <c r="I50" s="599"/>
      <c r="J50" s="602"/>
      <c r="K50" s="599">
        <f t="shared" ca="1" si="47"/>
        <v>0</v>
      </c>
      <c r="L50" s="587"/>
      <c r="M50" s="599"/>
      <c r="N50" s="596"/>
      <c r="O50" s="123">
        <v>5</v>
      </c>
      <c r="P50" s="124"/>
      <c r="Q50" s="125" t="str">
        <f t="shared" si="51"/>
        <v/>
      </c>
      <c r="R50" s="126"/>
      <c r="S50" s="126"/>
      <c r="T50" s="127" t="str">
        <f t="shared" si="48"/>
        <v/>
      </c>
      <c r="U50" s="126"/>
      <c r="V50" s="126"/>
      <c r="W50" s="126"/>
      <c r="X50" s="128" t="str">
        <f t="shared" si="52"/>
        <v/>
      </c>
      <c r="Y50" s="129" t="str">
        <f t="shared" si="1"/>
        <v/>
      </c>
      <c r="Z50" s="130" t="str">
        <f t="shared" si="49"/>
        <v/>
      </c>
      <c r="AA50" s="129" t="str">
        <f t="shared" si="3"/>
        <v/>
      </c>
      <c r="AB50" s="130" t="str">
        <f t="shared" si="53"/>
        <v/>
      </c>
      <c r="AC50" s="13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32"/>
      <c r="AE50" s="133"/>
      <c r="AF50" s="134"/>
      <c r="AG50" s="135"/>
      <c r="AH50" s="135"/>
      <c r="AI50" s="133"/>
      <c r="AJ50" s="134"/>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row>
    <row r="51" spans="1:68" ht="151.5" customHeight="1" x14ac:dyDescent="0.3">
      <c r="A51" s="591"/>
      <c r="B51" s="582"/>
      <c r="C51" s="582"/>
      <c r="D51" s="582"/>
      <c r="E51" s="594"/>
      <c r="F51" s="582"/>
      <c r="G51" s="585"/>
      <c r="H51" s="588"/>
      <c r="I51" s="600"/>
      <c r="J51" s="603"/>
      <c r="K51" s="600">
        <f t="shared" ca="1" si="47"/>
        <v>0</v>
      </c>
      <c r="L51" s="588"/>
      <c r="M51" s="600"/>
      <c r="N51" s="597"/>
      <c r="O51" s="123">
        <v>6</v>
      </c>
      <c r="P51" s="124"/>
      <c r="Q51" s="125" t="str">
        <f t="shared" si="51"/>
        <v/>
      </c>
      <c r="R51" s="126"/>
      <c r="S51" s="126"/>
      <c r="T51" s="127" t="str">
        <f t="shared" si="48"/>
        <v/>
      </c>
      <c r="U51" s="126"/>
      <c r="V51" s="126"/>
      <c r="W51" s="126"/>
      <c r="X51" s="128" t="str">
        <f t="shared" si="52"/>
        <v/>
      </c>
      <c r="Y51" s="129" t="str">
        <f t="shared" si="1"/>
        <v/>
      </c>
      <c r="Z51" s="130" t="str">
        <f t="shared" si="49"/>
        <v/>
      </c>
      <c r="AA51" s="129" t="str">
        <f t="shared" si="3"/>
        <v/>
      </c>
      <c r="AB51" s="130" t="str">
        <f t="shared" si="53"/>
        <v/>
      </c>
      <c r="AC51" s="131" t="str">
        <f t="shared" si="54"/>
        <v/>
      </c>
      <c r="AD51" s="132"/>
      <c r="AE51" s="133"/>
      <c r="AF51" s="134"/>
      <c r="AG51" s="135"/>
      <c r="AH51" s="135"/>
      <c r="AI51" s="133"/>
      <c r="AJ51" s="134"/>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row>
    <row r="52" spans="1:68" ht="151.5" customHeight="1" x14ac:dyDescent="0.3">
      <c r="A52" s="589">
        <v>8</v>
      </c>
      <c r="B52" s="580"/>
      <c r="C52" s="580"/>
      <c r="D52" s="580"/>
      <c r="E52" s="592"/>
      <c r="F52" s="580"/>
      <c r="G52" s="583"/>
      <c r="H52" s="586" t="str">
        <f>IF(G52&lt;=0,"",IF(G52&lt;=2,"Muy Baja",IF(G52&lt;=24,"Baja",IF(G52&lt;=500,"Media",IF(G52&lt;=5000,"Alta","Muy Alta")))))</f>
        <v/>
      </c>
      <c r="I52" s="598" t="str">
        <f>IF(H52="","",IF(H52="Muy Baja",0.2,IF(H52="Baja",0.4,IF(H52="Media",0.6,IF(H52="Alta",0.8,IF(H52="Muy Alta",1,))))))</f>
        <v/>
      </c>
      <c r="J52" s="601"/>
      <c r="K52" s="598">
        <f ca="1">IF(NOT(ISERROR(MATCH(J52,'Tabla Impacto'!$B$221:$B$223,0))),'Tabla Impacto'!$F$223&amp;"Por favor no seleccionar los criterios de impacto(Afectación Económica o presupuestal y Pérdida Reputacional)",J52)</f>
        <v>0</v>
      </c>
      <c r="L52" s="586" t="str">
        <f ca="1">IF(OR(K52='Tabla Impacto'!$C$11,K52='Tabla Impacto'!$D$11),"Leve",IF(OR(K52='Tabla Impacto'!$C$12,K52='Tabla Impacto'!$D$12),"Menor",IF(OR(K52='Tabla Impacto'!$C$13,K52='Tabla Impacto'!$D$13),"Moderado",IF(OR(K52='Tabla Impacto'!$C$14,K52='Tabla Impacto'!$D$14),"Mayor",IF(OR(K52='Tabla Impacto'!$C$15,K52='Tabla Impacto'!$D$15),"Catastrófico","")))))</f>
        <v/>
      </c>
      <c r="M52" s="598" t="str">
        <f ca="1">IF(L52="","",IF(L52="Leve",0.2,IF(L52="Menor",0.4,IF(L52="Moderado",0.6,IF(L52="Mayor",0.8,IF(L52="Catastrófico",1,))))))</f>
        <v/>
      </c>
      <c r="N52" s="595"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23">
        <v>1</v>
      </c>
      <c r="P52" s="124"/>
      <c r="Q52" s="125" t="str">
        <f>IF(OR(R52="Preventivo",R52="Detectivo"),"Probabilidad",IF(R52="Correctivo","Impacto",""))</f>
        <v/>
      </c>
      <c r="R52" s="126"/>
      <c r="S52" s="126"/>
      <c r="T52" s="127" t="str">
        <f>IF(AND(R52="Preventivo",S52="Automático"),"50%",IF(AND(R52="Preventivo",S52="Manual"),"40%",IF(AND(R52="Detectivo",S52="Automático"),"40%",IF(AND(R52="Detectivo",S52="Manual"),"30%",IF(AND(R52="Correctivo",S52="Automático"),"35%",IF(AND(R52="Correctivo",S52="Manual"),"25%",""))))))</f>
        <v/>
      </c>
      <c r="U52" s="126"/>
      <c r="V52" s="126"/>
      <c r="W52" s="126"/>
      <c r="X52" s="128" t="str">
        <f>IFERROR(IF(Q52="Probabilidad",(I52-(+I52*T52)),IF(Q52="Impacto",I52,"")),"")</f>
        <v/>
      </c>
      <c r="Y52" s="129" t="str">
        <f>IFERROR(IF(X52="","",IF(X52&lt;=0.2,"Muy Baja",IF(X52&lt;=0.4,"Baja",IF(X52&lt;=0.6,"Media",IF(X52&lt;=0.8,"Alta","Muy Alta"))))),"")</f>
        <v/>
      </c>
      <c r="Z52" s="130" t="str">
        <f>+X52</f>
        <v/>
      </c>
      <c r="AA52" s="129" t="str">
        <f>IFERROR(IF(AB52="","",IF(AB52&lt;=0.2,"Leve",IF(AB52&lt;=0.4,"Menor",IF(AB52&lt;=0.6,"Moderado",IF(AB52&lt;=0.8,"Mayor","Catastrófico"))))),"")</f>
        <v/>
      </c>
      <c r="AB52" s="130" t="str">
        <f>IFERROR(IF(Q52="Impacto",(M52-(+M52*T52)),IF(Q52="Probabilidad",M52,"")),"")</f>
        <v/>
      </c>
      <c r="AC52" s="1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32"/>
      <c r="AE52" s="133"/>
      <c r="AF52" s="134"/>
      <c r="AG52" s="135"/>
      <c r="AH52" s="135"/>
      <c r="AI52" s="133"/>
      <c r="AJ52" s="134"/>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row>
    <row r="53" spans="1:68" ht="151.5" customHeight="1" x14ac:dyDescent="0.3">
      <c r="A53" s="590"/>
      <c r="B53" s="581"/>
      <c r="C53" s="581"/>
      <c r="D53" s="581"/>
      <c r="E53" s="593"/>
      <c r="F53" s="581"/>
      <c r="G53" s="584"/>
      <c r="H53" s="587"/>
      <c r="I53" s="599"/>
      <c r="J53" s="602"/>
      <c r="K53" s="599">
        <f ca="1">IF(NOT(ISERROR(MATCH(J53,_xlfn.ANCHORARRAY(E64),0))),I66&amp;"Por favor no seleccionar los criterios de impacto",J53)</f>
        <v>0</v>
      </c>
      <c r="L53" s="587"/>
      <c r="M53" s="599"/>
      <c r="N53" s="596"/>
      <c r="O53" s="123">
        <v>2</v>
      </c>
      <c r="P53" s="124"/>
      <c r="Q53" s="125" t="str">
        <f>IF(OR(R53="Preventivo",R53="Detectivo"),"Probabilidad",IF(R53="Correctivo","Impacto",""))</f>
        <v/>
      </c>
      <c r="R53" s="126"/>
      <c r="S53" s="126"/>
      <c r="T53" s="127" t="str">
        <f t="shared" ref="T53:T57" si="55">IF(AND(R53="Preventivo",S53="Automático"),"50%",IF(AND(R53="Preventivo",S53="Manual"),"40%",IF(AND(R53="Detectivo",S53="Automático"),"40%",IF(AND(R53="Detectivo",S53="Manual"),"30%",IF(AND(R53="Correctivo",S53="Automático"),"35%",IF(AND(R53="Correctivo",S53="Manual"),"25%",""))))))</f>
        <v/>
      </c>
      <c r="U53" s="126"/>
      <c r="V53" s="126"/>
      <c r="W53" s="126"/>
      <c r="X53" s="128" t="str">
        <f>IFERROR(IF(AND(Q52="Probabilidad",Q53="Probabilidad"),(Z52-(+Z52*T53)),IF(Q53="Probabilidad",(I52-(+I52*T53)),IF(Q53="Impacto",Z52,""))),"")</f>
        <v/>
      </c>
      <c r="Y53" s="129" t="str">
        <f t="shared" si="1"/>
        <v/>
      </c>
      <c r="Z53" s="130" t="str">
        <f t="shared" ref="Z53:Z57" si="56">+X53</f>
        <v/>
      </c>
      <c r="AA53" s="129" t="str">
        <f t="shared" si="3"/>
        <v/>
      </c>
      <c r="AB53" s="130" t="str">
        <f>IFERROR(IF(AND(Q52="Impacto",Q53="Impacto"),(AB46-(+AB46*T53)),IF(Q53="Impacto",($M$52-(+$M$52*T53)),IF(Q53="Probabilidad",AB46,""))),"")</f>
        <v/>
      </c>
      <c r="AC53" s="13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32"/>
      <c r="AE53" s="133"/>
      <c r="AF53" s="134"/>
      <c r="AG53" s="135"/>
      <c r="AH53" s="135"/>
      <c r="AI53" s="133"/>
      <c r="AJ53" s="134"/>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row>
    <row r="54" spans="1:68" ht="151.5" customHeight="1" x14ac:dyDescent="0.3">
      <c r="A54" s="590"/>
      <c r="B54" s="581"/>
      <c r="C54" s="581"/>
      <c r="D54" s="581"/>
      <c r="E54" s="593"/>
      <c r="F54" s="581"/>
      <c r="G54" s="584"/>
      <c r="H54" s="587"/>
      <c r="I54" s="599"/>
      <c r="J54" s="602"/>
      <c r="K54" s="599">
        <f ca="1">IF(NOT(ISERROR(MATCH(J54,_xlfn.ANCHORARRAY(E65),0))),I67&amp;"Por favor no seleccionar los criterios de impacto",J54)</f>
        <v>0</v>
      </c>
      <c r="L54" s="587"/>
      <c r="M54" s="599"/>
      <c r="N54" s="596"/>
      <c r="O54" s="123">
        <v>3</v>
      </c>
      <c r="P54" s="136"/>
      <c r="Q54" s="125" t="str">
        <f>IF(OR(R54="Preventivo",R54="Detectivo"),"Probabilidad",IF(R54="Correctivo","Impacto",""))</f>
        <v/>
      </c>
      <c r="R54" s="126"/>
      <c r="S54" s="126"/>
      <c r="T54" s="127" t="str">
        <f t="shared" si="55"/>
        <v/>
      </c>
      <c r="U54" s="126"/>
      <c r="V54" s="126"/>
      <c r="W54" s="126"/>
      <c r="X54" s="128" t="str">
        <f>IFERROR(IF(AND(Q53="Probabilidad",Q54="Probabilidad"),(Z53-(+Z53*T54)),IF(AND(Q53="Impacto",Q54="Probabilidad"),(Z52-(+Z52*T54)),IF(Q54="Impacto",Z53,""))),"")</f>
        <v/>
      </c>
      <c r="Y54" s="129" t="str">
        <f t="shared" si="1"/>
        <v/>
      </c>
      <c r="Z54" s="130" t="str">
        <f t="shared" si="56"/>
        <v/>
      </c>
      <c r="AA54" s="129" t="str">
        <f t="shared" si="3"/>
        <v/>
      </c>
      <c r="AB54" s="130" t="str">
        <f>IFERROR(IF(AND(Q53="Impacto",Q54="Impacto"),(AB53-(+AB53*T54)),IF(AND(Q53="Probabilidad",Q54="Impacto"),(AB52-(+AB52*T54)),IF(Q54="Probabilidad",AB53,""))),"")</f>
        <v/>
      </c>
      <c r="AC54" s="131" t="str">
        <f t="shared" si="57"/>
        <v/>
      </c>
      <c r="AD54" s="132"/>
      <c r="AE54" s="133"/>
      <c r="AF54" s="134"/>
      <c r="AG54" s="135"/>
      <c r="AH54" s="135"/>
      <c r="AI54" s="133"/>
      <c r="AJ54" s="134"/>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row>
    <row r="55" spans="1:68" ht="151.5" customHeight="1" x14ac:dyDescent="0.3">
      <c r="A55" s="590"/>
      <c r="B55" s="581"/>
      <c r="C55" s="581"/>
      <c r="D55" s="581"/>
      <c r="E55" s="593"/>
      <c r="F55" s="581"/>
      <c r="G55" s="584"/>
      <c r="H55" s="587"/>
      <c r="I55" s="599"/>
      <c r="J55" s="602"/>
      <c r="K55" s="599">
        <f ca="1">IF(NOT(ISERROR(MATCH(J55,_xlfn.ANCHORARRAY(E66),0))),I68&amp;"Por favor no seleccionar los criterios de impacto",J55)</f>
        <v>0</v>
      </c>
      <c r="L55" s="587"/>
      <c r="M55" s="599"/>
      <c r="N55" s="596"/>
      <c r="O55" s="123">
        <v>4</v>
      </c>
      <c r="P55" s="124"/>
      <c r="Q55" s="125" t="str">
        <f t="shared" ref="Q55:Q57" si="58">IF(OR(R55="Preventivo",R55="Detectivo"),"Probabilidad",IF(R55="Correctivo","Impacto",""))</f>
        <v/>
      </c>
      <c r="R55" s="126"/>
      <c r="S55" s="126"/>
      <c r="T55" s="127" t="str">
        <f t="shared" si="55"/>
        <v/>
      </c>
      <c r="U55" s="126"/>
      <c r="V55" s="126"/>
      <c r="W55" s="126"/>
      <c r="X55" s="128" t="str">
        <f t="shared" ref="X55:X57" si="59">IFERROR(IF(AND(Q54="Probabilidad",Q55="Probabilidad"),(Z54-(+Z54*T55)),IF(AND(Q54="Impacto",Q55="Probabilidad"),(Z53-(+Z53*T55)),IF(Q55="Impacto",Z54,""))),"")</f>
        <v/>
      </c>
      <c r="Y55" s="129" t="str">
        <f t="shared" si="1"/>
        <v/>
      </c>
      <c r="Z55" s="130" t="str">
        <f t="shared" si="56"/>
        <v/>
      </c>
      <c r="AA55" s="129" t="str">
        <f t="shared" si="3"/>
        <v/>
      </c>
      <c r="AB55" s="130" t="str">
        <f t="shared" ref="AB55:AB57" si="60">IFERROR(IF(AND(Q54="Impacto",Q55="Impacto"),(AB54-(+AB54*T55)),IF(AND(Q54="Probabilidad",Q55="Impacto"),(AB53-(+AB53*T55)),IF(Q55="Probabilidad",AB54,""))),"")</f>
        <v/>
      </c>
      <c r="AC55" s="1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32"/>
      <c r="AE55" s="133"/>
      <c r="AF55" s="134"/>
      <c r="AG55" s="135"/>
      <c r="AH55" s="135"/>
      <c r="AI55" s="133"/>
      <c r="AJ55" s="134"/>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row>
    <row r="56" spans="1:68" ht="151.5" customHeight="1" x14ac:dyDescent="0.3">
      <c r="A56" s="590"/>
      <c r="B56" s="581"/>
      <c r="C56" s="581"/>
      <c r="D56" s="581"/>
      <c r="E56" s="593"/>
      <c r="F56" s="581"/>
      <c r="G56" s="584"/>
      <c r="H56" s="587"/>
      <c r="I56" s="599"/>
      <c r="J56" s="602"/>
      <c r="K56" s="599">
        <f ca="1">IF(NOT(ISERROR(MATCH(J56,_xlfn.ANCHORARRAY(E67),0))),I69&amp;"Por favor no seleccionar los criterios de impacto",J56)</f>
        <v>0</v>
      </c>
      <c r="L56" s="587"/>
      <c r="M56" s="599"/>
      <c r="N56" s="596"/>
      <c r="O56" s="123">
        <v>5</v>
      </c>
      <c r="P56" s="124"/>
      <c r="Q56" s="125" t="str">
        <f t="shared" si="58"/>
        <v/>
      </c>
      <c r="R56" s="126"/>
      <c r="S56" s="126"/>
      <c r="T56" s="127" t="str">
        <f t="shared" si="55"/>
        <v/>
      </c>
      <c r="U56" s="126"/>
      <c r="V56" s="126"/>
      <c r="W56" s="126"/>
      <c r="X56" s="128" t="str">
        <f t="shared" si="59"/>
        <v/>
      </c>
      <c r="Y56" s="129" t="str">
        <f t="shared" si="1"/>
        <v/>
      </c>
      <c r="Z56" s="130" t="str">
        <f t="shared" si="56"/>
        <v/>
      </c>
      <c r="AA56" s="129" t="str">
        <f t="shared" si="3"/>
        <v/>
      </c>
      <c r="AB56" s="130" t="str">
        <f t="shared" si="60"/>
        <v/>
      </c>
      <c r="AC56" s="13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32"/>
      <c r="AE56" s="133"/>
      <c r="AF56" s="134"/>
      <c r="AG56" s="135"/>
      <c r="AH56" s="135"/>
      <c r="AI56" s="133"/>
      <c r="AJ56" s="134"/>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row>
    <row r="57" spans="1:68" ht="151.5" customHeight="1" x14ac:dyDescent="0.3">
      <c r="A57" s="591"/>
      <c r="B57" s="582"/>
      <c r="C57" s="582"/>
      <c r="D57" s="582"/>
      <c r="E57" s="594"/>
      <c r="F57" s="582"/>
      <c r="G57" s="585"/>
      <c r="H57" s="588"/>
      <c r="I57" s="600"/>
      <c r="J57" s="603"/>
      <c r="K57" s="600">
        <f ca="1">IF(NOT(ISERROR(MATCH(J57,_xlfn.ANCHORARRAY(E68),0))),I70&amp;"Por favor no seleccionar los criterios de impacto",J57)</f>
        <v>0</v>
      </c>
      <c r="L57" s="588"/>
      <c r="M57" s="600"/>
      <c r="N57" s="597"/>
      <c r="O57" s="123">
        <v>6</v>
      </c>
      <c r="P57" s="124"/>
      <c r="Q57" s="125" t="str">
        <f t="shared" si="58"/>
        <v/>
      </c>
      <c r="R57" s="126"/>
      <c r="S57" s="126"/>
      <c r="T57" s="127" t="str">
        <f t="shared" si="55"/>
        <v/>
      </c>
      <c r="U57" s="126"/>
      <c r="V57" s="126"/>
      <c r="W57" s="126"/>
      <c r="X57" s="128" t="str">
        <f t="shared" si="59"/>
        <v/>
      </c>
      <c r="Y57" s="129" t="str">
        <f t="shared" si="1"/>
        <v/>
      </c>
      <c r="Z57" s="130" t="str">
        <f t="shared" si="56"/>
        <v/>
      </c>
      <c r="AA57" s="129" t="str">
        <f t="shared" si="3"/>
        <v/>
      </c>
      <c r="AB57" s="130" t="str">
        <f t="shared" si="60"/>
        <v/>
      </c>
      <c r="AC57" s="131" t="str">
        <f t="shared" si="61"/>
        <v/>
      </c>
      <c r="AD57" s="132"/>
      <c r="AE57" s="133"/>
      <c r="AF57" s="134"/>
      <c r="AG57" s="135"/>
      <c r="AH57" s="135"/>
      <c r="AI57" s="133"/>
      <c r="AJ57" s="134"/>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row>
    <row r="58" spans="1:68" ht="151.5" customHeight="1" x14ac:dyDescent="0.3">
      <c r="A58" s="589">
        <v>9</v>
      </c>
      <c r="B58" s="580"/>
      <c r="C58" s="580"/>
      <c r="D58" s="580"/>
      <c r="E58" s="592"/>
      <c r="F58" s="580"/>
      <c r="G58" s="583"/>
      <c r="H58" s="586" t="str">
        <f>IF(G58&lt;=0,"",IF(G58&lt;=2,"Muy Baja",IF(G58&lt;=24,"Baja",IF(G58&lt;=500,"Media",IF(G58&lt;=5000,"Alta","Muy Alta")))))</f>
        <v/>
      </c>
      <c r="I58" s="598" t="str">
        <f>IF(H58="","",IF(H58="Muy Baja",0.2,IF(H58="Baja",0.4,IF(H58="Media",0.6,IF(H58="Alta",0.8,IF(H58="Muy Alta",1,))))))</f>
        <v/>
      </c>
      <c r="J58" s="601"/>
      <c r="K58" s="598">
        <f ca="1">IF(NOT(ISERROR(MATCH(J58,'Tabla Impacto'!$B$221:$B$223,0))),'Tabla Impacto'!$F$223&amp;"Por favor no seleccionar los criterios de impacto(Afectación Económica o presupuestal y Pérdida Reputacional)",J58)</f>
        <v>0</v>
      </c>
      <c r="L58" s="586" t="str">
        <f ca="1">IF(OR(K58='Tabla Impacto'!$C$11,K58='Tabla Impacto'!$D$11),"Leve",IF(OR(K58='Tabla Impacto'!$C$12,K58='Tabla Impacto'!$D$12),"Menor",IF(OR(K58='Tabla Impacto'!$C$13,K58='Tabla Impacto'!$D$13),"Moderado",IF(OR(K58='Tabla Impacto'!$C$14,K58='Tabla Impacto'!$D$14),"Mayor",IF(OR(K58='Tabla Impacto'!$C$15,K58='Tabla Impacto'!$D$15),"Catastrófico","")))))</f>
        <v/>
      </c>
      <c r="M58" s="598" t="str">
        <f ca="1">IF(L58="","",IF(L58="Leve",0.2,IF(L58="Menor",0.4,IF(L58="Moderado",0.6,IF(L58="Mayor",0.8,IF(L58="Catastrófico",1,))))))</f>
        <v/>
      </c>
      <c r="N58" s="595"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23">
        <v>1</v>
      </c>
      <c r="P58" s="124"/>
      <c r="Q58" s="125" t="str">
        <f>IF(OR(R58="Preventivo",R58="Detectivo"),"Probabilidad",IF(R58="Correctivo","Impacto",""))</f>
        <v/>
      </c>
      <c r="R58" s="126"/>
      <c r="S58" s="126"/>
      <c r="T58" s="127" t="str">
        <f>IF(AND(R58="Preventivo",S58="Automático"),"50%",IF(AND(R58="Preventivo",S58="Manual"),"40%",IF(AND(R58="Detectivo",S58="Automático"),"40%",IF(AND(R58="Detectivo",S58="Manual"),"30%",IF(AND(R58="Correctivo",S58="Automático"),"35%",IF(AND(R58="Correctivo",S58="Manual"),"25%",""))))))</f>
        <v/>
      </c>
      <c r="U58" s="126"/>
      <c r="V58" s="126"/>
      <c r="W58" s="126"/>
      <c r="X58" s="128" t="str">
        <f>IFERROR(IF(Q58="Probabilidad",(I58-(+I58*T58)),IF(Q58="Impacto",I58,"")),"")</f>
        <v/>
      </c>
      <c r="Y58" s="129" t="str">
        <f>IFERROR(IF(X58="","",IF(X58&lt;=0.2,"Muy Baja",IF(X58&lt;=0.4,"Baja",IF(X58&lt;=0.6,"Media",IF(X58&lt;=0.8,"Alta","Muy Alta"))))),"")</f>
        <v/>
      </c>
      <c r="Z58" s="130" t="str">
        <f>+X58</f>
        <v/>
      </c>
      <c r="AA58" s="129" t="str">
        <f>IFERROR(IF(AB58="","",IF(AB58&lt;=0.2,"Leve",IF(AB58&lt;=0.4,"Menor",IF(AB58&lt;=0.6,"Moderado",IF(AB58&lt;=0.8,"Mayor","Catastrófico"))))),"")</f>
        <v/>
      </c>
      <c r="AB58" s="130" t="str">
        <f>IFERROR(IF(Q58="Impacto",(M58-(+M58*T58)),IF(Q58="Probabilidad",M58,"")),"")</f>
        <v/>
      </c>
      <c r="AC58" s="1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32"/>
      <c r="AE58" s="133"/>
      <c r="AF58" s="134"/>
      <c r="AG58" s="135"/>
      <c r="AH58" s="135"/>
      <c r="AI58" s="133"/>
      <c r="AJ58" s="134"/>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row>
    <row r="59" spans="1:68" ht="151.5" customHeight="1" x14ac:dyDescent="0.3">
      <c r="A59" s="590"/>
      <c r="B59" s="581"/>
      <c r="C59" s="581"/>
      <c r="D59" s="581"/>
      <c r="E59" s="593"/>
      <c r="F59" s="581"/>
      <c r="G59" s="584"/>
      <c r="H59" s="587"/>
      <c r="I59" s="599"/>
      <c r="J59" s="602"/>
      <c r="K59" s="599">
        <f ca="1">IF(NOT(ISERROR(MATCH(J59,_xlfn.ANCHORARRAY(E70),0))),I72&amp;"Por favor no seleccionar los criterios de impacto",J59)</f>
        <v>0</v>
      </c>
      <c r="L59" s="587"/>
      <c r="M59" s="599"/>
      <c r="N59" s="596"/>
      <c r="O59" s="123">
        <v>2</v>
      </c>
      <c r="P59" s="124"/>
      <c r="Q59" s="125" t="str">
        <f>IF(OR(R59="Preventivo",R59="Detectivo"),"Probabilidad",IF(R59="Correctivo","Impacto",""))</f>
        <v/>
      </c>
      <c r="R59" s="126"/>
      <c r="S59" s="126"/>
      <c r="T59" s="127" t="str">
        <f t="shared" ref="T59:T63" si="62">IF(AND(R59="Preventivo",S59="Automático"),"50%",IF(AND(R59="Preventivo",S59="Manual"),"40%",IF(AND(R59="Detectivo",S59="Automático"),"40%",IF(AND(R59="Detectivo",S59="Manual"),"30%",IF(AND(R59="Correctivo",S59="Automático"),"35%",IF(AND(R59="Correctivo",S59="Manual"),"25%",""))))))</f>
        <v/>
      </c>
      <c r="U59" s="126"/>
      <c r="V59" s="126"/>
      <c r="W59" s="126"/>
      <c r="X59" s="128" t="str">
        <f>IFERROR(IF(AND(Q58="Probabilidad",Q59="Probabilidad"),(Z58-(+Z58*T59)),IF(Q59="Probabilidad",(I58-(+I58*T59)),IF(Q59="Impacto",Z58,""))),"")</f>
        <v/>
      </c>
      <c r="Y59" s="129" t="str">
        <f t="shared" si="1"/>
        <v/>
      </c>
      <c r="Z59" s="130" t="str">
        <f t="shared" ref="Z59:Z63" si="63">+X59</f>
        <v/>
      </c>
      <c r="AA59" s="129" t="str">
        <f t="shared" si="3"/>
        <v/>
      </c>
      <c r="AB59" s="130" t="str">
        <f>IFERROR(IF(AND(Q58="Impacto",Q59="Impacto"),(AB52-(+AB52*T59)),IF(Q59="Impacto",($M$58-(+$M$58*T59)),IF(Q59="Probabilidad",AB52,""))),"")</f>
        <v/>
      </c>
      <c r="AC59" s="13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32"/>
      <c r="AE59" s="133"/>
      <c r="AF59" s="134"/>
      <c r="AG59" s="135"/>
      <c r="AH59" s="135"/>
      <c r="AI59" s="133"/>
      <c r="AJ59" s="134"/>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row>
    <row r="60" spans="1:68" ht="151.5" customHeight="1" x14ac:dyDescent="0.3">
      <c r="A60" s="590"/>
      <c r="B60" s="581"/>
      <c r="C60" s="581"/>
      <c r="D60" s="581"/>
      <c r="E60" s="593"/>
      <c r="F60" s="581"/>
      <c r="G60" s="584"/>
      <c r="H60" s="587"/>
      <c r="I60" s="599"/>
      <c r="J60" s="602"/>
      <c r="K60" s="599">
        <f ca="1">IF(NOT(ISERROR(MATCH(J60,_xlfn.ANCHORARRAY(E71),0))),I73&amp;"Por favor no seleccionar los criterios de impacto",J60)</f>
        <v>0</v>
      </c>
      <c r="L60" s="587"/>
      <c r="M60" s="599"/>
      <c r="N60" s="596"/>
      <c r="O60" s="123">
        <v>3</v>
      </c>
      <c r="P60" s="136"/>
      <c r="Q60" s="125" t="str">
        <f>IF(OR(R60="Preventivo",R60="Detectivo"),"Probabilidad",IF(R60="Correctivo","Impacto",""))</f>
        <v/>
      </c>
      <c r="R60" s="126"/>
      <c r="S60" s="126"/>
      <c r="T60" s="127" t="str">
        <f t="shared" si="62"/>
        <v/>
      </c>
      <c r="U60" s="126"/>
      <c r="V60" s="126"/>
      <c r="W60" s="126"/>
      <c r="X60" s="128" t="str">
        <f>IFERROR(IF(AND(Q59="Probabilidad",Q60="Probabilidad"),(Z59-(+Z59*T60)),IF(AND(Q59="Impacto",Q60="Probabilidad"),(Z58-(+Z58*T60)),IF(Q60="Impacto",Z59,""))),"")</f>
        <v/>
      </c>
      <c r="Y60" s="129" t="str">
        <f t="shared" si="1"/>
        <v/>
      </c>
      <c r="Z60" s="130" t="str">
        <f t="shared" si="63"/>
        <v/>
      </c>
      <c r="AA60" s="129" t="str">
        <f t="shared" si="3"/>
        <v/>
      </c>
      <c r="AB60" s="130" t="str">
        <f>IFERROR(IF(AND(Q59="Impacto",Q60="Impacto"),(AB59-(+AB59*T60)),IF(AND(Q59="Probabilidad",Q60="Impacto"),(AB58-(+AB58*T60)),IF(Q60="Probabilidad",AB59,""))),"")</f>
        <v/>
      </c>
      <c r="AC60" s="131" t="str">
        <f t="shared" si="64"/>
        <v/>
      </c>
      <c r="AD60" s="132"/>
      <c r="AE60" s="133"/>
      <c r="AF60" s="134"/>
      <c r="AG60" s="135"/>
      <c r="AH60" s="135"/>
      <c r="AI60" s="133"/>
      <c r="AJ60" s="134"/>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row>
    <row r="61" spans="1:68" ht="151.5" customHeight="1" x14ac:dyDescent="0.3">
      <c r="A61" s="590"/>
      <c r="B61" s="581"/>
      <c r="C61" s="581"/>
      <c r="D61" s="581"/>
      <c r="E61" s="593"/>
      <c r="F61" s="581"/>
      <c r="G61" s="584"/>
      <c r="H61" s="587"/>
      <c r="I61" s="599"/>
      <c r="J61" s="602"/>
      <c r="K61" s="599">
        <f ca="1">IF(NOT(ISERROR(MATCH(J61,_xlfn.ANCHORARRAY(E72),0))),I74&amp;"Por favor no seleccionar los criterios de impacto",J61)</f>
        <v>0</v>
      </c>
      <c r="L61" s="587"/>
      <c r="M61" s="599"/>
      <c r="N61" s="596"/>
      <c r="O61" s="123">
        <v>4</v>
      </c>
      <c r="P61" s="124"/>
      <c r="Q61" s="125" t="str">
        <f t="shared" ref="Q61:Q63" si="65">IF(OR(R61="Preventivo",R61="Detectivo"),"Probabilidad",IF(R61="Correctivo","Impacto",""))</f>
        <v/>
      </c>
      <c r="R61" s="126"/>
      <c r="S61" s="126"/>
      <c r="T61" s="127" t="str">
        <f t="shared" si="62"/>
        <v/>
      </c>
      <c r="U61" s="126"/>
      <c r="V61" s="126"/>
      <c r="W61" s="126"/>
      <c r="X61" s="128" t="str">
        <f t="shared" ref="X61:X63" si="66">IFERROR(IF(AND(Q60="Probabilidad",Q61="Probabilidad"),(Z60-(+Z60*T61)),IF(AND(Q60="Impacto",Q61="Probabilidad"),(Z59-(+Z59*T61)),IF(Q61="Impacto",Z60,""))),"")</f>
        <v/>
      </c>
      <c r="Y61" s="129" t="str">
        <f t="shared" si="1"/>
        <v/>
      </c>
      <c r="Z61" s="130" t="str">
        <f t="shared" si="63"/>
        <v/>
      </c>
      <c r="AA61" s="129" t="str">
        <f t="shared" si="3"/>
        <v/>
      </c>
      <c r="AB61" s="130" t="str">
        <f t="shared" ref="AB61:AB63" si="67">IFERROR(IF(AND(Q60="Impacto",Q61="Impacto"),(AB60-(+AB60*T61)),IF(AND(Q60="Probabilidad",Q61="Impacto"),(AB59-(+AB59*T61)),IF(Q61="Probabilidad",AB60,""))),"")</f>
        <v/>
      </c>
      <c r="AC61" s="1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32"/>
      <c r="AE61" s="133"/>
      <c r="AF61" s="134"/>
      <c r="AG61" s="135"/>
      <c r="AH61" s="135"/>
      <c r="AI61" s="133"/>
      <c r="AJ61" s="134"/>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row>
    <row r="62" spans="1:68" ht="151.5" customHeight="1" x14ac:dyDescent="0.3">
      <c r="A62" s="590"/>
      <c r="B62" s="581"/>
      <c r="C62" s="581"/>
      <c r="D62" s="581"/>
      <c r="E62" s="593"/>
      <c r="F62" s="581"/>
      <c r="G62" s="584"/>
      <c r="H62" s="587"/>
      <c r="I62" s="599"/>
      <c r="J62" s="602"/>
      <c r="K62" s="599">
        <f ca="1">IF(NOT(ISERROR(MATCH(J62,_xlfn.ANCHORARRAY(E73),0))),I75&amp;"Por favor no seleccionar los criterios de impacto",J62)</f>
        <v>0</v>
      </c>
      <c r="L62" s="587"/>
      <c r="M62" s="599"/>
      <c r="N62" s="596"/>
      <c r="O62" s="123">
        <v>5</v>
      </c>
      <c r="P62" s="124"/>
      <c r="Q62" s="125" t="str">
        <f t="shared" si="65"/>
        <v/>
      </c>
      <c r="R62" s="126"/>
      <c r="S62" s="126"/>
      <c r="T62" s="127" t="str">
        <f t="shared" si="62"/>
        <v/>
      </c>
      <c r="U62" s="126"/>
      <c r="V62" s="126"/>
      <c r="W62" s="126"/>
      <c r="X62" s="128" t="str">
        <f t="shared" si="66"/>
        <v/>
      </c>
      <c r="Y62" s="129" t="str">
        <f t="shared" si="1"/>
        <v/>
      </c>
      <c r="Z62" s="130" t="str">
        <f t="shared" si="63"/>
        <v/>
      </c>
      <c r="AA62" s="129" t="str">
        <f t="shared" si="3"/>
        <v/>
      </c>
      <c r="AB62" s="130" t="str">
        <f t="shared" si="67"/>
        <v/>
      </c>
      <c r="AC62" s="13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32"/>
      <c r="AE62" s="133"/>
      <c r="AF62" s="134"/>
      <c r="AG62" s="135"/>
      <c r="AH62" s="135"/>
      <c r="AI62" s="133"/>
      <c r="AJ62" s="134"/>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row>
    <row r="63" spans="1:68" ht="151.5" customHeight="1" x14ac:dyDescent="0.3">
      <c r="A63" s="591"/>
      <c r="B63" s="582"/>
      <c r="C63" s="582"/>
      <c r="D63" s="582"/>
      <c r="E63" s="594"/>
      <c r="F63" s="582"/>
      <c r="G63" s="585"/>
      <c r="H63" s="588"/>
      <c r="I63" s="600"/>
      <c r="J63" s="603"/>
      <c r="K63" s="600">
        <f ca="1">IF(NOT(ISERROR(MATCH(J63,_xlfn.ANCHORARRAY(E74),0))),I76&amp;"Por favor no seleccionar los criterios de impacto",J63)</f>
        <v>0</v>
      </c>
      <c r="L63" s="588"/>
      <c r="M63" s="600"/>
      <c r="N63" s="597"/>
      <c r="O63" s="123">
        <v>6</v>
      </c>
      <c r="P63" s="124"/>
      <c r="Q63" s="125" t="str">
        <f t="shared" si="65"/>
        <v/>
      </c>
      <c r="R63" s="126"/>
      <c r="S63" s="126"/>
      <c r="T63" s="127" t="str">
        <f t="shared" si="62"/>
        <v/>
      </c>
      <c r="U63" s="126"/>
      <c r="V63" s="126"/>
      <c r="W63" s="126"/>
      <c r="X63" s="128" t="str">
        <f t="shared" si="66"/>
        <v/>
      </c>
      <c r="Y63" s="129" t="str">
        <f t="shared" si="1"/>
        <v/>
      </c>
      <c r="Z63" s="130" t="str">
        <f t="shared" si="63"/>
        <v/>
      </c>
      <c r="AA63" s="129" t="str">
        <f t="shared" si="3"/>
        <v/>
      </c>
      <c r="AB63" s="130" t="str">
        <f t="shared" si="67"/>
        <v/>
      </c>
      <c r="AC63" s="131" t="str">
        <f t="shared" si="68"/>
        <v/>
      </c>
      <c r="AD63" s="132"/>
      <c r="AE63" s="133"/>
      <c r="AF63" s="134"/>
      <c r="AG63" s="135"/>
      <c r="AH63" s="135"/>
      <c r="AI63" s="133"/>
      <c r="AJ63" s="134"/>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row>
    <row r="64" spans="1:68" ht="151.5" customHeight="1" x14ac:dyDescent="0.3">
      <c r="A64" s="589">
        <v>10</v>
      </c>
      <c r="B64" s="580"/>
      <c r="C64" s="580"/>
      <c r="D64" s="580"/>
      <c r="E64" s="592"/>
      <c r="F64" s="580"/>
      <c r="G64" s="583"/>
      <c r="H64" s="586" t="str">
        <f>IF(G64&lt;=0,"",IF(G64&lt;=2,"Muy Baja",IF(G64&lt;=24,"Baja",IF(G64&lt;=500,"Media",IF(G64&lt;=5000,"Alta","Muy Alta")))))</f>
        <v/>
      </c>
      <c r="I64" s="598" t="str">
        <f>IF(H64="","",IF(H64="Muy Baja",0.2,IF(H64="Baja",0.4,IF(H64="Media",0.6,IF(H64="Alta",0.8,IF(H64="Muy Alta",1,))))))</f>
        <v/>
      </c>
      <c r="J64" s="601"/>
      <c r="K64" s="598">
        <f ca="1">IF(NOT(ISERROR(MATCH(J64,'Tabla Impacto'!$B$221:$B$223,0))),'Tabla Impacto'!$F$223&amp;"Por favor no seleccionar los criterios de impacto(Afectación Económica o presupuestal y Pérdida Reputacional)",J64)</f>
        <v>0</v>
      </c>
      <c r="L64" s="586" t="str">
        <f ca="1">IF(OR(K64='Tabla Impacto'!$C$11,K64='Tabla Impacto'!$D$11),"Leve",IF(OR(K64='Tabla Impacto'!$C$12,K64='Tabla Impacto'!$D$12),"Menor",IF(OR(K64='Tabla Impacto'!$C$13,K64='Tabla Impacto'!$D$13),"Moderado",IF(OR(K64='Tabla Impacto'!$C$14,K64='Tabla Impacto'!$D$14),"Mayor",IF(OR(K64='Tabla Impacto'!$C$15,K64='Tabla Impacto'!$D$15),"Catastrófico","")))))</f>
        <v/>
      </c>
      <c r="M64" s="598" t="str">
        <f ca="1">IF(L64="","",IF(L64="Leve",0.2,IF(L64="Menor",0.4,IF(L64="Moderado",0.6,IF(L64="Mayor",0.8,IF(L64="Catastrófico",1,))))))</f>
        <v/>
      </c>
      <c r="N64" s="595"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23">
        <v>1</v>
      </c>
      <c r="P64" s="124"/>
      <c r="Q64" s="125" t="str">
        <f>IF(OR(R64="Preventivo",R64="Detectivo"),"Probabilidad",IF(R64="Correctivo","Impacto",""))</f>
        <v/>
      </c>
      <c r="R64" s="126"/>
      <c r="S64" s="126"/>
      <c r="T64" s="127" t="str">
        <f>IF(AND(R64="Preventivo",S64="Automático"),"50%",IF(AND(R64="Preventivo",S64="Manual"),"40%",IF(AND(R64="Detectivo",S64="Automático"),"40%",IF(AND(R64="Detectivo",S64="Manual"),"30%",IF(AND(R64="Correctivo",S64="Automático"),"35%",IF(AND(R64="Correctivo",S64="Manual"),"25%",""))))))</f>
        <v/>
      </c>
      <c r="U64" s="126"/>
      <c r="V64" s="126"/>
      <c r="W64" s="126"/>
      <c r="X64" s="128" t="str">
        <f>IFERROR(IF(Q64="Probabilidad",(I64-(+I64*T64)),IF(Q64="Impacto",I64,"")),"")</f>
        <v/>
      </c>
      <c r="Y64" s="129" t="str">
        <f>IFERROR(IF(X64="","",IF(X64&lt;=0.2,"Muy Baja",IF(X64&lt;=0.4,"Baja",IF(X64&lt;=0.6,"Media",IF(X64&lt;=0.8,"Alta","Muy Alta"))))),"")</f>
        <v/>
      </c>
      <c r="Z64" s="130" t="str">
        <f>+X64</f>
        <v/>
      </c>
      <c r="AA64" s="129" t="str">
        <f>IFERROR(IF(AB64="","",IF(AB64&lt;=0.2,"Leve",IF(AB64&lt;=0.4,"Menor",IF(AB64&lt;=0.6,"Moderado",IF(AB64&lt;=0.8,"Mayor","Catastrófico"))))),"")</f>
        <v/>
      </c>
      <c r="AB64" s="130" t="str">
        <f>IFERROR(IF(Q64="Impacto",(M64-(+M64*T64)),IF(Q64="Probabilidad",M64,"")),"")</f>
        <v/>
      </c>
      <c r="AC64" s="1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32"/>
      <c r="AE64" s="133"/>
      <c r="AF64" s="134"/>
      <c r="AG64" s="135"/>
      <c r="AH64" s="135"/>
      <c r="AI64" s="133"/>
      <c r="AJ64" s="134"/>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row>
    <row r="65" spans="1:36" ht="151.5" customHeight="1" x14ac:dyDescent="0.3">
      <c r="A65" s="590"/>
      <c r="B65" s="581"/>
      <c r="C65" s="581"/>
      <c r="D65" s="581"/>
      <c r="E65" s="593"/>
      <c r="F65" s="581"/>
      <c r="G65" s="584"/>
      <c r="H65" s="587"/>
      <c r="I65" s="599"/>
      <c r="J65" s="602"/>
      <c r="K65" s="599">
        <f ca="1">IF(NOT(ISERROR(MATCH(J65,_xlfn.ANCHORARRAY(E76),0))),I78&amp;"Por favor no seleccionar los criterios de impacto",J65)</f>
        <v>0</v>
      </c>
      <c r="L65" s="587"/>
      <c r="M65" s="599"/>
      <c r="N65" s="596"/>
      <c r="O65" s="123">
        <v>2</v>
      </c>
      <c r="P65" s="124"/>
      <c r="Q65" s="125" t="str">
        <f>IF(OR(R65="Preventivo",R65="Detectivo"),"Probabilidad",IF(R65="Correctivo","Impacto",""))</f>
        <v/>
      </c>
      <c r="R65" s="126"/>
      <c r="S65" s="126"/>
      <c r="T65" s="127" t="str">
        <f t="shared" ref="T65:T69" si="69">IF(AND(R65="Preventivo",S65="Automático"),"50%",IF(AND(R65="Preventivo",S65="Manual"),"40%",IF(AND(R65="Detectivo",S65="Automático"),"40%",IF(AND(R65="Detectivo",S65="Manual"),"30%",IF(AND(R65="Correctivo",S65="Automático"),"35%",IF(AND(R65="Correctivo",S65="Manual"),"25%",""))))))</f>
        <v/>
      </c>
      <c r="U65" s="126"/>
      <c r="V65" s="126"/>
      <c r="W65" s="126"/>
      <c r="X65" s="128" t="str">
        <f>IFERROR(IF(AND(Q64="Probabilidad",Q65="Probabilidad"),(Z64-(+Z64*T65)),IF(Q65="Probabilidad",(I64-(+I64*T65)),IF(Q65="Impacto",Z64,""))),"")</f>
        <v/>
      </c>
      <c r="Y65" s="129" t="str">
        <f t="shared" si="1"/>
        <v/>
      </c>
      <c r="Z65" s="130" t="str">
        <f t="shared" ref="Z65:Z69" si="70">+X65</f>
        <v/>
      </c>
      <c r="AA65" s="129" t="str">
        <f t="shared" si="3"/>
        <v/>
      </c>
      <c r="AB65" s="130" t="str">
        <f>IFERROR(IF(AND(Q64="Impacto",Q65="Impacto"),(AB58-(+AB58*T65)),IF(Q65="Impacto",($M$64-(+$M$64*T65)),IF(Q65="Probabilidad",AB58,""))),"")</f>
        <v/>
      </c>
      <c r="AC65" s="13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32"/>
      <c r="AE65" s="133"/>
      <c r="AF65" s="134"/>
      <c r="AG65" s="135"/>
      <c r="AH65" s="135"/>
      <c r="AI65" s="133"/>
      <c r="AJ65" s="134"/>
    </row>
    <row r="66" spans="1:36" ht="151.5" customHeight="1" x14ac:dyDescent="0.3">
      <c r="A66" s="590"/>
      <c r="B66" s="581"/>
      <c r="C66" s="581"/>
      <c r="D66" s="581"/>
      <c r="E66" s="593"/>
      <c r="F66" s="581"/>
      <c r="G66" s="584"/>
      <c r="H66" s="587"/>
      <c r="I66" s="599"/>
      <c r="J66" s="602"/>
      <c r="K66" s="599">
        <f ca="1">IF(NOT(ISERROR(MATCH(J66,_xlfn.ANCHORARRAY(E77),0))),I79&amp;"Por favor no seleccionar los criterios de impacto",J66)</f>
        <v>0</v>
      </c>
      <c r="L66" s="587"/>
      <c r="M66" s="599"/>
      <c r="N66" s="596"/>
      <c r="O66" s="123">
        <v>3</v>
      </c>
      <c r="P66" s="136"/>
      <c r="Q66" s="125" t="str">
        <f>IF(OR(R66="Preventivo",R66="Detectivo"),"Probabilidad",IF(R66="Correctivo","Impacto",""))</f>
        <v/>
      </c>
      <c r="R66" s="126"/>
      <c r="S66" s="126"/>
      <c r="T66" s="127" t="str">
        <f t="shared" si="69"/>
        <v/>
      </c>
      <c r="U66" s="126"/>
      <c r="V66" s="126"/>
      <c r="W66" s="126"/>
      <c r="X66" s="128" t="str">
        <f>IFERROR(IF(AND(Q65="Probabilidad",Q66="Probabilidad"),(Z65-(+Z65*T66)),IF(AND(Q65="Impacto",Q66="Probabilidad"),(Z64-(+Z64*T66)),IF(Q66="Impacto",Z65,""))),"")</f>
        <v/>
      </c>
      <c r="Y66" s="129" t="str">
        <f t="shared" si="1"/>
        <v/>
      </c>
      <c r="Z66" s="130" t="str">
        <f t="shared" si="70"/>
        <v/>
      </c>
      <c r="AA66" s="129" t="str">
        <f t="shared" si="3"/>
        <v/>
      </c>
      <c r="AB66" s="130" t="str">
        <f>IFERROR(IF(AND(Q65="Impacto",Q66="Impacto"),(AB65-(+AB65*T66)),IF(AND(Q65="Probabilidad",Q66="Impacto"),(AB64-(+AB64*T66)),IF(Q66="Probabilidad",AB65,""))),"")</f>
        <v/>
      </c>
      <c r="AC66" s="131" t="str">
        <f t="shared" si="71"/>
        <v/>
      </c>
      <c r="AD66" s="132"/>
      <c r="AE66" s="133"/>
      <c r="AF66" s="134"/>
      <c r="AG66" s="135"/>
      <c r="AH66" s="135"/>
      <c r="AI66" s="133"/>
      <c r="AJ66" s="134"/>
    </row>
    <row r="67" spans="1:36" ht="151.5" customHeight="1" x14ac:dyDescent="0.3">
      <c r="A67" s="590"/>
      <c r="B67" s="581"/>
      <c r="C67" s="581"/>
      <c r="D67" s="581"/>
      <c r="E67" s="593"/>
      <c r="F67" s="581"/>
      <c r="G67" s="584"/>
      <c r="H67" s="587"/>
      <c r="I67" s="599"/>
      <c r="J67" s="602"/>
      <c r="K67" s="599">
        <f ca="1">IF(NOT(ISERROR(MATCH(J67,_xlfn.ANCHORARRAY(E78),0))),I80&amp;"Por favor no seleccionar los criterios de impacto",J67)</f>
        <v>0</v>
      </c>
      <c r="L67" s="587"/>
      <c r="M67" s="599"/>
      <c r="N67" s="596"/>
      <c r="O67" s="123">
        <v>4</v>
      </c>
      <c r="P67" s="124"/>
      <c r="Q67" s="125" t="str">
        <f t="shared" ref="Q67:Q69" si="72">IF(OR(R67="Preventivo",R67="Detectivo"),"Probabilidad",IF(R67="Correctivo","Impacto",""))</f>
        <v/>
      </c>
      <c r="R67" s="126"/>
      <c r="S67" s="126"/>
      <c r="T67" s="127" t="str">
        <f t="shared" si="69"/>
        <v/>
      </c>
      <c r="U67" s="126"/>
      <c r="V67" s="126"/>
      <c r="W67" s="126"/>
      <c r="X67" s="128" t="str">
        <f t="shared" ref="X67:X69" si="73">IFERROR(IF(AND(Q66="Probabilidad",Q67="Probabilidad"),(Z66-(+Z66*T67)),IF(AND(Q66="Impacto",Q67="Probabilidad"),(Z65-(+Z65*T67)),IF(Q67="Impacto",Z66,""))),"")</f>
        <v/>
      </c>
      <c r="Y67" s="129" t="str">
        <f t="shared" si="1"/>
        <v/>
      </c>
      <c r="Z67" s="130" t="str">
        <f t="shared" si="70"/>
        <v/>
      </c>
      <c r="AA67" s="129" t="str">
        <f t="shared" si="3"/>
        <v/>
      </c>
      <c r="AB67" s="130" t="str">
        <f t="shared" ref="AB67:AB69" si="74">IFERROR(IF(AND(Q66="Impacto",Q67="Impacto"),(AB66-(+AB66*T67)),IF(AND(Q66="Probabilidad",Q67="Impacto"),(AB65-(+AB65*T67)),IF(Q67="Probabilidad",AB66,""))),"")</f>
        <v/>
      </c>
      <c r="AC67" s="1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32"/>
      <c r="AE67" s="133"/>
      <c r="AF67" s="134"/>
      <c r="AG67" s="135"/>
      <c r="AH67" s="135"/>
      <c r="AI67" s="133"/>
      <c r="AJ67" s="134"/>
    </row>
    <row r="68" spans="1:36" ht="151.5" customHeight="1" x14ac:dyDescent="0.3">
      <c r="A68" s="590"/>
      <c r="B68" s="581"/>
      <c r="C68" s="581"/>
      <c r="D68" s="581"/>
      <c r="E68" s="593"/>
      <c r="F68" s="581"/>
      <c r="G68" s="584"/>
      <c r="H68" s="587"/>
      <c r="I68" s="599"/>
      <c r="J68" s="602"/>
      <c r="K68" s="599">
        <f ca="1">IF(NOT(ISERROR(MATCH(J68,_xlfn.ANCHORARRAY(E79),0))),I81&amp;"Por favor no seleccionar los criterios de impacto",J68)</f>
        <v>0</v>
      </c>
      <c r="L68" s="587"/>
      <c r="M68" s="599"/>
      <c r="N68" s="596"/>
      <c r="O68" s="123">
        <v>5</v>
      </c>
      <c r="P68" s="124"/>
      <c r="Q68" s="125" t="str">
        <f t="shared" si="72"/>
        <v/>
      </c>
      <c r="R68" s="126"/>
      <c r="S68" s="126"/>
      <c r="T68" s="127" t="str">
        <f t="shared" si="69"/>
        <v/>
      </c>
      <c r="U68" s="126"/>
      <c r="V68" s="126"/>
      <c r="W68" s="126"/>
      <c r="X68" s="128" t="str">
        <f t="shared" si="73"/>
        <v/>
      </c>
      <c r="Y68" s="129" t="str">
        <f t="shared" si="1"/>
        <v/>
      </c>
      <c r="Z68" s="130" t="str">
        <f t="shared" si="70"/>
        <v/>
      </c>
      <c r="AA68" s="129" t="str">
        <f t="shared" si="3"/>
        <v/>
      </c>
      <c r="AB68" s="130" t="str">
        <f t="shared" si="74"/>
        <v/>
      </c>
      <c r="AC68" s="13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32"/>
      <c r="AE68" s="133"/>
      <c r="AF68" s="134"/>
      <c r="AG68" s="135"/>
      <c r="AH68" s="135"/>
      <c r="AI68" s="133"/>
      <c r="AJ68" s="134"/>
    </row>
    <row r="69" spans="1:36" ht="151.5" customHeight="1" x14ac:dyDescent="0.3">
      <c r="A69" s="591"/>
      <c r="B69" s="582"/>
      <c r="C69" s="582"/>
      <c r="D69" s="582"/>
      <c r="E69" s="594"/>
      <c r="F69" s="582"/>
      <c r="G69" s="585"/>
      <c r="H69" s="588"/>
      <c r="I69" s="600"/>
      <c r="J69" s="603"/>
      <c r="K69" s="600">
        <f ca="1">IF(NOT(ISERROR(MATCH(J69,_xlfn.ANCHORARRAY(E80),0))),I82&amp;"Por favor no seleccionar los criterios de impacto",J69)</f>
        <v>0</v>
      </c>
      <c r="L69" s="588"/>
      <c r="M69" s="600"/>
      <c r="N69" s="597"/>
      <c r="O69" s="123">
        <v>6</v>
      </c>
      <c r="P69" s="124"/>
      <c r="Q69" s="125" t="str">
        <f t="shared" si="72"/>
        <v/>
      </c>
      <c r="R69" s="126"/>
      <c r="S69" s="126"/>
      <c r="T69" s="127" t="str">
        <f t="shared" si="69"/>
        <v/>
      </c>
      <c r="U69" s="126"/>
      <c r="V69" s="126"/>
      <c r="W69" s="126"/>
      <c r="X69" s="128" t="str">
        <f t="shared" si="73"/>
        <v/>
      </c>
      <c r="Y69" s="129" t="str">
        <f t="shared" si="1"/>
        <v/>
      </c>
      <c r="Z69" s="130" t="str">
        <f t="shared" si="70"/>
        <v/>
      </c>
      <c r="AA69" s="129" t="str">
        <f t="shared" si="3"/>
        <v/>
      </c>
      <c r="AB69" s="130" t="str">
        <f t="shared" si="74"/>
        <v/>
      </c>
      <c r="AC69" s="131" t="str">
        <f t="shared" si="75"/>
        <v/>
      </c>
      <c r="AD69" s="132"/>
      <c r="AE69" s="133"/>
      <c r="AF69" s="134"/>
      <c r="AG69" s="135"/>
      <c r="AH69" s="135"/>
      <c r="AI69" s="133"/>
      <c r="AJ69" s="134"/>
    </row>
    <row r="70" spans="1:36" ht="49.5" customHeight="1" x14ac:dyDescent="0.3">
      <c r="A70" s="6"/>
      <c r="B70" s="636" t="s">
        <v>131</v>
      </c>
      <c r="C70" s="637"/>
      <c r="D70" s="637"/>
      <c r="E70" s="637"/>
      <c r="F70" s="637"/>
      <c r="G70" s="637"/>
      <c r="H70" s="637"/>
      <c r="I70" s="637"/>
      <c r="J70" s="637"/>
      <c r="K70" s="637"/>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8"/>
    </row>
    <row r="72" spans="1:36" x14ac:dyDescent="0.3">
      <c r="A72" s="1"/>
      <c r="B72" s="24" t="s">
        <v>143</v>
      </c>
      <c r="C72" s="1"/>
      <c r="D72" s="1"/>
      <c r="F72" s="1"/>
    </row>
  </sheetData>
  <sheetProtection algorithmName="SHA-512" hashValue="EvJ1+PiI29PplkW7FammMLnuc1LYWeFXJM7HpIdaRHlaYQf9cdUH3BF8ftff5fDT4dbbQ3OnIBT9eOomvzmtCw==" saltValue="pPzcpNDct/p6BSwOcYSWYQ==" spinCount="100000" sheet="1" objects="1" scenarios="1"/>
  <dataConsolidate/>
  <mergeCells count="185">
    <mergeCell ref="C4:N4"/>
    <mergeCell ref="O4:Q4"/>
    <mergeCell ref="A1:AJ2"/>
    <mergeCell ref="A7:G7"/>
    <mergeCell ref="H7:N7"/>
    <mergeCell ref="O7:W7"/>
    <mergeCell ref="X7:AD7"/>
    <mergeCell ref="AE7:AJ7"/>
    <mergeCell ref="B70:AJ70"/>
    <mergeCell ref="M58:M63"/>
    <mergeCell ref="N58:N63"/>
    <mergeCell ref="A64:A69"/>
    <mergeCell ref="B64:B69"/>
    <mergeCell ref="C64:C69"/>
    <mergeCell ref="D64:D69"/>
    <mergeCell ref="E64:E69"/>
    <mergeCell ref="F64:F69"/>
    <mergeCell ref="G64:G69"/>
    <mergeCell ref="H64:H69"/>
    <mergeCell ref="I64:I69"/>
    <mergeCell ref="J64:J69"/>
    <mergeCell ref="K64:K69"/>
    <mergeCell ref="L64:L69"/>
    <mergeCell ref="M64:M69"/>
    <mergeCell ref="N64:N69"/>
    <mergeCell ref="J58:J63"/>
    <mergeCell ref="K58:K63"/>
    <mergeCell ref="L58:L63"/>
    <mergeCell ref="A58:A63"/>
    <mergeCell ref="B58:B63"/>
    <mergeCell ref="C58:C63"/>
    <mergeCell ref="D58:D63"/>
    <mergeCell ref="E58:E63"/>
    <mergeCell ref="F58:F63"/>
    <mergeCell ref="G58:G63"/>
    <mergeCell ref="H58:H63"/>
    <mergeCell ref="I58:I63"/>
    <mergeCell ref="M46:M51"/>
    <mergeCell ref="N46:N51"/>
    <mergeCell ref="F52:F57"/>
    <mergeCell ref="G52:G57"/>
    <mergeCell ref="H52:H57"/>
    <mergeCell ref="I52:I57"/>
    <mergeCell ref="J52:J57"/>
    <mergeCell ref="F46:F51"/>
    <mergeCell ref="G46:G51"/>
    <mergeCell ref="H46:H51"/>
    <mergeCell ref="I46:I51"/>
    <mergeCell ref="K52:K57"/>
    <mergeCell ref="L52:L57"/>
    <mergeCell ref="M52:M57"/>
    <mergeCell ref="N52:N57"/>
    <mergeCell ref="I34:I39"/>
    <mergeCell ref="J34:J39"/>
    <mergeCell ref="G40:G45"/>
    <mergeCell ref="H40:H45"/>
    <mergeCell ref="I40:I45"/>
    <mergeCell ref="K34:K39"/>
    <mergeCell ref="L34:L39"/>
    <mergeCell ref="A52:A57"/>
    <mergeCell ref="B52:B57"/>
    <mergeCell ref="C52:C57"/>
    <mergeCell ref="D52:D57"/>
    <mergeCell ref="E52:E57"/>
    <mergeCell ref="A46:A51"/>
    <mergeCell ref="B46:B51"/>
    <mergeCell ref="C46:C51"/>
    <mergeCell ref="D46:D51"/>
    <mergeCell ref="E46:E51"/>
    <mergeCell ref="M34:M39"/>
    <mergeCell ref="N34:N39"/>
    <mergeCell ref="M40:M45"/>
    <mergeCell ref="N40:N45"/>
    <mergeCell ref="J46:J51"/>
    <mergeCell ref="K46:K51"/>
    <mergeCell ref="L46:L51"/>
    <mergeCell ref="A34:A39"/>
    <mergeCell ref="B34:B39"/>
    <mergeCell ref="C34:C39"/>
    <mergeCell ref="A40:A45"/>
    <mergeCell ref="B40:B45"/>
    <mergeCell ref="C40:C45"/>
    <mergeCell ref="D40:D45"/>
    <mergeCell ref="E40:E45"/>
    <mergeCell ref="F40:F45"/>
    <mergeCell ref="D34:D39"/>
    <mergeCell ref="E34:E39"/>
    <mergeCell ref="J40:J45"/>
    <mergeCell ref="K40:K45"/>
    <mergeCell ref="L40:L45"/>
    <mergeCell ref="F34:F39"/>
    <mergeCell ref="G34:G39"/>
    <mergeCell ref="H34:H39"/>
    <mergeCell ref="M22:M27"/>
    <mergeCell ref="N22:N27"/>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K16:K21"/>
    <mergeCell ref="L16:L21"/>
    <mergeCell ref="M16:M21"/>
    <mergeCell ref="N16:N21"/>
    <mergeCell ref="A22:A27"/>
    <mergeCell ref="B22:B27"/>
    <mergeCell ref="C22:C27"/>
    <mergeCell ref="D22:D27"/>
    <mergeCell ref="E22:E27"/>
    <mergeCell ref="F22:F27"/>
    <mergeCell ref="G22:G27"/>
    <mergeCell ref="H22:H27"/>
    <mergeCell ref="I22:I27"/>
    <mergeCell ref="J22:J27"/>
    <mergeCell ref="K22:K27"/>
    <mergeCell ref="L22:L27"/>
    <mergeCell ref="F16:F21"/>
    <mergeCell ref="G16:G21"/>
    <mergeCell ref="H16:H21"/>
    <mergeCell ref="I16:I21"/>
    <mergeCell ref="J16:J21"/>
    <mergeCell ref="A16:A21"/>
    <mergeCell ref="B16:B21"/>
    <mergeCell ref="C16:C21"/>
    <mergeCell ref="D16:D21"/>
    <mergeCell ref="E16:E21"/>
    <mergeCell ref="AE8:AE9"/>
    <mergeCell ref="AJ8:AJ9"/>
    <mergeCell ref="AI8:AI9"/>
    <mergeCell ref="AH8:AH9"/>
    <mergeCell ref="AG8:AG9"/>
    <mergeCell ref="AF8:AF9"/>
    <mergeCell ref="A4:B4"/>
    <mergeCell ref="A5:B5"/>
    <mergeCell ref="A6:B6"/>
    <mergeCell ref="A8:A9"/>
    <mergeCell ref="F8:F9"/>
    <mergeCell ref="E8:E9"/>
    <mergeCell ref="D8:D9"/>
    <mergeCell ref="C8:C9"/>
    <mergeCell ref="AD8:AD9"/>
    <mergeCell ref="C5:N5"/>
    <mergeCell ref="C6:N6"/>
    <mergeCell ref="O8:O9"/>
    <mergeCell ref="AC8:AC9"/>
    <mergeCell ref="AB8:AB9"/>
    <mergeCell ref="X8:X9"/>
    <mergeCell ref="P8:P9"/>
    <mergeCell ref="AA8:AA9"/>
    <mergeCell ref="Y8:Y9"/>
    <mergeCell ref="Z8:Z9"/>
    <mergeCell ref="G8:G9"/>
    <mergeCell ref="H8:H9"/>
    <mergeCell ref="I8:I9"/>
    <mergeCell ref="L8:L9"/>
    <mergeCell ref="M8:M9"/>
    <mergeCell ref="B8:B9"/>
    <mergeCell ref="N8:N9"/>
    <mergeCell ref="J8:J9"/>
    <mergeCell ref="K8:K9"/>
    <mergeCell ref="Q8:Q9"/>
    <mergeCell ref="R8:W8"/>
    <mergeCell ref="F10:F15"/>
    <mergeCell ref="G10:G15"/>
    <mergeCell ref="H10:H15"/>
    <mergeCell ref="A10:A15"/>
    <mergeCell ref="B10:B15"/>
    <mergeCell ref="C10:C15"/>
    <mergeCell ref="D10:D15"/>
    <mergeCell ref="E10:E15"/>
    <mergeCell ref="N10:N15"/>
    <mergeCell ref="I10:I15"/>
    <mergeCell ref="J10:J15"/>
    <mergeCell ref="K10:K15"/>
    <mergeCell ref="L10:L15"/>
    <mergeCell ref="M10:M15"/>
  </mergeCells>
  <conditionalFormatting sqref="H10 H16">
    <cfRule type="cellIs" dxfId="224" priority="319" operator="equal">
      <formula>"Muy Alta"</formula>
    </cfRule>
    <cfRule type="cellIs" dxfId="223" priority="320" operator="equal">
      <formula>"Alta"</formula>
    </cfRule>
    <cfRule type="cellIs" dxfId="222" priority="321" operator="equal">
      <formula>"Media"</formula>
    </cfRule>
    <cfRule type="cellIs" dxfId="221" priority="322" operator="equal">
      <formula>"Baja"</formula>
    </cfRule>
    <cfRule type="cellIs" dxfId="220" priority="323" operator="equal">
      <formula>"Muy Baja"</formula>
    </cfRule>
  </conditionalFormatting>
  <conditionalFormatting sqref="H22">
    <cfRule type="cellIs" dxfId="219" priority="221" operator="equal">
      <formula>"Muy Alta"</formula>
    </cfRule>
    <cfRule type="cellIs" dxfId="218" priority="222" operator="equal">
      <formula>"Alta"</formula>
    </cfRule>
    <cfRule type="cellIs" dxfId="217" priority="223" operator="equal">
      <formula>"Media"</formula>
    </cfRule>
    <cfRule type="cellIs" dxfId="216" priority="224" operator="equal">
      <formula>"Baja"</formula>
    </cfRule>
    <cfRule type="cellIs" dxfId="215" priority="225" operator="equal">
      <formula>"Muy Baja"</formula>
    </cfRule>
  </conditionalFormatting>
  <conditionalFormatting sqref="H28">
    <cfRule type="cellIs" dxfId="214" priority="193" operator="equal">
      <formula>"Muy Alta"</formula>
    </cfRule>
    <cfRule type="cellIs" dxfId="213" priority="194" operator="equal">
      <formula>"Alta"</formula>
    </cfRule>
    <cfRule type="cellIs" dxfId="212" priority="195" operator="equal">
      <formula>"Media"</formula>
    </cfRule>
    <cfRule type="cellIs" dxfId="211" priority="196" operator="equal">
      <formula>"Baja"</formula>
    </cfRule>
    <cfRule type="cellIs" dxfId="210" priority="197" operator="equal">
      <formula>"Muy Baja"</formula>
    </cfRule>
  </conditionalFormatting>
  <conditionalFormatting sqref="H34">
    <cfRule type="cellIs" dxfId="209" priority="165" operator="equal">
      <formula>"Muy Alta"</formula>
    </cfRule>
    <cfRule type="cellIs" dxfId="208" priority="166" operator="equal">
      <formula>"Alta"</formula>
    </cfRule>
    <cfRule type="cellIs" dxfId="207" priority="167" operator="equal">
      <formula>"Media"</formula>
    </cfRule>
    <cfRule type="cellIs" dxfId="206" priority="168" operator="equal">
      <formula>"Baja"</formula>
    </cfRule>
    <cfRule type="cellIs" dxfId="205" priority="169" operator="equal">
      <formula>"Muy Baja"</formula>
    </cfRule>
  </conditionalFormatting>
  <conditionalFormatting sqref="H40">
    <cfRule type="cellIs" dxfId="204" priority="137" operator="equal">
      <formula>"Muy Alta"</formula>
    </cfRule>
    <cfRule type="cellIs" dxfId="203" priority="138" operator="equal">
      <formula>"Alta"</formula>
    </cfRule>
    <cfRule type="cellIs" dxfId="202" priority="139" operator="equal">
      <formula>"Media"</formula>
    </cfRule>
    <cfRule type="cellIs" dxfId="201" priority="140" operator="equal">
      <formula>"Baja"</formula>
    </cfRule>
    <cfRule type="cellIs" dxfId="200" priority="141" operator="equal">
      <formula>"Muy Baja"</formula>
    </cfRule>
  </conditionalFormatting>
  <conditionalFormatting sqref="H46">
    <cfRule type="cellIs" dxfId="199" priority="109" operator="equal">
      <formula>"Muy Alta"</formula>
    </cfRule>
    <cfRule type="cellIs" dxfId="198" priority="110" operator="equal">
      <formula>"Alta"</formula>
    </cfRule>
    <cfRule type="cellIs" dxfId="197" priority="111" operator="equal">
      <formula>"Media"</formula>
    </cfRule>
    <cfRule type="cellIs" dxfId="196" priority="112" operator="equal">
      <formula>"Baja"</formula>
    </cfRule>
    <cfRule type="cellIs" dxfId="195" priority="113" operator="equal">
      <formula>"Muy Baja"</formula>
    </cfRule>
  </conditionalFormatting>
  <conditionalFormatting sqref="H52">
    <cfRule type="cellIs" dxfId="194" priority="81" operator="equal">
      <formula>"Muy Alta"</formula>
    </cfRule>
    <cfRule type="cellIs" dxfId="193" priority="82" operator="equal">
      <formula>"Alta"</formula>
    </cfRule>
    <cfRule type="cellIs" dxfId="192" priority="83" operator="equal">
      <formula>"Media"</formula>
    </cfRule>
    <cfRule type="cellIs" dxfId="191" priority="84" operator="equal">
      <formula>"Baja"</formula>
    </cfRule>
    <cfRule type="cellIs" dxfId="190" priority="85" operator="equal">
      <formula>"Muy Baja"</formula>
    </cfRule>
  </conditionalFormatting>
  <conditionalFormatting sqref="H58">
    <cfRule type="cellIs" dxfId="189" priority="53" operator="equal">
      <formula>"Muy Alta"</formula>
    </cfRule>
    <cfRule type="cellIs" dxfId="188" priority="54" operator="equal">
      <formula>"Alta"</formula>
    </cfRule>
    <cfRule type="cellIs" dxfId="187" priority="55" operator="equal">
      <formula>"Media"</formula>
    </cfRule>
    <cfRule type="cellIs" dxfId="186" priority="56" operator="equal">
      <formula>"Baja"</formula>
    </cfRule>
    <cfRule type="cellIs" dxfId="185" priority="57" operator="equal">
      <formula>"Muy Baja"</formula>
    </cfRule>
  </conditionalFormatting>
  <conditionalFormatting sqref="H64">
    <cfRule type="cellIs" dxfId="184" priority="25" operator="equal">
      <formula>"Muy Alta"</formula>
    </cfRule>
    <cfRule type="cellIs" dxfId="183" priority="26" operator="equal">
      <formula>"Alta"</formula>
    </cfRule>
    <cfRule type="cellIs" dxfId="182" priority="27" operator="equal">
      <formula>"Media"</formula>
    </cfRule>
    <cfRule type="cellIs" dxfId="181" priority="28" operator="equal">
      <formula>"Baja"</formula>
    </cfRule>
    <cfRule type="cellIs" dxfId="180" priority="29" operator="equal">
      <formula>"Muy Baja"</formula>
    </cfRule>
  </conditionalFormatting>
  <conditionalFormatting sqref="K10:K69">
    <cfRule type="containsText" dxfId="179" priority="1" operator="containsText" text="❌">
      <formula>NOT(ISERROR(SEARCH("❌",K10)))</formula>
    </cfRule>
  </conditionalFormatting>
  <conditionalFormatting sqref="L10 L16 L22 L28 L34 L40 L46 L52 L58 L64">
    <cfRule type="cellIs" dxfId="178" priority="314" operator="equal">
      <formula>"Catastrófico"</formula>
    </cfRule>
    <cfRule type="cellIs" dxfId="177" priority="315" operator="equal">
      <formula>"Mayor"</formula>
    </cfRule>
    <cfRule type="cellIs" dxfId="176" priority="316" operator="equal">
      <formula>"Moderado"</formula>
    </cfRule>
    <cfRule type="cellIs" dxfId="175" priority="317" operator="equal">
      <formula>"Menor"</formula>
    </cfRule>
    <cfRule type="cellIs" dxfId="174" priority="318" operator="equal">
      <formula>"Leve"</formula>
    </cfRule>
  </conditionalFormatting>
  <conditionalFormatting sqref="N10">
    <cfRule type="cellIs" dxfId="173" priority="310" operator="equal">
      <formula>"Extremo"</formula>
    </cfRule>
    <cfRule type="cellIs" dxfId="172" priority="311" operator="equal">
      <formula>"Alto"</formula>
    </cfRule>
    <cfRule type="cellIs" dxfId="171" priority="312" operator="equal">
      <formula>"Moderado"</formula>
    </cfRule>
    <cfRule type="cellIs" dxfId="170" priority="313" operator="equal">
      <formula>"Bajo"</formula>
    </cfRule>
  </conditionalFormatting>
  <conditionalFormatting sqref="N16">
    <cfRule type="cellIs" dxfId="169" priority="240" operator="equal">
      <formula>"Extremo"</formula>
    </cfRule>
    <cfRule type="cellIs" dxfId="168" priority="241" operator="equal">
      <formula>"Alto"</formula>
    </cfRule>
    <cfRule type="cellIs" dxfId="167" priority="242" operator="equal">
      <formula>"Moderado"</formula>
    </cfRule>
    <cfRule type="cellIs" dxfId="166" priority="243" operator="equal">
      <formula>"Bajo"</formula>
    </cfRule>
  </conditionalFormatting>
  <conditionalFormatting sqref="N22">
    <cfRule type="cellIs" dxfId="165" priority="212" operator="equal">
      <formula>"Extremo"</formula>
    </cfRule>
    <cfRule type="cellIs" dxfId="164" priority="213" operator="equal">
      <formula>"Alto"</formula>
    </cfRule>
    <cfRule type="cellIs" dxfId="163" priority="214" operator="equal">
      <formula>"Moderado"</formula>
    </cfRule>
    <cfRule type="cellIs" dxfId="162" priority="215" operator="equal">
      <formula>"Bajo"</formula>
    </cfRule>
  </conditionalFormatting>
  <conditionalFormatting sqref="N28">
    <cfRule type="cellIs" dxfId="161" priority="184" operator="equal">
      <formula>"Extremo"</formula>
    </cfRule>
    <cfRule type="cellIs" dxfId="160" priority="185" operator="equal">
      <formula>"Alto"</formula>
    </cfRule>
    <cfRule type="cellIs" dxfId="159" priority="186" operator="equal">
      <formula>"Moderado"</formula>
    </cfRule>
    <cfRule type="cellIs" dxfId="158" priority="187" operator="equal">
      <formula>"Bajo"</formula>
    </cfRule>
  </conditionalFormatting>
  <conditionalFormatting sqref="N34">
    <cfRule type="cellIs" dxfId="157" priority="156" operator="equal">
      <formula>"Extremo"</formula>
    </cfRule>
    <cfRule type="cellIs" dxfId="156" priority="157" operator="equal">
      <formula>"Alto"</formula>
    </cfRule>
    <cfRule type="cellIs" dxfId="155" priority="158" operator="equal">
      <formula>"Moderado"</formula>
    </cfRule>
    <cfRule type="cellIs" dxfId="154" priority="159" operator="equal">
      <formula>"Bajo"</formula>
    </cfRule>
  </conditionalFormatting>
  <conditionalFormatting sqref="N40">
    <cfRule type="cellIs" dxfId="153" priority="128" operator="equal">
      <formula>"Extremo"</formula>
    </cfRule>
    <cfRule type="cellIs" dxfId="152" priority="129" operator="equal">
      <formula>"Alto"</formula>
    </cfRule>
    <cfRule type="cellIs" dxfId="151" priority="130" operator="equal">
      <formula>"Moderado"</formula>
    </cfRule>
    <cfRule type="cellIs" dxfId="150" priority="131" operator="equal">
      <formula>"Bajo"</formula>
    </cfRule>
  </conditionalFormatting>
  <conditionalFormatting sqref="N46">
    <cfRule type="cellIs" dxfId="149" priority="100" operator="equal">
      <formula>"Extremo"</formula>
    </cfRule>
    <cfRule type="cellIs" dxfId="148" priority="101" operator="equal">
      <formula>"Alto"</formula>
    </cfRule>
    <cfRule type="cellIs" dxfId="147" priority="102" operator="equal">
      <formula>"Moderado"</formula>
    </cfRule>
    <cfRule type="cellIs" dxfId="146" priority="103" operator="equal">
      <formula>"Bajo"</formula>
    </cfRule>
  </conditionalFormatting>
  <conditionalFormatting sqref="N52">
    <cfRule type="cellIs" dxfId="145" priority="72" operator="equal">
      <formula>"Extremo"</formula>
    </cfRule>
    <cfRule type="cellIs" dxfId="144" priority="73" operator="equal">
      <formula>"Alto"</formula>
    </cfRule>
    <cfRule type="cellIs" dxfId="143" priority="74" operator="equal">
      <formula>"Moderado"</formula>
    </cfRule>
    <cfRule type="cellIs" dxfId="142" priority="75" operator="equal">
      <formula>"Bajo"</formula>
    </cfRule>
  </conditionalFormatting>
  <conditionalFormatting sqref="N58">
    <cfRule type="cellIs" dxfId="141" priority="44" operator="equal">
      <formula>"Extremo"</formula>
    </cfRule>
    <cfRule type="cellIs" dxfId="140" priority="45" operator="equal">
      <formula>"Alto"</formula>
    </cfRule>
    <cfRule type="cellIs" dxfId="139" priority="46" operator="equal">
      <formula>"Moderado"</formula>
    </cfRule>
    <cfRule type="cellIs" dxfId="138" priority="47" operator="equal">
      <formula>"Bajo"</formula>
    </cfRule>
  </conditionalFormatting>
  <conditionalFormatting sqref="N64">
    <cfRule type="cellIs" dxfId="137" priority="16" operator="equal">
      <formula>"Extremo"</formula>
    </cfRule>
    <cfRule type="cellIs" dxfId="136" priority="17" operator="equal">
      <formula>"Alto"</formula>
    </cfRule>
    <cfRule type="cellIs" dxfId="135" priority="18" operator="equal">
      <formula>"Moderado"</formula>
    </cfRule>
    <cfRule type="cellIs" dxfId="134" priority="19" operator="equal">
      <formula>"Bajo"</formula>
    </cfRule>
  </conditionalFormatting>
  <conditionalFormatting sqref="Y10:Y69">
    <cfRule type="cellIs" dxfId="133" priority="11" operator="equal">
      <formula>"Muy Alta"</formula>
    </cfRule>
    <cfRule type="cellIs" dxfId="132" priority="12" operator="equal">
      <formula>"Alta"</formula>
    </cfRule>
    <cfRule type="cellIs" dxfId="131" priority="13" operator="equal">
      <formula>"Media"</formula>
    </cfRule>
    <cfRule type="cellIs" dxfId="130" priority="14" operator="equal">
      <formula>"Baja"</formula>
    </cfRule>
    <cfRule type="cellIs" dxfId="129" priority="15" operator="equal">
      <formula>"Muy Baja"</formula>
    </cfRule>
  </conditionalFormatting>
  <conditionalFormatting sqref="AA10:AA69">
    <cfRule type="cellIs" dxfId="128" priority="6" operator="equal">
      <formula>"Catastrófico"</formula>
    </cfRule>
    <cfRule type="cellIs" dxfId="127" priority="7" operator="equal">
      <formula>"Mayor"</formula>
    </cfRule>
    <cfRule type="cellIs" dxfId="126" priority="8" operator="equal">
      <formula>"Moderado"</formula>
    </cfRule>
    <cfRule type="cellIs" dxfId="125" priority="9" operator="equal">
      <formula>"Menor"</formula>
    </cfRule>
    <cfRule type="cellIs" dxfId="124" priority="10" operator="equal">
      <formula>"Leve"</formula>
    </cfRule>
  </conditionalFormatting>
  <conditionalFormatting sqref="AC10:AC69">
    <cfRule type="cellIs" dxfId="123" priority="2" operator="equal">
      <formula>"Extremo"</formula>
    </cfRule>
    <cfRule type="cellIs" dxfId="122" priority="3" operator="equal">
      <formula>"Alto"</formula>
    </cfRule>
    <cfRule type="cellIs" dxfId="121" priority="4" operator="equal">
      <formula>"Moderado"</formula>
    </cfRule>
    <cfRule type="cellIs" dxfId="120" priority="5" operator="equal">
      <formula>"Bajo"</formula>
    </cfRule>
  </conditionalFormatting>
  <pageMargins left="0.7" right="0.7" top="0.75" bottom="0.75" header="0.3" footer="0.3"/>
  <pageSetup orientation="portrait" r:id="rId1"/>
  <ignoredErrors>
    <ignoredError sqref="AB12" formula="1"/>
  </ignoredError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'Tabla Valoración controles'!$D$4:$D$6</xm:f>
          </x14:formula1>
          <xm:sqref>R10:R69</xm:sqref>
        </x14:dataValidation>
        <x14:dataValidation type="list" allowBlank="1" showInputMessage="1" showErrorMessage="1" xr:uid="{00000000-0002-0000-0100-000001000000}">
          <x14:formula1>
            <xm:f>'Tabla Valoración controles'!$D$7:$D$8</xm:f>
          </x14:formula1>
          <xm:sqref>S10:S69</xm:sqref>
        </x14:dataValidation>
        <x14:dataValidation type="list" allowBlank="1" showInputMessage="1" showErrorMessage="1" xr:uid="{00000000-0002-0000-0100-000002000000}">
          <x14:formula1>
            <xm:f>'Tabla Valoración controles'!$D$9:$D$10</xm:f>
          </x14:formula1>
          <xm:sqref>U10:U69</xm:sqref>
        </x14:dataValidation>
        <x14:dataValidation type="list" allowBlank="1" showInputMessage="1" showErrorMessage="1" xr:uid="{00000000-0002-0000-0100-000003000000}">
          <x14:formula1>
            <xm:f>'Tabla Valoración controles'!$D$11:$D$12</xm:f>
          </x14:formula1>
          <xm:sqref>V10:V69</xm:sqref>
        </x14:dataValidation>
        <x14:dataValidation type="list" allowBlank="1" showInputMessage="1" showErrorMessage="1" xr:uid="{00000000-0002-0000-0100-000004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InputMessage="1" showErrorMessage="1" xr:uid="{00000000-0002-0000-0100-000005000000}">
          <x14:formula1>
            <xm:f>'Tabla Valoración controles'!$D$13:$D$14</xm:f>
          </x14:formula1>
          <xm:sqref>W10:W69</xm:sqref>
        </x14:dataValidation>
        <x14:dataValidation type="list" allowBlank="1" showInputMessage="1" showErrorMessage="1" xr:uid="{00000000-0002-0000-0100-000006000000}">
          <x14:formula1>
            <xm:f>'Opciones Tratamiento'!$B$13:$B$19</xm:f>
          </x14:formula1>
          <xm:sqref>F10:F69</xm:sqref>
        </x14:dataValidation>
        <x14:dataValidation type="list" allowBlank="1" showInputMessage="1" showErrorMessage="1" xr:uid="{00000000-0002-0000-0100-000007000000}">
          <x14:formula1>
            <xm:f>'Opciones Tratamiento'!$E$2:$E$4</xm:f>
          </x14:formula1>
          <xm:sqref>B10:B69</xm:sqref>
        </x14:dataValidation>
        <x14:dataValidation type="list" allowBlank="1" showInputMessage="1" showErrorMessage="1" xr:uid="{00000000-0002-0000-0100-000008000000}">
          <x14:formula1>
            <xm:f>'Opciones Tratamiento'!$B$2:$B$5</xm:f>
          </x14:formula1>
          <xm:sqref>AD10:AD69</xm:sqref>
        </x14:dataValidation>
        <x14:dataValidation type="list" allowBlank="1" showInputMessage="1" showErrorMessage="1" xr:uid="{00000000-0002-0000-0100-000009000000}">
          <x14:formula1>
            <xm:f>'Tabla Impacto'!$F$210:$F$221</xm:f>
          </x14:formula1>
          <xm:sqref>J10:J69</xm:sqref>
        </x14:dataValidation>
        <x14:dataValidation type="custom" allowBlank="1" showInputMessage="1" showErrorMessage="1" error="Recuerde que las acciones se generan bajo la medida de mitigar el riesgo" xr:uid="{00000000-0002-0000-0100-00000A000000}">
          <x14:formula1>
            <xm:f>IF(OR(AD10='Opciones Tratamiento'!$B$2,AD10='Opciones Tratamiento'!$B$3,AD10='Opciones Tratamiento'!$B$4),ISBLANK(AD10),ISTEXT(AD10))</xm:f>
          </x14:formula1>
          <xm:sqref>AE10:AE69</xm:sqref>
        </x14:dataValidation>
        <x14:dataValidation type="custom" allowBlank="1" showInputMessage="1" showErrorMessage="1" error="Recuerde que las acciones se generan bajo la medida de mitigar el riesgo" xr:uid="{00000000-0002-0000-0100-00000B000000}">
          <x14:formula1>
            <xm:f>IF(OR(AD10='Opciones Tratamiento'!$B$2,AD10='Opciones Tratamiento'!$B$3,AD10='Opciones Tratamiento'!$B$4),ISBLANK(AD10),ISTEXT(AD10))</xm:f>
          </x14:formula1>
          <xm:sqref>AF10:AF69</xm:sqref>
        </x14:dataValidation>
        <x14:dataValidation type="custom" allowBlank="1" showInputMessage="1" showErrorMessage="1" error="Recuerde que las acciones se generan bajo la medida de mitigar el riesgo" xr:uid="{00000000-0002-0000-0100-00000C000000}">
          <x14:formula1>
            <xm:f>IF(OR(AD10='Opciones Tratamiento'!$B$2,AD10='Opciones Tratamiento'!$B$3,AD10='Opciones Tratamiento'!$B$4),ISBLANK(AD10),ISTEXT(AD10))</xm:f>
          </x14:formula1>
          <xm:sqref>AG10:AG69</xm:sqref>
        </x14:dataValidation>
        <x14:dataValidation type="custom" allowBlank="1" showInputMessage="1" showErrorMessage="1" error="Recuerde que las acciones se generan bajo la medida de mitigar el riesgo" xr:uid="{00000000-0002-0000-0100-00000D000000}">
          <x14:formula1>
            <xm:f>IF(OR(AD10='Opciones Tratamiento'!$B$2,AD10='Opciones Tratamiento'!$B$3,AD10='Opciones Tratamiento'!$B$4),ISBLANK(AD10),ISTEXT(AD10))</xm:f>
          </x14:formula1>
          <xm:sqref>AH10:AH69</xm:sqref>
        </x14:dataValidation>
        <x14:dataValidation type="custom" allowBlank="1" showInputMessage="1" showErrorMessage="1" error="Recuerde que las acciones se generan bajo la medida de mitigar el riesgo" xr:uid="{00000000-0002-0000-0100-00000E000000}">
          <x14:formula1>
            <xm:f>IF(OR(AD10='Opciones Tratamiento'!$B$2,AD10='Opciones Tratamiento'!$B$3,AD10='Opciones Tratamiento'!$B$4),ISBLANK(AD10),ISTEXT(AD10))</xm:f>
          </x14:formula1>
          <xm:sqref>AI10:AI69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66BD9-D227-41FE-9AD4-6CAAF1C7A242}">
  <sheetPr>
    <tabColor rgb="FFFFFF00"/>
  </sheetPr>
  <dimension ref="A3:B24"/>
  <sheetViews>
    <sheetView topLeftCell="A5" workbookViewId="0">
      <selection activeCell="B23" sqref="B23"/>
    </sheetView>
  </sheetViews>
  <sheetFormatPr baseColWidth="10" defaultRowHeight="15" x14ac:dyDescent="0.25"/>
  <sheetData>
    <row r="3" spans="1:2" x14ac:dyDescent="0.25">
      <c r="A3">
        <v>1</v>
      </c>
      <c r="B3" t="s">
        <v>589</v>
      </c>
    </row>
    <row r="4" spans="1:2" x14ac:dyDescent="0.25">
      <c r="A4">
        <v>12</v>
      </c>
      <c r="B4" t="s">
        <v>590</v>
      </c>
    </row>
    <row r="5" spans="1:2" x14ac:dyDescent="0.25">
      <c r="A5">
        <v>48</v>
      </c>
      <c r="B5" t="s">
        <v>591</v>
      </c>
    </row>
    <row r="6" spans="1:2" x14ac:dyDescent="0.25">
      <c r="A6">
        <v>13</v>
      </c>
      <c r="B6" t="s">
        <v>592</v>
      </c>
    </row>
    <row r="7" spans="1:2" x14ac:dyDescent="0.25">
      <c r="A7">
        <v>4</v>
      </c>
      <c r="B7" t="s">
        <v>593</v>
      </c>
    </row>
    <row r="8" spans="1:2" x14ac:dyDescent="0.25">
      <c r="A8">
        <v>1</v>
      </c>
      <c r="B8" t="s">
        <v>594</v>
      </c>
    </row>
    <row r="9" spans="1:2" x14ac:dyDescent="0.25">
      <c r="A9">
        <v>12</v>
      </c>
      <c r="B9" t="s">
        <v>595</v>
      </c>
    </row>
    <row r="10" spans="1:2" x14ac:dyDescent="0.25">
      <c r="A10">
        <v>12</v>
      </c>
      <c r="B10" t="s">
        <v>596</v>
      </c>
    </row>
    <row r="11" spans="1:2" x14ac:dyDescent="0.25">
      <c r="A11">
        <v>12</v>
      </c>
      <c r="B11" t="s">
        <v>597</v>
      </c>
    </row>
    <row r="12" spans="1:2" x14ac:dyDescent="0.25">
      <c r="A12">
        <v>12</v>
      </c>
      <c r="B12" t="s">
        <v>598</v>
      </c>
    </row>
    <row r="13" spans="1:2" x14ac:dyDescent="0.25">
      <c r="A13">
        <v>6</v>
      </c>
      <c r="B13" t="s">
        <v>599</v>
      </c>
    </row>
    <row r="14" spans="1:2" x14ac:dyDescent="0.25">
      <c r="A14">
        <v>6</v>
      </c>
      <c r="B14" t="s">
        <v>600</v>
      </c>
    </row>
    <row r="15" spans="1:2" x14ac:dyDescent="0.25">
      <c r="A15">
        <v>1</v>
      </c>
      <c r="B15" t="s">
        <v>601</v>
      </c>
    </row>
    <row r="16" spans="1:2" x14ac:dyDescent="0.25">
      <c r="A16">
        <v>1</v>
      </c>
      <c r="B16" t="s">
        <v>602</v>
      </c>
    </row>
    <row r="17" spans="1:2" x14ac:dyDescent="0.25">
      <c r="A17">
        <v>1</v>
      </c>
      <c r="B17" t="s">
        <v>603</v>
      </c>
    </row>
    <row r="18" spans="1:2" x14ac:dyDescent="0.25">
      <c r="A18">
        <v>2</v>
      </c>
      <c r="B18" t="s">
        <v>604</v>
      </c>
    </row>
    <row r="19" spans="1:2" x14ac:dyDescent="0.25">
      <c r="A19">
        <v>4</v>
      </c>
      <c r="B19" t="s">
        <v>605</v>
      </c>
    </row>
    <row r="20" spans="1:2" x14ac:dyDescent="0.25">
      <c r="A20">
        <v>4</v>
      </c>
      <c r="B20" t="s">
        <v>606</v>
      </c>
    </row>
    <row r="21" spans="1:2" x14ac:dyDescent="0.25">
      <c r="A21">
        <v>4</v>
      </c>
      <c r="B21" t="s">
        <v>607</v>
      </c>
    </row>
    <row r="22" spans="1:2" x14ac:dyDescent="0.25">
      <c r="A22">
        <v>4</v>
      </c>
      <c r="B22" t="s">
        <v>608</v>
      </c>
    </row>
    <row r="24" spans="1:2" x14ac:dyDescent="0.25">
      <c r="A24" s="221">
        <f>SUM(A3:A23)</f>
        <v>160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370C-3FD1-4D3D-81F7-5A7ED9C76FB4}">
  <sheetPr>
    <tabColor rgb="FF002060"/>
  </sheetPr>
  <dimension ref="A1:QZ124"/>
  <sheetViews>
    <sheetView tabSelected="1" topLeftCell="C10" zoomScale="80" zoomScaleNormal="80" workbookViewId="0">
      <selection activeCell="G12" sqref="G12:G13"/>
    </sheetView>
  </sheetViews>
  <sheetFormatPr baseColWidth="10" defaultColWidth="11.42578125" defaultRowHeight="16.5" x14ac:dyDescent="0.3"/>
  <cols>
    <col min="1" max="1" width="4" style="2" bestFit="1" customWidth="1"/>
    <col min="2" max="2" width="20" style="2" customWidth="1"/>
    <col min="3" max="3" width="13.140625" style="2" customWidth="1"/>
    <col min="4" max="4" width="16.140625" style="2" customWidth="1"/>
    <col min="5" max="5" width="32.42578125" style="1" customWidth="1"/>
    <col min="6" max="6" width="20.5703125" style="5" customWidth="1"/>
    <col min="7" max="7" width="17.85546875" style="1" customWidth="1"/>
    <col min="8" max="8" width="16.5703125" style="1" customWidth="1"/>
    <col min="9" max="9" width="9" style="1" customWidth="1"/>
    <col min="10" max="10" width="27.28515625" style="1" bestFit="1" customWidth="1"/>
    <col min="11" max="11" width="10.140625" style="1" hidden="1" customWidth="1"/>
    <col min="12" max="12" width="17.5703125" style="1" customWidth="1"/>
    <col min="13" max="13" width="9.28515625" style="1" customWidth="1"/>
    <col min="14" max="14" width="16" style="1" customWidth="1"/>
    <col min="15" max="15" width="5.85546875" style="1" customWidth="1"/>
    <col min="16" max="16" width="78.28515625" style="318" customWidth="1"/>
    <col min="17" max="17" width="15.140625" style="1" bestFit="1" customWidth="1"/>
    <col min="18" max="18" width="8.85546875" style="1" customWidth="1"/>
    <col min="19" max="20" width="8.140625" style="1" customWidth="1"/>
    <col min="21" max="23" width="9.5703125" style="1" customWidth="1"/>
    <col min="24" max="24" width="8.140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30.85546875" style="1" customWidth="1"/>
    <col min="32" max="32" width="23" style="1" customWidth="1"/>
    <col min="33" max="33" width="18.85546875" style="1" customWidth="1"/>
    <col min="34" max="34" width="21.7109375" style="1" customWidth="1"/>
    <col min="35" max="35" width="23.28515625" style="1" customWidth="1"/>
    <col min="36" max="16384" width="11.42578125" style="1"/>
  </cols>
  <sheetData>
    <row r="1" spans="1:468" ht="103.5" customHeight="1" x14ac:dyDescent="0.3">
      <c r="P1" s="1"/>
    </row>
    <row r="2" spans="1:468" x14ac:dyDescent="0.3">
      <c r="P2" s="1"/>
    </row>
    <row r="3" spans="1:468" ht="76.5" customHeight="1" x14ac:dyDescent="0.3">
      <c r="A3" s="307"/>
      <c r="P3" s="1"/>
    </row>
    <row r="4" spans="1:468" ht="19.5" customHeight="1" thickBot="1" x14ac:dyDescent="0.35">
      <c r="P4" s="1"/>
    </row>
    <row r="5" spans="1:468" ht="16.5" customHeight="1" x14ac:dyDescent="0.3">
      <c r="A5" s="567" t="s">
        <v>460</v>
      </c>
      <c r="B5" s="568"/>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9"/>
    </row>
    <row r="6" spans="1:468" ht="24" customHeight="1" thickBot="1" x14ac:dyDescent="0.35">
      <c r="A6" s="688"/>
      <c r="B6" s="572"/>
      <c r="C6" s="572"/>
      <c r="D6" s="572"/>
      <c r="E6" s="572"/>
      <c r="F6" s="572"/>
      <c r="G6" s="572"/>
      <c r="H6" s="572"/>
      <c r="I6" s="572"/>
      <c r="J6" s="572"/>
      <c r="K6" s="572"/>
      <c r="L6" s="572"/>
      <c r="M6" s="572"/>
      <c r="N6" s="572"/>
      <c r="O6" s="572"/>
      <c r="P6" s="572"/>
      <c r="Q6" s="572"/>
      <c r="R6" s="572"/>
      <c r="S6" s="572"/>
      <c r="T6" s="572"/>
      <c r="U6" s="572"/>
      <c r="V6" s="572"/>
      <c r="W6" s="572"/>
      <c r="X6" s="572"/>
      <c r="Y6" s="572"/>
      <c r="Z6" s="572"/>
      <c r="AA6" s="572"/>
      <c r="AB6" s="572"/>
      <c r="AC6" s="572"/>
      <c r="AD6" s="572"/>
      <c r="AE6" s="572"/>
      <c r="AF6" s="572"/>
      <c r="AG6" s="572"/>
      <c r="AH6" s="572"/>
      <c r="AI6" s="573"/>
    </row>
    <row r="7" spans="1:468" ht="26.25" customHeight="1" x14ac:dyDescent="0.3">
      <c r="A7" s="574" t="s">
        <v>43</v>
      </c>
      <c r="B7" s="574"/>
      <c r="C7" s="575" t="str">
        <f>'Datos del proceso'!A10</f>
        <v>GESTIÓN FINANCIERAS</v>
      </c>
      <c r="D7" s="575"/>
      <c r="E7" s="575"/>
      <c r="F7" s="575"/>
      <c r="G7" s="575"/>
      <c r="H7" s="575"/>
      <c r="I7" s="575"/>
      <c r="J7" s="575"/>
      <c r="K7" s="575"/>
      <c r="L7" s="575"/>
      <c r="M7" s="575"/>
      <c r="N7" s="575"/>
      <c r="O7" s="576"/>
      <c r="P7" s="576"/>
      <c r="Q7" s="576"/>
      <c r="R7" s="268"/>
      <c r="S7" s="268"/>
      <c r="T7" s="268"/>
      <c r="U7" s="268"/>
      <c r="V7" s="268"/>
      <c r="W7" s="268"/>
      <c r="X7" s="268"/>
      <c r="Y7" s="268"/>
      <c r="Z7" s="268"/>
      <c r="AA7" s="268"/>
      <c r="AB7" s="268"/>
      <c r="AC7" s="268"/>
      <c r="AD7" s="268"/>
      <c r="AE7" s="268"/>
      <c r="AF7" s="268"/>
      <c r="AG7" s="268"/>
      <c r="AH7" s="268"/>
      <c r="AI7" s="268"/>
    </row>
    <row r="8" spans="1:468" ht="70.5" customHeight="1" x14ac:dyDescent="0.3">
      <c r="A8" s="689" t="s">
        <v>130</v>
      </c>
      <c r="B8" s="689"/>
      <c r="C8" s="690" t="str">
        <f>'Datos del proceso'!I10</f>
        <v>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v>
      </c>
      <c r="D8" s="690"/>
      <c r="E8" s="690"/>
      <c r="F8" s="690"/>
      <c r="G8" s="690"/>
      <c r="H8" s="690"/>
      <c r="I8" s="690"/>
      <c r="J8" s="690"/>
      <c r="K8" s="690"/>
      <c r="L8" s="690"/>
      <c r="M8" s="690"/>
      <c r="N8" s="690"/>
      <c r="O8" s="268"/>
      <c r="P8" s="270"/>
      <c r="Q8" s="268"/>
      <c r="R8" s="268"/>
      <c r="S8" s="268"/>
      <c r="T8" s="268"/>
      <c r="U8" s="268"/>
      <c r="V8" s="268"/>
      <c r="W8" s="268"/>
      <c r="X8" s="268"/>
      <c r="Y8" s="268"/>
      <c r="Z8" s="268"/>
      <c r="AA8" s="268"/>
      <c r="AB8" s="268"/>
      <c r="AC8" s="268"/>
      <c r="AD8" s="268"/>
      <c r="AE8" s="268"/>
      <c r="AF8" s="268"/>
      <c r="AG8" s="268"/>
      <c r="AH8" s="268"/>
      <c r="AI8" s="268"/>
    </row>
    <row r="9" spans="1:468" s="270" customFormat="1" ht="15" x14ac:dyDescent="0.2">
      <c r="A9" s="692" t="s">
        <v>139</v>
      </c>
      <c r="B9" s="692"/>
      <c r="C9" s="692"/>
      <c r="D9" s="692"/>
      <c r="E9" s="692"/>
      <c r="F9" s="692"/>
      <c r="G9" s="692"/>
      <c r="H9" s="692" t="s">
        <v>140</v>
      </c>
      <c r="I9" s="692"/>
      <c r="J9" s="692"/>
      <c r="K9" s="692"/>
      <c r="L9" s="692"/>
      <c r="M9" s="692"/>
      <c r="N9" s="692"/>
      <c r="O9" s="692" t="s">
        <v>141</v>
      </c>
      <c r="P9" s="692"/>
      <c r="Q9" s="692"/>
      <c r="R9" s="692"/>
      <c r="S9" s="692"/>
      <c r="T9" s="692"/>
      <c r="U9" s="692"/>
      <c r="V9" s="692"/>
      <c r="W9" s="692"/>
      <c r="X9" s="692" t="s">
        <v>142</v>
      </c>
      <c r="Y9" s="692"/>
      <c r="Z9" s="692"/>
      <c r="AA9" s="692"/>
      <c r="AB9" s="692"/>
      <c r="AC9" s="692"/>
      <c r="AD9" s="692"/>
      <c r="AE9" s="693" t="s">
        <v>34</v>
      </c>
      <c r="AF9" s="694"/>
      <c r="AG9" s="695"/>
      <c r="AH9" s="692" t="s">
        <v>553</v>
      </c>
      <c r="AI9" s="692"/>
    </row>
    <row r="10" spans="1:468" s="270" customFormat="1" ht="16.5" customHeight="1" x14ac:dyDescent="0.2">
      <c r="A10" s="691" t="s">
        <v>0</v>
      </c>
      <c r="B10" s="539" t="s">
        <v>614</v>
      </c>
      <c r="C10" s="539" t="s">
        <v>544</v>
      </c>
      <c r="D10" s="539" t="s">
        <v>545</v>
      </c>
      <c r="E10" s="533" t="s">
        <v>1</v>
      </c>
      <c r="F10" s="539" t="s">
        <v>477</v>
      </c>
      <c r="G10" s="577" t="s">
        <v>550</v>
      </c>
      <c r="H10" s="566" t="s">
        <v>480</v>
      </c>
      <c r="I10" s="539" t="s">
        <v>481</v>
      </c>
      <c r="J10" s="577" t="s">
        <v>615</v>
      </c>
      <c r="K10" s="680" t="s">
        <v>92</v>
      </c>
      <c r="L10" s="680" t="s">
        <v>482</v>
      </c>
      <c r="M10" s="680" t="s">
        <v>483</v>
      </c>
      <c r="N10" s="539" t="s">
        <v>484</v>
      </c>
      <c r="O10" s="563" t="s">
        <v>11</v>
      </c>
      <c r="P10" s="539" t="s">
        <v>163</v>
      </c>
      <c r="Q10" s="539" t="s">
        <v>503</v>
      </c>
      <c r="R10" s="539" t="s">
        <v>8</v>
      </c>
      <c r="S10" s="539"/>
      <c r="T10" s="539"/>
      <c r="U10" s="539"/>
      <c r="V10" s="539"/>
      <c r="W10" s="539"/>
      <c r="X10" s="563" t="s">
        <v>502</v>
      </c>
      <c r="Y10" s="563" t="s">
        <v>485</v>
      </c>
      <c r="Z10" s="563" t="s">
        <v>488</v>
      </c>
      <c r="AA10" s="563" t="s">
        <v>486</v>
      </c>
      <c r="AB10" s="563" t="s">
        <v>481</v>
      </c>
      <c r="AC10" s="563" t="s">
        <v>489</v>
      </c>
      <c r="AD10" s="563" t="s">
        <v>29</v>
      </c>
      <c r="AE10" s="539" t="s">
        <v>551</v>
      </c>
      <c r="AF10" s="539" t="s">
        <v>35</v>
      </c>
      <c r="AG10" s="539" t="s">
        <v>506</v>
      </c>
      <c r="AH10" s="539" t="s">
        <v>234</v>
      </c>
      <c r="AI10" s="539" t="s">
        <v>552</v>
      </c>
    </row>
    <row r="11" spans="1:468" s="273" customFormat="1" ht="83.25" customHeight="1" x14ac:dyDescent="0.25">
      <c r="A11" s="691"/>
      <c r="B11" s="533"/>
      <c r="C11" s="539"/>
      <c r="D11" s="539"/>
      <c r="E11" s="533"/>
      <c r="F11" s="539"/>
      <c r="G11" s="577"/>
      <c r="H11" s="566"/>
      <c r="I11" s="539"/>
      <c r="J11" s="577"/>
      <c r="K11" s="680"/>
      <c r="L11" s="536"/>
      <c r="M11" s="680"/>
      <c r="N11" s="539"/>
      <c r="O11" s="563"/>
      <c r="P11" s="539"/>
      <c r="Q11" s="539"/>
      <c r="R11" s="290" t="s">
        <v>490</v>
      </c>
      <c r="S11" s="290" t="s">
        <v>492</v>
      </c>
      <c r="T11" s="290" t="s">
        <v>487</v>
      </c>
      <c r="U11" s="290" t="s">
        <v>499</v>
      </c>
      <c r="V11" s="290" t="s">
        <v>500</v>
      </c>
      <c r="W11" s="290" t="s">
        <v>501</v>
      </c>
      <c r="X11" s="563"/>
      <c r="Y11" s="563"/>
      <c r="Z11" s="563"/>
      <c r="AA11" s="563"/>
      <c r="AB11" s="563"/>
      <c r="AC11" s="563"/>
      <c r="AD11" s="563"/>
      <c r="AE11" s="539"/>
      <c r="AF11" s="539"/>
      <c r="AG11" s="539"/>
      <c r="AH11" s="539"/>
      <c r="AI11" s="539"/>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c r="CQ11" s="303"/>
      <c r="CR11" s="303"/>
      <c r="CS11" s="303"/>
      <c r="CT11" s="303"/>
      <c r="CU11" s="303"/>
      <c r="CV11" s="303"/>
      <c r="CW11" s="303"/>
      <c r="CX11" s="303"/>
      <c r="CY11" s="303"/>
      <c r="CZ11" s="303"/>
      <c r="DA11" s="303"/>
      <c r="DB11" s="303"/>
      <c r="DC11" s="303"/>
      <c r="DD11" s="303"/>
      <c r="DE11" s="303"/>
      <c r="DF11" s="303"/>
      <c r="DG11" s="303"/>
      <c r="DH11" s="303"/>
      <c r="DI11" s="303"/>
      <c r="DJ11" s="303"/>
      <c r="DK11" s="303"/>
      <c r="DL11" s="303"/>
      <c r="DM11" s="303"/>
      <c r="DN11" s="303"/>
      <c r="DO11" s="303"/>
      <c r="DP11" s="303"/>
      <c r="DQ11" s="303"/>
      <c r="DR11" s="303"/>
      <c r="DS11" s="303"/>
      <c r="DT11" s="303"/>
      <c r="DU11" s="303"/>
      <c r="DV11" s="303"/>
      <c r="DW11" s="303"/>
      <c r="DX11" s="303"/>
      <c r="DY11" s="303"/>
      <c r="DZ11" s="303"/>
      <c r="EA11" s="303"/>
      <c r="EB11" s="303"/>
      <c r="EC11" s="303"/>
      <c r="ED11" s="303"/>
      <c r="EE11" s="303"/>
      <c r="EF11" s="303"/>
      <c r="EG11" s="303"/>
      <c r="EH11" s="303"/>
      <c r="EI11" s="303"/>
      <c r="EJ11" s="303"/>
      <c r="EK11" s="303"/>
      <c r="EL11" s="303"/>
      <c r="EM11" s="303"/>
      <c r="EN11" s="303"/>
      <c r="EO11" s="303"/>
      <c r="EP11" s="303"/>
      <c r="EQ11" s="303"/>
      <c r="ER11" s="303"/>
      <c r="ES11" s="303"/>
      <c r="ET11" s="303"/>
      <c r="EU11" s="303"/>
      <c r="EV11" s="303"/>
      <c r="EW11" s="303"/>
      <c r="EX11" s="303"/>
      <c r="EY11" s="303"/>
      <c r="EZ11" s="303"/>
      <c r="FA11" s="303"/>
      <c r="FB11" s="303"/>
      <c r="FC11" s="303"/>
      <c r="FD11" s="303"/>
      <c r="FE11" s="303"/>
      <c r="FF11" s="303"/>
      <c r="FG11" s="303"/>
      <c r="FH11" s="303"/>
      <c r="FI11" s="303"/>
      <c r="FJ11" s="303"/>
      <c r="FK11" s="303"/>
      <c r="FL11" s="303"/>
      <c r="FM11" s="303"/>
      <c r="FN11" s="303"/>
      <c r="FO11" s="303"/>
      <c r="FP11" s="303"/>
      <c r="FQ11" s="303"/>
      <c r="FR11" s="303"/>
      <c r="FS11" s="303"/>
      <c r="FT11" s="303"/>
      <c r="FU11" s="303"/>
      <c r="FV11" s="303"/>
      <c r="FW11" s="303"/>
      <c r="FX11" s="303"/>
      <c r="FY11" s="303"/>
      <c r="FZ11" s="303"/>
      <c r="GA11" s="303"/>
      <c r="GB11" s="303"/>
      <c r="GC11" s="303"/>
      <c r="GD11" s="303"/>
      <c r="GE11" s="303"/>
      <c r="GF11" s="303"/>
      <c r="GG11" s="303"/>
      <c r="GH11" s="303"/>
      <c r="GI11" s="303"/>
      <c r="GJ11" s="303"/>
      <c r="GK11" s="303"/>
      <c r="GL11" s="303"/>
      <c r="GM11" s="303"/>
      <c r="GN11" s="303"/>
      <c r="GO11" s="303"/>
      <c r="GP11" s="303"/>
      <c r="GQ11" s="303"/>
      <c r="GR11" s="303"/>
      <c r="GS11" s="303"/>
      <c r="GT11" s="303"/>
      <c r="GU11" s="303"/>
      <c r="GV11" s="303"/>
      <c r="GW11" s="303"/>
      <c r="GX11" s="303"/>
      <c r="GY11" s="303"/>
      <c r="GZ11" s="303"/>
      <c r="HA11" s="303"/>
      <c r="HB11" s="303"/>
      <c r="HC11" s="303"/>
      <c r="HD11" s="303"/>
      <c r="HE11" s="303"/>
      <c r="HF11" s="303"/>
      <c r="HG11" s="303"/>
      <c r="HH11" s="303"/>
      <c r="HI11" s="303"/>
      <c r="HJ11" s="303"/>
      <c r="HK11" s="303"/>
      <c r="HL11" s="303"/>
      <c r="HM11" s="303"/>
      <c r="HN11" s="303"/>
      <c r="HO11" s="303"/>
      <c r="HP11" s="303"/>
      <c r="HQ11" s="303"/>
      <c r="HR11" s="303"/>
      <c r="HS11" s="303"/>
      <c r="HT11" s="303"/>
      <c r="HU11" s="303"/>
      <c r="HV11" s="303"/>
      <c r="HW11" s="303"/>
      <c r="HX11" s="303"/>
      <c r="HY11" s="303"/>
      <c r="HZ11" s="303"/>
      <c r="IA11" s="303"/>
      <c r="IB11" s="303"/>
      <c r="IC11" s="303"/>
      <c r="ID11" s="303"/>
      <c r="IE11" s="303"/>
      <c r="IF11" s="303"/>
      <c r="IG11" s="303"/>
      <c r="IH11" s="303"/>
      <c r="II11" s="303"/>
      <c r="IJ11" s="303"/>
      <c r="IK11" s="303"/>
      <c r="IL11" s="303"/>
      <c r="IM11" s="303"/>
      <c r="IN11" s="303"/>
      <c r="IO11" s="303"/>
      <c r="IP11" s="303"/>
      <c r="IQ11" s="303"/>
      <c r="IR11" s="303"/>
      <c r="IS11" s="303"/>
      <c r="IT11" s="303"/>
      <c r="IU11" s="303"/>
      <c r="IV11" s="303"/>
      <c r="IW11" s="303"/>
      <c r="IX11" s="303"/>
      <c r="IY11" s="303"/>
      <c r="IZ11" s="303"/>
      <c r="JA11" s="303"/>
      <c r="JB11" s="303"/>
      <c r="JC11" s="303"/>
      <c r="JD11" s="303"/>
      <c r="JE11" s="303"/>
      <c r="JF11" s="303"/>
      <c r="JG11" s="303"/>
      <c r="JH11" s="303"/>
      <c r="JI11" s="303"/>
      <c r="JJ11" s="303"/>
      <c r="JK11" s="303"/>
      <c r="JL11" s="303"/>
      <c r="JM11" s="303"/>
      <c r="JN11" s="303"/>
      <c r="JO11" s="303"/>
      <c r="JP11" s="303"/>
      <c r="JQ11" s="303"/>
      <c r="JR11" s="303"/>
      <c r="JS11" s="303"/>
      <c r="JT11" s="303"/>
      <c r="JU11" s="303"/>
      <c r="JV11" s="303"/>
      <c r="JW11" s="303"/>
      <c r="JX11" s="303"/>
      <c r="JY11" s="303"/>
      <c r="JZ11" s="303"/>
      <c r="KA11" s="303"/>
      <c r="KB11" s="303"/>
      <c r="KC11" s="303"/>
      <c r="KD11" s="303"/>
      <c r="KE11" s="303"/>
      <c r="KF11" s="303"/>
      <c r="KG11" s="303"/>
      <c r="KH11" s="303"/>
      <c r="KI11" s="303"/>
      <c r="KJ11" s="303"/>
      <c r="KK11" s="303"/>
      <c r="KL11" s="303"/>
      <c r="KM11" s="303"/>
      <c r="KN11" s="303"/>
      <c r="KO11" s="303"/>
      <c r="KP11" s="303"/>
      <c r="KQ11" s="303"/>
      <c r="KR11" s="303"/>
      <c r="KS11" s="303"/>
      <c r="KT11" s="303"/>
      <c r="KU11" s="303"/>
      <c r="KV11" s="303"/>
      <c r="KW11" s="303"/>
      <c r="KX11" s="303"/>
      <c r="KY11" s="303"/>
      <c r="KZ11" s="303"/>
      <c r="LA11" s="303"/>
      <c r="LB11" s="303"/>
      <c r="LC11" s="303"/>
      <c r="LD11" s="303"/>
      <c r="LE11" s="303"/>
      <c r="LF11" s="303"/>
      <c r="LG11" s="303"/>
      <c r="LH11" s="303"/>
      <c r="LI11" s="303"/>
      <c r="LJ11" s="303"/>
      <c r="LK11" s="303"/>
      <c r="LL11" s="303"/>
      <c r="LM11" s="303"/>
      <c r="LN11" s="303"/>
      <c r="LO11" s="303"/>
      <c r="LP11" s="303"/>
      <c r="LQ11" s="303"/>
      <c r="LR11" s="303"/>
      <c r="LS11" s="303"/>
      <c r="LT11" s="303"/>
      <c r="LU11" s="303"/>
      <c r="LV11" s="303"/>
      <c r="LW11" s="303"/>
      <c r="LX11" s="303"/>
      <c r="LY11" s="303"/>
      <c r="LZ11" s="303"/>
      <c r="MA11" s="303"/>
      <c r="MB11" s="303"/>
      <c r="MC11" s="303"/>
      <c r="MD11" s="303"/>
      <c r="ME11" s="303"/>
      <c r="MF11" s="303"/>
      <c r="MG11" s="303"/>
      <c r="MH11" s="303"/>
      <c r="MI11" s="303"/>
      <c r="MJ11" s="303"/>
      <c r="MK11" s="303"/>
      <c r="ML11" s="303"/>
      <c r="MM11" s="303"/>
      <c r="MN11" s="303"/>
      <c r="MO11" s="303"/>
      <c r="MP11" s="303"/>
      <c r="MQ11" s="303"/>
      <c r="MR11" s="303"/>
      <c r="MS11" s="303"/>
      <c r="MT11" s="303"/>
      <c r="MU11" s="303"/>
      <c r="MV11" s="303"/>
      <c r="MW11" s="303"/>
      <c r="MX11" s="303"/>
      <c r="MY11" s="303"/>
      <c r="MZ11" s="303"/>
      <c r="NA11" s="303"/>
      <c r="NB11" s="303"/>
      <c r="NC11" s="303"/>
      <c r="ND11" s="303"/>
      <c r="NE11" s="303"/>
      <c r="NF11" s="303"/>
      <c r="NG11" s="303"/>
      <c r="NH11" s="303"/>
      <c r="NI11" s="303"/>
      <c r="NJ11" s="303"/>
      <c r="NK11" s="303"/>
      <c r="NL11" s="303"/>
      <c r="NM11" s="303"/>
      <c r="NN11" s="303"/>
      <c r="NO11" s="303"/>
      <c r="NP11" s="303"/>
      <c r="NQ11" s="303"/>
      <c r="NR11" s="303"/>
      <c r="NS11" s="303"/>
      <c r="NT11" s="303"/>
      <c r="NU11" s="303"/>
      <c r="NV11" s="303"/>
      <c r="NW11" s="303"/>
      <c r="NX11" s="303"/>
      <c r="NY11" s="303"/>
      <c r="NZ11" s="303"/>
      <c r="OA11" s="303"/>
      <c r="OB11" s="303"/>
      <c r="OC11" s="303"/>
      <c r="OD11" s="303"/>
      <c r="OE11" s="303"/>
      <c r="OF11" s="303"/>
      <c r="OG11" s="303"/>
      <c r="OH11" s="303"/>
      <c r="OI11" s="303"/>
      <c r="OJ11" s="303"/>
      <c r="OK11" s="303"/>
      <c r="OL11" s="303"/>
      <c r="OM11" s="303"/>
      <c r="ON11" s="303"/>
      <c r="OO11" s="303"/>
      <c r="OP11" s="303"/>
      <c r="OQ11" s="303"/>
      <c r="OR11" s="303"/>
      <c r="OS11" s="303"/>
      <c r="OT11" s="303"/>
      <c r="OU11" s="303"/>
      <c r="OV11" s="303"/>
      <c r="OW11" s="303"/>
      <c r="OX11" s="303"/>
      <c r="OY11" s="303"/>
      <c r="OZ11" s="303"/>
      <c r="PA11" s="303"/>
      <c r="PB11" s="303"/>
      <c r="PC11" s="303"/>
      <c r="PD11" s="303"/>
      <c r="PE11" s="303"/>
      <c r="PF11" s="303"/>
      <c r="PG11" s="303"/>
      <c r="PH11" s="303"/>
      <c r="PI11" s="303"/>
      <c r="PJ11" s="303"/>
      <c r="PK11" s="303"/>
      <c r="PL11" s="303"/>
      <c r="PM11" s="303"/>
      <c r="PN11" s="303"/>
      <c r="PO11" s="303"/>
      <c r="PP11" s="303"/>
      <c r="PQ11" s="303"/>
      <c r="PR11" s="303"/>
      <c r="PS11" s="303"/>
      <c r="PT11" s="303"/>
      <c r="PU11" s="303"/>
      <c r="PV11" s="303"/>
      <c r="PW11" s="303"/>
      <c r="PX11" s="303"/>
      <c r="PY11" s="303"/>
      <c r="PZ11" s="303"/>
      <c r="QA11" s="303"/>
      <c r="QB11" s="303"/>
      <c r="QC11" s="303"/>
      <c r="QD11" s="303"/>
      <c r="QE11" s="303"/>
      <c r="QF11" s="303"/>
      <c r="QG11" s="303"/>
      <c r="QH11" s="303"/>
      <c r="QI11" s="303"/>
      <c r="QJ11" s="303"/>
      <c r="QK11" s="303"/>
      <c r="QL11" s="303"/>
      <c r="QM11" s="303"/>
      <c r="QN11" s="303"/>
      <c r="QO11" s="303"/>
      <c r="QP11" s="303"/>
      <c r="QQ11" s="303"/>
      <c r="QR11" s="303"/>
      <c r="QS11" s="303"/>
      <c r="QT11" s="303"/>
      <c r="QU11" s="303"/>
      <c r="QV11" s="303"/>
      <c r="QW11" s="303"/>
      <c r="QX11" s="303"/>
      <c r="QY11" s="303"/>
    </row>
    <row r="12" spans="1:468" s="287" customFormat="1" ht="174.75" customHeight="1" x14ac:dyDescent="0.25">
      <c r="A12" s="700">
        <v>1</v>
      </c>
      <c r="B12" s="702" t="s">
        <v>609</v>
      </c>
      <c r="C12" s="704" t="s">
        <v>575</v>
      </c>
      <c r="D12" s="704" t="s">
        <v>629</v>
      </c>
      <c r="E12" s="706" t="s">
        <v>611</v>
      </c>
      <c r="F12" s="702" t="s">
        <v>470</v>
      </c>
      <c r="G12" s="708">
        <v>160</v>
      </c>
      <c r="H12" s="647" t="str">
        <f>IF(G12&lt;=0,"",IF(G12&lt;=2,"Muy Baja",IF(G12&lt;=24,"Baja",IF(G12&lt;=500,"Media",IF(G12&lt;=5000,"Alta","Muy Alta")))))</f>
        <v>Media</v>
      </c>
      <c r="I12" s="645">
        <f>IF(H12="","",IF(H12="Muy Baja",0.2,IF(H12="Baja",0.4,IF(H12="Media",0.6,IF(H12="Alta",0.8,IF(H12="Muy Alta",1,))))))</f>
        <v>0.6</v>
      </c>
      <c r="J12" s="686">
        <v>0.6</v>
      </c>
      <c r="K12" s="320">
        <f>IF(NOT(ISERROR(MATCH(J12,'[2]Tabla Impacto'!$B$221:$B$223,0))),'[2]Tabla Impacto'!$F$223&amp;"Por favor no seleccionar los criterios de impacto(Afectación Económica o presupuestal y Pérdida Reputacional)",J12)</f>
        <v>0.6</v>
      </c>
      <c r="L12" s="647" t="str">
        <f>IF(J12&lt;=0,"",IF(J12&lt;=20%,"Leve",IF(J12&lt;=40%,"Menor",IF(J12&lt;=60%,"Moderado",IF(J12&lt;=80%,"Mayor","Catastrófico")))))</f>
        <v>Moderado</v>
      </c>
      <c r="M12" s="645">
        <f>IF(L12="","",IF(L12="Leve",0.2,IF(L12="Menor",0.4,IF(L12="Moderado",0.6,IF(L12="Mayor",0.8,IF(L12="Catastrófico",1,))))))</f>
        <v>0.6</v>
      </c>
      <c r="N12" s="643" t="str">
        <f>IF(OR(AND(H12="Muy Baja",L12="Leve"),AND(H12="Muy Baja",L12="Menor"),AND(H12="Baja",L12="Leve")),"Bajo",IF(OR(AND(H12="Muy baja",L12="Moderado"),AND(H12="Baja",L12="Menor"),AND(H12="Baja",L12="Moderado"),AND(H12="Media",L12="Leve"),AND(H12="Media",L12="Menor"),AND(H12="Media",L12="Moderado"),AND(H12="Alta",L12="Leve"),AND(H12="Alta",L12="Menor")),"Moderado",IF(OR(AND(H12="Muy Baja",L12="Mayor"),AND(H12="Baja",L12="Mayor"),AND(H12="Media",L12="Mayor"),AND(H12="Alta",L12="Moderado"),AND(H12="Alta",L12="Mayor"),AND(H12="Muy Alta",L12="Leve"),AND(H12="Muy Alta",L12="Menor"),AND(H12="Muy Alta",L12="Moderado"),AND(H12="Muy Alta",L12="Mayor")),"Alto",IF(OR(AND(H12="Muy Baja",L12="Catastrófico"),AND(H12="Baja",L12="Catastrófico"),AND(H12="Media",L12="Catastrófico"),AND(H12="Alta",L12="Catastrófico"),AND(H12="Muy Alta",L12="Catastrófico")),"Extremo",""))))</f>
        <v>Moderado</v>
      </c>
      <c r="O12" s="321">
        <v>1</v>
      </c>
      <c r="P12" s="434" t="s">
        <v>630</v>
      </c>
      <c r="Q12" s="276" t="str">
        <f>IF(OR(R12="Preventivo",R12="Detectivo"),"Probabilidad",IF(R12="Correctivo","Impacto",""))</f>
        <v>Probabilidad</v>
      </c>
      <c r="R12" s="277" t="s">
        <v>14</v>
      </c>
      <c r="S12" s="277" t="s">
        <v>9</v>
      </c>
      <c r="T12" s="278" t="str">
        <f>IF(AND(R12="Preventivo",S12="Automático"),"50%",IF(AND(R12="Preventivo",S12="Manual"),"40%",IF(AND(R12="Detectivo",S12="Automático"),"40%",IF(AND(R12="Detectivo",S12="Manual"),"30%",IF(AND(R12="Correctivo",S12="Automático"),"35%",IF(AND(R12="Correctivo",S12="Manual"),"25%",""))))))</f>
        <v>40%</v>
      </c>
      <c r="U12" s="277" t="s">
        <v>493</v>
      </c>
      <c r="V12" s="277" t="s">
        <v>22</v>
      </c>
      <c r="W12" s="277" t="s">
        <v>497</v>
      </c>
      <c r="X12" s="279">
        <f>IFERROR(IF(Q12="Probabilidad",(I12-(+I12*T12)),IF(Q12="Impacto",I12,"")),"")</f>
        <v>0.36</v>
      </c>
      <c r="Y12" s="280" t="str">
        <f>IFERROR(IF(X12="","",IF(X12&lt;=0.2,"Muy Baja",IF(X12&lt;=0.4,"Baja",IF(X12&lt;=0.6,"Media",IF(X12&lt;=0.8,"Alta","Muy Alta"))))),"")</f>
        <v>Baja</v>
      </c>
      <c r="Z12" s="278">
        <f>+X12</f>
        <v>0.36</v>
      </c>
      <c r="AA12" s="280" t="str">
        <f>IFERROR(IF(AB12="","",IF(AB12&lt;=0.2,"Leve",IF(AB12&lt;=0.4,"Menor",IF(AB12&lt;=0.6,"Moderado",IF(AB12&lt;=0.8,"Mayor","Catastrófico"))))),"")</f>
        <v>Moderado</v>
      </c>
      <c r="AB12" s="278">
        <f>IFERROR(IF(Q12="Impacto",(M12-(+M12*T12)),IF(Q12="Probabilidad",M12,"")),"")</f>
        <v>0.6</v>
      </c>
      <c r="AC12" s="281"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Moderado</v>
      </c>
      <c r="AD12" s="277" t="s">
        <v>30</v>
      </c>
      <c r="AE12" s="434" t="s">
        <v>631</v>
      </c>
      <c r="AF12" s="323" t="s">
        <v>632</v>
      </c>
      <c r="AG12" s="324">
        <v>45275</v>
      </c>
      <c r="AH12" s="1231" t="s">
        <v>621</v>
      </c>
      <c r="AI12" s="1231" t="s">
        <v>620</v>
      </c>
      <c r="AJ12" s="304"/>
      <c r="AK12" s="304"/>
      <c r="AL12" s="304"/>
      <c r="AM12" s="304"/>
      <c r="AN12" s="304"/>
      <c r="AO12" s="304"/>
      <c r="AP12" s="304"/>
      <c r="AQ12" s="304"/>
      <c r="AR12" s="304"/>
      <c r="AS12" s="304"/>
      <c r="AT12" s="304"/>
      <c r="AU12" s="304"/>
      <c r="AV12" s="304"/>
      <c r="AW12" s="304"/>
      <c r="AX12" s="304"/>
      <c r="AY12" s="304"/>
      <c r="AZ12" s="304"/>
      <c r="BA12" s="304"/>
      <c r="BB12" s="304"/>
      <c r="BC12" s="304"/>
      <c r="BD12" s="304"/>
      <c r="BE12" s="304"/>
      <c r="BF12" s="304"/>
      <c r="BG12" s="304"/>
      <c r="BH12" s="304"/>
      <c r="BI12" s="304"/>
      <c r="BJ12" s="304"/>
      <c r="BK12" s="304"/>
      <c r="BL12" s="304"/>
      <c r="BM12" s="304"/>
      <c r="BN12" s="304"/>
      <c r="BO12" s="304"/>
      <c r="BP12" s="304"/>
      <c r="BQ12" s="304"/>
      <c r="BR12" s="304"/>
      <c r="BS12" s="304"/>
      <c r="BT12" s="304"/>
      <c r="BU12" s="304"/>
      <c r="BV12" s="304"/>
      <c r="BW12" s="304"/>
      <c r="BX12" s="304"/>
      <c r="BY12" s="304"/>
      <c r="BZ12" s="304"/>
      <c r="CA12" s="304"/>
      <c r="CB12" s="304"/>
      <c r="CC12" s="304"/>
      <c r="CD12" s="304"/>
      <c r="CE12" s="304"/>
      <c r="CF12" s="304"/>
      <c r="CG12" s="304"/>
      <c r="CH12" s="304"/>
      <c r="CI12" s="304"/>
      <c r="CJ12" s="304"/>
      <c r="CK12" s="304"/>
      <c r="CL12" s="304"/>
      <c r="CM12" s="304"/>
      <c r="CN12" s="304"/>
      <c r="CO12" s="304"/>
      <c r="CP12" s="304"/>
      <c r="CQ12" s="304"/>
      <c r="CR12" s="304"/>
      <c r="CS12" s="304"/>
      <c r="CT12" s="304"/>
      <c r="CU12" s="304"/>
      <c r="CV12" s="304"/>
      <c r="CW12" s="304"/>
      <c r="CX12" s="304"/>
      <c r="CY12" s="304"/>
      <c r="CZ12" s="304"/>
      <c r="DA12" s="304"/>
      <c r="DB12" s="304"/>
      <c r="DC12" s="304"/>
      <c r="DD12" s="304"/>
      <c r="DE12" s="304"/>
      <c r="DF12" s="304"/>
      <c r="DG12" s="304"/>
      <c r="DH12" s="304"/>
      <c r="DI12" s="304"/>
      <c r="DJ12" s="304"/>
      <c r="DK12" s="304"/>
      <c r="DL12" s="304"/>
      <c r="DM12" s="304"/>
      <c r="DN12" s="304"/>
      <c r="DO12" s="304"/>
      <c r="DP12" s="304"/>
      <c r="DQ12" s="304"/>
      <c r="DR12" s="304"/>
      <c r="DS12" s="304"/>
      <c r="DT12" s="304"/>
      <c r="DU12" s="304"/>
      <c r="DV12" s="304"/>
      <c r="DW12" s="304"/>
      <c r="DX12" s="304"/>
      <c r="DY12" s="304"/>
      <c r="DZ12" s="304"/>
      <c r="EA12" s="304"/>
      <c r="EB12" s="304"/>
      <c r="EC12" s="304"/>
      <c r="ED12" s="304"/>
      <c r="EE12" s="304"/>
      <c r="EF12" s="304"/>
      <c r="EG12" s="304"/>
      <c r="EH12" s="304"/>
      <c r="EI12" s="304"/>
      <c r="EJ12" s="304"/>
      <c r="EK12" s="304"/>
      <c r="EL12" s="304"/>
      <c r="EM12" s="304"/>
      <c r="EN12" s="304"/>
      <c r="EO12" s="304"/>
      <c r="EP12" s="304"/>
      <c r="EQ12" s="304"/>
      <c r="ER12" s="304"/>
      <c r="ES12" s="304"/>
      <c r="ET12" s="304"/>
      <c r="EU12" s="304"/>
      <c r="EV12" s="304"/>
      <c r="EW12" s="304"/>
      <c r="EX12" s="304"/>
      <c r="EY12" s="304"/>
      <c r="EZ12" s="304"/>
      <c r="FA12" s="304"/>
      <c r="FB12" s="304"/>
      <c r="FC12" s="304"/>
      <c r="FD12" s="304"/>
      <c r="FE12" s="304"/>
      <c r="FF12" s="304"/>
      <c r="FG12" s="304"/>
      <c r="FH12" s="304"/>
      <c r="FI12" s="304"/>
      <c r="FJ12" s="304"/>
      <c r="FK12" s="304"/>
      <c r="FL12" s="304"/>
      <c r="FM12" s="304"/>
      <c r="FN12" s="304"/>
      <c r="FO12" s="304"/>
      <c r="FP12" s="304"/>
      <c r="FQ12" s="304"/>
      <c r="FR12" s="304"/>
      <c r="FS12" s="304"/>
      <c r="FT12" s="304"/>
      <c r="FU12" s="304"/>
      <c r="FV12" s="304"/>
      <c r="FW12" s="304"/>
      <c r="FX12" s="304"/>
      <c r="FY12" s="304"/>
      <c r="FZ12" s="304"/>
      <c r="GA12" s="304"/>
      <c r="GB12" s="304"/>
      <c r="GC12" s="304"/>
      <c r="GD12" s="304"/>
      <c r="GE12" s="304"/>
      <c r="GF12" s="304"/>
      <c r="GG12" s="304"/>
      <c r="GH12" s="304"/>
      <c r="GI12" s="304"/>
      <c r="GJ12" s="304"/>
      <c r="GK12" s="304"/>
      <c r="GL12" s="304"/>
      <c r="GM12" s="304"/>
      <c r="GN12" s="304"/>
      <c r="GO12" s="304"/>
      <c r="GP12" s="304"/>
      <c r="GQ12" s="304"/>
      <c r="GR12" s="304"/>
      <c r="GS12" s="304"/>
      <c r="GT12" s="304"/>
      <c r="GU12" s="304"/>
      <c r="GV12" s="304"/>
      <c r="GW12" s="304"/>
      <c r="GX12" s="304"/>
      <c r="GY12" s="304"/>
      <c r="GZ12" s="304"/>
      <c r="HA12" s="304"/>
      <c r="HB12" s="304"/>
      <c r="HC12" s="304"/>
      <c r="HD12" s="304"/>
      <c r="HE12" s="304"/>
      <c r="HF12" s="304"/>
      <c r="HG12" s="304"/>
      <c r="HH12" s="304"/>
      <c r="HI12" s="304"/>
      <c r="HJ12" s="304"/>
      <c r="HK12" s="304"/>
      <c r="HL12" s="304"/>
      <c r="HM12" s="304"/>
      <c r="HN12" s="304"/>
      <c r="HO12" s="304"/>
      <c r="HP12" s="304"/>
      <c r="HQ12" s="304"/>
      <c r="HR12" s="304"/>
      <c r="HS12" s="304"/>
      <c r="HT12" s="304"/>
      <c r="HU12" s="304"/>
      <c r="HV12" s="304"/>
      <c r="HW12" s="304"/>
      <c r="HX12" s="304"/>
      <c r="HY12" s="304"/>
      <c r="HZ12" s="304"/>
      <c r="IA12" s="304"/>
      <c r="IB12" s="304"/>
      <c r="IC12" s="304"/>
      <c r="ID12" s="304"/>
      <c r="IE12" s="304"/>
      <c r="IF12" s="304"/>
      <c r="IG12" s="304"/>
      <c r="IH12" s="304"/>
      <c r="II12" s="304"/>
      <c r="IJ12" s="304"/>
      <c r="IK12" s="304"/>
      <c r="IL12" s="304"/>
      <c r="IM12" s="304"/>
      <c r="IN12" s="304"/>
      <c r="IO12" s="304"/>
      <c r="IP12" s="304"/>
      <c r="IQ12" s="304"/>
      <c r="IR12" s="304"/>
      <c r="IS12" s="304"/>
      <c r="IT12" s="304"/>
      <c r="IU12" s="304"/>
      <c r="IV12" s="304"/>
      <c r="IW12" s="304"/>
      <c r="IX12" s="304"/>
      <c r="IY12" s="304"/>
      <c r="IZ12" s="304"/>
      <c r="JA12" s="304"/>
      <c r="JB12" s="304"/>
      <c r="JC12" s="304"/>
      <c r="JD12" s="304"/>
      <c r="JE12" s="304"/>
      <c r="JF12" s="304"/>
      <c r="JG12" s="304"/>
      <c r="JH12" s="304"/>
      <c r="JI12" s="304"/>
      <c r="JJ12" s="304"/>
      <c r="JK12" s="304"/>
      <c r="JL12" s="304"/>
      <c r="JM12" s="304"/>
      <c r="JN12" s="304"/>
      <c r="JO12" s="304"/>
      <c r="JP12" s="304"/>
      <c r="JQ12" s="304"/>
      <c r="JR12" s="304"/>
      <c r="JS12" s="304"/>
      <c r="JT12" s="304"/>
      <c r="JU12" s="304"/>
      <c r="JV12" s="304"/>
      <c r="JW12" s="304"/>
      <c r="JX12" s="304"/>
      <c r="JY12" s="304"/>
      <c r="JZ12" s="304"/>
      <c r="KA12" s="304"/>
      <c r="KB12" s="304"/>
      <c r="KC12" s="304"/>
      <c r="KD12" s="304"/>
      <c r="KE12" s="304"/>
      <c r="KF12" s="304"/>
      <c r="KG12" s="304"/>
      <c r="KH12" s="304"/>
      <c r="KI12" s="304"/>
      <c r="KJ12" s="304"/>
      <c r="KK12" s="304"/>
      <c r="KL12" s="304"/>
      <c r="KM12" s="304"/>
      <c r="KN12" s="304"/>
      <c r="KO12" s="304"/>
      <c r="KP12" s="304"/>
      <c r="KQ12" s="304"/>
      <c r="KR12" s="304"/>
      <c r="KS12" s="304"/>
      <c r="KT12" s="304"/>
      <c r="KU12" s="304"/>
      <c r="KV12" s="304"/>
      <c r="KW12" s="304"/>
      <c r="KX12" s="304"/>
      <c r="KY12" s="304"/>
      <c r="KZ12" s="304"/>
      <c r="LA12" s="304"/>
      <c r="LB12" s="304"/>
      <c r="LC12" s="304"/>
      <c r="LD12" s="304"/>
      <c r="LE12" s="304"/>
      <c r="LF12" s="304"/>
      <c r="LG12" s="304"/>
      <c r="LH12" s="304"/>
      <c r="LI12" s="304"/>
      <c r="LJ12" s="304"/>
      <c r="LK12" s="304"/>
      <c r="LL12" s="304"/>
      <c r="LM12" s="304"/>
      <c r="LN12" s="304"/>
      <c r="LO12" s="304"/>
      <c r="LP12" s="304"/>
      <c r="LQ12" s="304"/>
      <c r="LR12" s="304"/>
      <c r="LS12" s="304"/>
      <c r="LT12" s="304"/>
      <c r="LU12" s="304"/>
      <c r="LV12" s="304"/>
      <c r="LW12" s="304"/>
      <c r="LX12" s="304"/>
      <c r="LY12" s="304"/>
      <c r="LZ12" s="304"/>
      <c r="MA12" s="304"/>
      <c r="MB12" s="304"/>
      <c r="MC12" s="304"/>
      <c r="MD12" s="304"/>
      <c r="ME12" s="304"/>
      <c r="MF12" s="304"/>
      <c r="MG12" s="304"/>
      <c r="MH12" s="304"/>
      <c r="MI12" s="304"/>
      <c r="MJ12" s="304"/>
      <c r="MK12" s="304"/>
      <c r="ML12" s="304"/>
      <c r="MM12" s="304"/>
      <c r="MN12" s="304"/>
      <c r="MO12" s="304"/>
      <c r="MP12" s="304"/>
      <c r="MQ12" s="304"/>
      <c r="MR12" s="304"/>
      <c r="MS12" s="304"/>
      <c r="MT12" s="304"/>
      <c r="MU12" s="304"/>
      <c r="MV12" s="304"/>
      <c r="MW12" s="304"/>
      <c r="MX12" s="304"/>
      <c r="MY12" s="304"/>
      <c r="MZ12" s="304"/>
      <c r="NA12" s="304"/>
      <c r="NB12" s="304"/>
      <c r="NC12" s="304"/>
      <c r="ND12" s="304"/>
      <c r="NE12" s="304"/>
      <c r="NF12" s="304"/>
      <c r="NG12" s="304"/>
      <c r="NH12" s="304"/>
      <c r="NI12" s="304"/>
      <c r="NJ12" s="304"/>
      <c r="NK12" s="304"/>
      <c r="NL12" s="304"/>
      <c r="NM12" s="304"/>
      <c r="NN12" s="304"/>
      <c r="NO12" s="304"/>
      <c r="NP12" s="304"/>
      <c r="NQ12" s="304"/>
      <c r="NR12" s="304"/>
      <c r="NS12" s="304"/>
      <c r="NT12" s="304"/>
      <c r="NU12" s="304"/>
      <c r="NV12" s="304"/>
      <c r="NW12" s="304"/>
      <c r="NX12" s="304"/>
      <c r="NY12" s="304"/>
      <c r="NZ12" s="304"/>
      <c r="OA12" s="304"/>
      <c r="OB12" s="304"/>
      <c r="OC12" s="304"/>
      <c r="OD12" s="304"/>
      <c r="OE12" s="304"/>
      <c r="OF12" s="304"/>
      <c r="OG12" s="304"/>
      <c r="OH12" s="304"/>
      <c r="OI12" s="304"/>
      <c r="OJ12" s="304"/>
      <c r="OK12" s="304"/>
      <c r="OL12" s="304"/>
      <c r="OM12" s="304"/>
      <c r="ON12" s="304"/>
      <c r="OO12" s="304"/>
      <c r="OP12" s="304"/>
      <c r="OQ12" s="304"/>
      <c r="OR12" s="304"/>
      <c r="OS12" s="304"/>
      <c r="OT12" s="304"/>
      <c r="OU12" s="304"/>
      <c r="OV12" s="304"/>
      <c r="OW12" s="304"/>
      <c r="OX12" s="304"/>
      <c r="OY12" s="304"/>
      <c r="OZ12" s="304"/>
      <c r="PA12" s="304"/>
      <c r="PB12" s="304"/>
      <c r="PC12" s="304"/>
      <c r="PD12" s="304"/>
      <c r="PE12" s="304"/>
      <c r="PF12" s="304"/>
      <c r="PG12" s="304"/>
      <c r="PH12" s="304"/>
      <c r="PI12" s="304"/>
      <c r="PJ12" s="304"/>
      <c r="PK12" s="304"/>
      <c r="PL12" s="304"/>
      <c r="PM12" s="304"/>
      <c r="PN12" s="304"/>
      <c r="PO12" s="304"/>
      <c r="PP12" s="304"/>
      <c r="PQ12" s="304"/>
      <c r="PR12" s="304"/>
      <c r="PS12" s="304"/>
      <c r="PT12" s="304"/>
      <c r="PU12" s="304"/>
      <c r="PV12" s="304"/>
      <c r="PW12" s="304"/>
      <c r="PX12" s="304"/>
      <c r="PY12" s="304"/>
      <c r="PZ12" s="304"/>
      <c r="QA12" s="304"/>
      <c r="QB12" s="304"/>
      <c r="QC12" s="304"/>
      <c r="QD12" s="304"/>
      <c r="QE12" s="304"/>
      <c r="QF12" s="304"/>
      <c r="QG12" s="304"/>
      <c r="QH12" s="304"/>
      <c r="QI12" s="304"/>
      <c r="QJ12" s="304"/>
      <c r="QK12" s="304"/>
      <c r="QL12" s="304"/>
      <c r="QM12" s="304"/>
      <c r="QN12" s="304"/>
      <c r="QO12" s="304"/>
      <c r="QP12" s="304"/>
      <c r="QQ12" s="304"/>
      <c r="QR12" s="304"/>
      <c r="QS12" s="304"/>
      <c r="QT12" s="304"/>
      <c r="QU12" s="304"/>
      <c r="QV12" s="304"/>
      <c r="QW12" s="304"/>
      <c r="QX12" s="304"/>
      <c r="QY12" s="304"/>
      <c r="QZ12" s="301"/>
    </row>
    <row r="13" spans="1:468" s="289" customFormat="1" ht="170.25" customHeight="1" x14ac:dyDescent="0.2">
      <c r="A13" s="701"/>
      <c r="B13" s="703"/>
      <c r="C13" s="705"/>
      <c r="D13" s="705"/>
      <c r="E13" s="707"/>
      <c r="F13" s="703"/>
      <c r="G13" s="709"/>
      <c r="H13" s="648"/>
      <c r="I13" s="646"/>
      <c r="J13" s="687"/>
      <c r="K13" s="317"/>
      <c r="L13" s="648"/>
      <c r="M13" s="646"/>
      <c r="N13" s="644"/>
      <c r="O13" s="333">
        <v>2</v>
      </c>
      <c r="P13" s="434" t="s">
        <v>612</v>
      </c>
      <c r="Q13" s="276" t="str">
        <f t="shared" ref="Q13" si="0">IF(OR(R13="Preventivo",R13="Detectivo"),"Probabilidad",IF(R13="Correctivo","Impacto",""))</f>
        <v>Probabilidad</v>
      </c>
      <c r="R13" s="277" t="s">
        <v>14</v>
      </c>
      <c r="S13" s="277" t="s">
        <v>9</v>
      </c>
      <c r="T13" s="278" t="str">
        <f t="shared" ref="T13" si="1">IF(AND(R13="Preventivo",S13="Automático"),"50%",IF(AND(R13="Preventivo",S13="Manual"),"40%",IF(AND(R13="Detectivo",S13="Automático"),"40%",IF(AND(R13="Detectivo",S13="Manual"),"30%",IF(AND(R13="Correctivo",S13="Automático"),"35%",IF(AND(R13="Correctivo",S13="Manual"),"25%",""))))))</f>
        <v>40%</v>
      </c>
      <c r="U13" s="329" t="s">
        <v>494</v>
      </c>
      <c r="V13" s="277" t="s">
        <v>22</v>
      </c>
      <c r="W13" s="277" t="s">
        <v>497</v>
      </c>
      <c r="X13" s="279">
        <f>IFERROR(IF(AND(Q12="Probabilidad",Q13="Probabilidad"),(Z12-(+Z12*T13)),IF(Q13="Probabilidad",(I12-(+I12*T13)),IF(Q13="Impacto",Z12,""))),"")</f>
        <v>0.216</v>
      </c>
      <c r="Y13" s="280" t="str">
        <f t="shared" ref="Y13" si="2">IFERROR(IF(X13="","",IF(X13&lt;=0.2,"Muy Baja",IF(X13&lt;=0.4,"Baja",IF(X13&lt;=0.6,"Media",IF(X13&lt;=0.8,"Alta","Muy Alta"))))),"")</f>
        <v>Baja</v>
      </c>
      <c r="Z13" s="278">
        <f t="shared" ref="Z13" si="3">+X13</f>
        <v>0.216</v>
      </c>
      <c r="AA13" s="280" t="str">
        <f>IFERROR(IF(AB13="","",IF(AB13&lt;=0.2,"Leve",IF(AB13&lt;=0.4,"Menor",IF(AB13&lt;=0.6,"Moderado",IF(AB13&lt;=0.8,"Mayor","Catastrófico"))))),"")</f>
        <v>Moderado</v>
      </c>
      <c r="AB13" s="278">
        <f>IFERROR(IF(AND(Q12="Impacto",Q13="Impacto"),(AB9-(+AB12*T13)),IF(Q13="Impacto",($M$12-(+$M$12*T13)),IF(Q13="Probabilidad",AB12,""))),"")</f>
        <v>0.6</v>
      </c>
      <c r="AC13" s="28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Moderado</v>
      </c>
      <c r="AD13" s="277" t="s">
        <v>30</v>
      </c>
      <c r="AE13" s="434" t="s">
        <v>631</v>
      </c>
      <c r="AF13" s="323" t="s">
        <v>632</v>
      </c>
      <c r="AG13" s="324">
        <v>45275</v>
      </c>
      <c r="AH13" s="1232"/>
      <c r="AI13" s="1232"/>
      <c r="AJ13" s="270"/>
      <c r="AK13" s="314"/>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c r="DG13" s="270"/>
      <c r="DH13" s="270"/>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c r="ER13" s="270"/>
      <c r="ES13" s="270"/>
      <c r="ET13" s="270"/>
      <c r="EU13" s="270"/>
      <c r="EV13" s="270"/>
      <c r="EW13" s="270"/>
      <c r="EX13" s="270"/>
      <c r="EY13" s="270"/>
      <c r="EZ13" s="270"/>
      <c r="FA13" s="270"/>
      <c r="FB13" s="270"/>
      <c r="FC13" s="270"/>
      <c r="FD13" s="270"/>
      <c r="FE13" s="270"/>
      <c r="FF13" s="270"/>
      <c r="FG13" s="270"/>
      <c r="FH13" s="270"/>
      <c r="FI13" s="270"/>
      <c r="FJ13" s="270"/>
      <c r="FK13" s="270"/>
      <c r="FL13" s="270"/>
      <c r="FM13" s="270"/>
      <c r="FN13" s="270"/>
      <c r="FO13" s="270"/>
      <c r="FP13" s="270"/>
      <c r="FQ13" s="270"/>
      <c r="FR13" s="270"/>
      <c r="FS13" s="270"/>
      <c r="FT13" s="270"/>
      <c r="FU13" s="270"/>
      <c r="FV13" s="270"/>
      <c r="FW13" s="270"/>
      <c r="FX13" s="270"/>
      <c r="FY13" s="270"/>
      <c r="FZ13" s="270"/>
      <c r="GA13" s="270"/>
      <c r="GB13" s="270"/>
      <c r="GC13" s="270"/>
      <c r="GD13" s="270"/>
      <c r="GE13" s="270"/>
      <c r="GF13" s="270"/>
      <c r="GG13" s="270"/>
      <c r="GH13" s="270"/>
      <c r="GI13" s="270"/>
      <c r="GJ13" s="270"/>
      <c r="GK13" s="270"/>
      <c r="GL13" s="270"/>
      <c r="GM13" s="270"/>
      <c r="GN13" s="270"/>
      <c r="GO13" s="270"/>
      <c r="GP13" s="270"/>
      <c r="GQ13" s="270"/>
      <c r="GR13" s="270"/>
      <c r="GS13" s="270"/>
      <c r="GT13" s="270"/>
      <c r="GU13" s="270"/>
      <c r="GV13" s="270"/>
      <c r="GW13" s="270"/>
      <c r="GX13" s="270"/>
      <c r="GY13" s="270"/>
      <c r="GZ13" s="270"/>
      <c r="HA13" s="270"/>
      <c r="HB13" s="270"/>
      <c r="HC13" s="270"/>
      <c r="HD13" s="270"/>
      <c r="HE13" s="270"/>
      <c r="HF13" s="270"/>
      <c r="HG13" s="270"/>
      <c r="HH13" s="270"/>
      <c r="HI13" s="270"/>
      <c r="HJ13" s="270"/>
      <c r="HK13" s="270"/>
      <c r="HL13" s="270"/>
      <c r="HM13" s="270"/>
      <c r="HN13" s="270"/>
      <c r="HO13" s="270"/>
      <c r="HP13" s="270"/>
      <c r="HQ13" s="270"/>
      <c r="HR13" s="270"/>
      <c r="HS13" s="270"/>
      <c r="HT13" s="270"/>
      <c r="HU13" s="270"/>
      <c r="HV13" s="270"/>
      <c r="HW13" s="270"/>
      <c r="HX13" s="270"/>
      <c r="HY13" s="270"/>
      <c r="HZ13" s="270"/>
      <c r="IA13" s="270"/>
      <c r="IB13" s="270"/>
      <c r="IC13" s="270"/>
      <c r="ID13" s="270"/>
      <c r="IE13" s="270"/>
      <c r="IF13" s="270"/>
      <c r="IG13" s="270"/>
      <c r="IH13" s="270"/>
      <c r="II13" s="270"/>
      <c r="IJ13" s="270"/>
      <c r="IK13" s="270"/>
      <c r="IL13" s="270"/>
      <c r="IM13" s="270"/>
      <c r="IN13" s="270"/>
      <c r="IO13" s="270"/>
      <c r="IP13" s="270"/>
      <c r="IQ13" s="270"/>
      <c r="IR13" s="270"/>
      <c r="IS13" s="270"/>
      <c r="IT13" s="270"/>
      <c r="IU13" s="270"/>
      <c r="IV13" s="270"/>
      <c r="IW13" s="270"/>
      <c r="IX13" s="270"/>
      <c r="IY13" s="270"/>
      <c r="IZ13" s="270"/>
      <c r="JA13" s="270"/>
      <c r="JB13" s="270"/>
      <c r="JC13" s="270"/>
      <c r="JD13" s="270"/>
      <c r="JE13" s="270"/>
      <c r="JF13" s="270"/>
      <c r="JG13" s="270"/>
      <c r="JH13" s="270"/>
      <c r="JI13" s="270"/>
      <c r="JJ13" s="270"/>
      <c r="JK13" s="270"/>
      <c r="JL13" s="270"/>
      <c r="JM13" s="270"/>
      <c r="JN13" s="270"/>
      <c r="JO13" s="270"/>
      <c r="JP13" s="270"/>
      <c r="JQ13" s="270"/>
      <c r="JR13" s="270"/>
      <c r="JS13" s="270"/>
      <c r="JT13" s="270"/>
      <c r="JU13" s="270"/>
      <c r="JV13" s="270"/>
      <c r="JW13" s="270"/>
      <c r="JX13" s="270"/>
      <c r="JY13" s="270"/>
      <c r="JZ13" s="270"/>
      <c r="KA13" s="270"/>
      <c r="KB13" s="270"/>
      <c r="KC13" s="270"/>
      <c r="KD13" s="270"/>
      <c r="KE13" s="270"/>
      <c r="KF13" s="270"/>
      <c r="KG13" s="270"/>
      <c r="KH13" s="270"/>
      <c r="KI13" s="270"/>
      <c r="KJ13" s="270"/>
      <c r="KK13" s="270"/>
      <c r="KL13" s="270"/>
      <c r="KM13" s="270"/>
      <c r="KN13" s="270"/>
      <c r="KO13" s="270"/>
      <c r="KP13" s="270"/>
      <c r="KQ13" s="270"/>
      <c r="KR13" s="270"/>
      <c r="KS13" s="270"/>
      <c r="KT13" s="270"/>
      <c r="KU13" s="270"/>
      <c r="KV13" s="270"/>
      <c r="KW13" s="270"/>
      <c r="KX13" s="270"/>
      <c r="KY13" s="270"/>
      <c r="KZ13" s="270"/>
      <c r="LA13" s="270"/>
      <c r="LB13" s="270"/>
      <c r="LC13" s="270"/>
      <c r="LD13" s="270"/>
      <c r="LE13" s="270"/>
      <c r="LF13" s="270"/>
      <c r="LG13" s="270"/>
      <c r="LH13" s="270"/>
      <c r="LI13" s="270"/>
      <c r="LJ13" s="270"/>
      <c r="LK13" s="270"/>
      <c r="LL13" s="270"/>
      <c r="LM13" s="270"/>
      <c r="LN13" s="270"/>
      <c r="LO13" s="270"/>
      <c r="LP13" s="270"/>
      <c r="LQ13" s="270"/>
      <c r="LR13" s="270"/>
      <c r="LS13" s="270"/>
      <c r="LT13" s="270"/>
      <c r="LU13" s="270"/>
      <c r="LV13" s="270"/>
      <c r="LW13" s="270"/>
      <c r="LX13" s="270"/>
      <c r="LY13" s="270"/>
      <c r="LZ13" s="270"/>
      <c r="MA13" s="270"/>
      <c r="MB13" s="270"/>
      <c r="MC13" s="270"/>
      <c r="MD13" s="270"/>
      <c r="ME13" s="270"/>
      <c r="MF13" s="270"/>
      <c r="MG13" s="270"/>
      <c r="MH13" s="270"/>
      <c r="MI13" s="270"/>
      <c r="MJ13" s="270"/>
      <c r="MK13" s="270"/>
      <c r="ML13" s="270"/>
      <c r="MM13" s="270"/>
      <c r="MN13" s="270"/>
      <c r="MO13" s="270"/>
      <c r="MP13" s="270"/>
      <c r="MQ13" s="270"/>
      <c r="MR13" s="270"/>
      <c r="MS13" s="270"/>
      <c r="MT13" s="270"/>
      <c r="MU13" s="270"/>
      <c r="MV13" s="270"/>
      <c r="MW13" s="270"/>
      <c r="MX13" s="270"/>
      <c r="MY13" s="270"/>
      <c r="MZ13" s="270"/>
      <c r="NA13" s="270"/>
      <c r="NB13" s="270"/>
      <c r="NC13" s="270"/>
      <c r="ND13" s="270"/>
      <c r="NE13" s="270"/>
      <c r="NF13" s="270"/>
      <c r="NG13" s="270"/>
      <c r="NH13" s="270"/>
      <c r="NI13" s="270"/>
      <c r="NJ13" s="270"/>
      <c r="NK13" s="270"/>
      <c r="NL13" s="270"/>
      <c r="NM13" s="270"/>
      <c r="NN13" s="270"/>
      <c r="NO13" s="270"/>
      <c r="NP13" s="270"/>
      <c r="NQ13" s="270"/>
      <c r="NR13" s="270"/>
      <c r="NS13" s="270"/>
      <c r="NT13" s="270"/>
      <c r="NU13" s="270"/>
      <c r="NV13" s="270"/>
      <c r="NW13" s="270"/>
      <c r="NX13" s="270"/>
      <c r="NY13" s="270"/>
      <c r="NZ13" s="270"/>
      <c r="OA13" s="270"/>
      <c r="OB13" s="270"/>
      <c r="OC13" s="270"/>
      <c r="OD13" s="270"/>
      <c r="OE13" s="270"/>
      <c r="OF13" s="270"/>
      <c r="OG13" s="270"/>
      <c r="OH13" s="270"/>
      <c r="OI13" s="270"/>
      <c r="OJ13" s="270"/>
      <c r="OK13" s="270"/>
      <c r="OL13" s="270"/>
      <c r="OM13" s="270"/>
      <c r="ON13" s="270"/>
      <c r="OO13" s="270"/>
      <c r="OP13" s="270"/>
      <c r="OQ13" s="270"/>
      <c r="OR13" s="270"/>
      <c r="OS13" s="270"/>
      <c r="OT13" s="270"/>
      <c r="OU13" s="270"/>
      <c r="OV13" s="270"/>
      <c r="OW13" s="270"/>
      <c r="OX13" s="270"/>
      <c r="OY13" s="270"/>
      <c r="OZ13" s="270"/>
      <c r="PA13" s="270"/>
      <c r="PB13" s="270"/>
      <c r="PC13" s="270"/>
      <c r="PD13" s="270"/>
      <c r="PE13" s="270"/>
      <c r="PF13" s="270"/>
      <c r="PG13" s="270"/>
      <c r="PH13" s="270"/>
      <c r="PI13" s="270"/>
      <c r="PJ13" s="270"/>
      <c r="PK13" s="270"/>
      <c r="PL13" s="270"/>
      <c r="PM13" s="270"/>
      <c r="PN13" s="270"/>
      <c r="PO13" s="270"/>
      <c r="PP13" s="270"/>
      <c r="PQ13" s="270"/>
      <c r="PR13" s="270"/>
      <c r="PS13" s="270"/>
      <c r="PT13" s="270"/>
      <c r="PU13" s="270"/>
      <c r="PV13" s="270"/>
      <c r="PW13" s="270"/>
      <c r="PX13" s="270"/>
      <c r="PY13" s="270"/>
      <c r="PZ13" s="270"/>
      <c r="QA13" s="270"/>
      <c r="QB13" s="270"/>
      <c r="QC13" s="270"/>
      <c r="QD13" s="270"/>
      <c r="QE13" s="270"/>
      <c r="QF13" s="270"/>
      <c r="QG13" s="270"/>
      <c r="QH13" s="270"/>
      <c r="QI13" s="270"/>
      <c r="QJ13" s="270"/>
      <c r="QK13" s="270"/>
      <c r="QL13" s="270"/>
      <c r="QM13" s="270"/>
      <c r="QN13" s="270"/>
      <c r="QO13" s="270"/>
      <c r="QP13" s="270"/>
      <c r="QQ13" s="270"/>
      <c r="QR13" s="270"/>
      <c r="QS13" s="270"/>
      <c r="QT13" s="270"/>
      <c r="QU13" s="270"/>
      <c r="QV13" s="270"/>
      <c r="QW13" s="270"/>
      <c r="QX13" s="270"/>
      <c r="QY13" s="270"/>
      <c r="QZ13" s="302"/>
    </row>
    <row r="14" spans="1:468" s="289" customFormat="1" ht="105" customHeight="1" x14ac:dyDescent="0.2">
      <c r="A14" s="670">
        <v>2</v>
      </c>
      <c r="B14" s="678"/>
      <c r="C14" s="678"/>
      <c r="D14" s="678"/>
      <c r="E14" s="678"/>
      <c r="F14" s="678"/>
      <c r="G14" s="666"/>
      <c r="H14" s="647" t="str">
        <f t="shared" ref="H14" si="4">IF(G14&lt;=0,"",IF(G14&lt;=2,"Muy Baja",IF(G14&lt;=24,"Baja",IF(G14&lt;=500,"Media",IF(G14&lt;=5000,"Alta","Muy Alta")))))</f>
        <v/>
      </c>
      <c r="I14" s="645" t="str">
        <f>IF(H14="","",IF(H14="Muy Baja",0.2,IF(H14="Baja",0.4,IF(H14="Media",0.6,IF(H14="Alta",0.8,IF(H14="Muy Alta",1,))))))</f>
        <v/>
      </c>
      <c r="J14" s="641"/>
      <c r="K14" s="682">
        <v>500</v>
      </c>
      <c r="L14" s="647" t="str">
        <f t="shared" ref="L14" si="5">IF(J14&lt;=0,"",IF(J14&lt;=10,"Leve",IF(J14&lt;=50,"Menor",IF(J14&lt;=100,"Moderado",IF(J14&lt;=500,"Mayor","Catastrófico")))))</f>
        <v/>
      </c>
      <c r="M14" s="645" t="str">
        <f>IF(L14="","",IF(L14="Leve",0.2,IF(L14="Menor",0.4,IF(L14="Moderado",0.6,IF(L14="Mayor",0.8,IF(L14="Catastrófico",1,))))))</f>
        <v/>
      </c>
      <c r="N14" s="643"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
      </c>
      <c r="O14" s="274">
        <v>1</v>
      </c>
      <c r="P14" s="330"/>
      <c r="Q14" s="276"/>
      <c r="R14" s="329"/>
      <c r="S14" s="277"/>
      <c r="T14" s="278"/>
      <c r="U14" s="277"/>
      <c r="V14" s="277"/>
      <c r="W14" s="277"/>
      <c r="X14" s="279" t="str">
        <f>IFERROR(IF(Q14="Probabilidad",(I14-(+I14*T14)),IF(Q14="Impacto",I14,"")),"")</f>
        <v/>
      </c>
      <c r="Y14" s="280" t="str">
        <f t="shared" ref="Y14:Y17" si="6">IFERROR(IF(X14="","",IF(X14&lt;=0.2,"Muy Baja",IF(X14&lt;=0.4,"Baja",IF(X14&lt;=0.6,"Media",IF(X14&lt;=0.8,"Alta","Muy Alta"))))),"")</f>
        <v/>
      </c>
      <c r="Z14" s="278" t="str">
        <f>+X14</f>
        <v/>
      </c>
      <c r="AA14" s="280" t="str">
        <f>IFERROR(IF(AB14="","",IF(AB14&lt;=0.2,"Leve",IF(AB14&lt;=0.4,"Menor",IF(AB14&lt;=0.6,"Moderado",IF(AB14&lt;=0.8,"Mayor","Catastrófico"))))),"")</f>
        <v/>
      </c>
      <c r="AB14" s="278" t="str">
        <f>IFERROR(IF(Q14="Impacto",(M14-(+M14*T14)),IF(Q14="Probabilidad",M14,"")),"")</f>
        <v/>
      </c>
      <c r="AC14" s="281" t="str">
        <f>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322"/>
      <c r="AE14" s="331"/>
      <c r="AF14" s="282"/>
      <c r="AG14" s="284"/>
      <c r="AH14" s="324"/>
      <c r="AI14" s="324"/>
      <c r="AJ14" s="270"/>
      <c r="AK14" s="270"/>
      <c r="AL14" s="270"/>
      <c r="AM14" s="270"/>
      <c r="AN14" s="315"/>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c r="CN14" s="270"/>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0"/>
      <c r="DL14" s="270"/>
      <c r="DM14" s="270"/>
      <c r="DN14" s="270"/>
      <c r="DO14" s="270"/>
      <c r="DP14" s="270"/>
      <c r="DQ14" s="270"/>
      <c r="DR14" s="270"/>
      <c r="DS14" s="270"/>
      <c r="DT14" s="270"/>
      <c r="DU14" s="270"/>
      <c r="DV14" s="270"/>
      <c r="DW14" s="270"/>
      <c r="DX14" s="270"/>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270"/>
      <c r="FT14" s="270"/>
      <c r="FU14" s="270"/>
      <c r="FV14" s="270"/>
      <c r="FW14" s="270"/>
      <c r="FX14" s="270"/>
      <c r="FY14" s="270"/>
      <c r="FZ14" s="270"/>
      <c r="GA14" s="270"/>
      <c r="GB14" s="270"/>
      <c r="GC14" s="270"/>
      <c r="GD14" s="270"/>
      <c r="GE14" s="270"/>
      <c r="GF14" s="270"/>
      <c r="GG14" s="270"/>
      <c r="GH14" s="270"/>
      <c r="GI14" s="270"/>
      <c r="GJ14" s="270"/>
      <c r="GK14" s="270"/>
      <c r="GL14" s="270"/>
      <c r="GM14" s="270"/>
      <c r="GN14" s="270"/>
      <c r="GO14" s="270"/>
      <c r="GP14" s="270"/>
      <c r="GQ14" s="270"/>
      <c r="GR14" s="270"/>
      <c r="GS14" s="270"/>
      <c r="GT14" s="270"/>
      <c r="GU14" s="270"/>
      <c r="GV14" s="270"/>
      <c r="GW14" s="270"/>
      <c r="GX14" s="270"/>
      <c r="GY14" s="270"/>
      <c r="GZ14" s="270"/>
      <c r="HA14" s="270"/>
      <c r="HB14" s="270"/>
      <c r="HC14" s="270"/>
      <c r="HD14" s="270"/>
      <c r="HE14" s="270"/>
      <c r="HF14" s="270"/>
      <c r="HG14" s="270"/>
      <c r="HH14" s="270"/>
      <c r="HI14" s="270"/>
      <c r="HJ14" s="270"/>
      <c r="HK14" s="270"/>
      <c r="HL14" s="270"/>
      <c r="HM14" s="270"/>
      <c r="HN14" s="270"/>
      <c r="HO14" s="270"/>
      <c r="HP14" s="270"/>
      <c r="HQ14" s="270"/>
      <c r="HR14" s="270"/>
      <c r="HS14" s="270"/>
      <c r="HT14" s="270"/>
      <c r="HU14" s="270"/>
      <c r="HV14" s="270"/>
      <c r="HW14" s="270"/>
      <c r="HX14" s="270"/>
      <c r="HY14" s="270"/>
      <c r="HZ14" s="270"/>
      <c r="IA14" s="270"/>
      <c r="IB14" s="270"/>
      <c r="IC14" s="270"/>
      <c r="ID14" s="270"/>
      <c r="IE14" s="270"/>
      <c r="IF14" s="270"/>
      <c r="IG14" s="270"/>
      <c r="IH14" s="270"/>
      <c r="II14" s="270"/>
      <c r="IJ14" s="270"/>
      <c r="IK14" s="270"/>
      <c r="IL14" s="270"/>
      <c r="IM14" s="270"/>
      <c r="IN14" s="270"/>
      <c r="IO14" s="270"/>
      <c r="IP14" s="270"/>
      <c r="IQ14" s="270"/>
      <c r="IR14" s="270"/>
      <c r="IS14" s="270"/>
      <c r="IT14" s="270"/>
      <c r="IU14" s="270"/>
      <c r="IV14" s="270"/>
      <c r="IW14" s="270"/>
      <c r="IX14" s="270"/>
      <c r="IY14" s="270"/>
      <c r="IZ14" s="270"/>
      <c r="JA14" s="270"/>
      <c r="JB14" s="270"/>
      <c r="JC14" s="270"/>
      <c r="JD14" s="270"/>
      <c r="JE14" s="270"/>
      <c r="JF14" s="270"/>
      <c r="JG14" s="270"/>
      <c r="JH14" s="270"/>
      <c r="JI14" s="270"/>
      <c r="JJ14" s="270"/>
      <c r="JK14" s="270"/>
      <c r="JL14" s="270"/>
      <c r="JM14" s="270"/>
      <c r="JN14" s="270"/>
      <c r="JO14" s="270"/>
      <c r="JP14" s="270"/>
      <c r="JQ14" s="270"/>
      <c r="JR14" s="270"/>
      <c r="JS14" s="270"/>
      <c r="JT14" s="270"/>
      <c r="JU14" s="270"/>
      <c r="JV14" s="270"/>
      <c r="JW14" s="270"/>
      <c r="JX14" s="270"/>
      <c r="JY14" s="270"/>
      <c r="JZ14" s="270"/>
      <c r="KA14" s="270"/>
      <c r="KB14" s="270"/>
      <c r="KC14" s="270"/>
      <c r="KD14" s="270"/>
      <c r="KE14" s="270"/>
      <c r="KF14" s="270"/>
      <c r="KG14" s="270"/>
      <c r="KH14" s="270"/>
      <c r="KI14" s="270"/>
      <c r="KJ14" s="270"/>
      <c r="KK14" s="270"/>
      <c r="KL14" s="270"/>
      <c r="KM14" s="270"/>
      <c r="KN14" s="270"/>
      <c r="KO14" s="270"/>
      <c r="KP14" s="270"/>
      <c r="KQ14" s="270"/>
      <c r="KR14" s="270"/>
      <c r="KS14" s="270"/>
      <c r="KT14" s="270"/>
      <c r="KU14" s="270"/>
      <c r="KV14" s="270"/>
      <c r="KW14" s="270"/>
      <c r="KX14" s="270"/>
      <c r="KY14" s="270"/>
      <c r="KZ14" s="270"/>
      <c r="LA14" s="270"/>
      <c r="LB14" s="270"/>
      <c r="LC14" s="270"/>
      <c r="LD14" s="270"/>
      <c r="LE14" s="270"/>
      <c r="LF14" s="270"/>
      <c r="LG14" s="270"/>
      <c r="LH14" s="270"/>
      <c r="LI14" s="270"/>
      <c r="LJ14" s="270"/>
      <c r="LK14" s="270"/>
      <c r="LL14" s="270"/>
      <c r="LM14" s="270"/>
      <c r="LN14" s="270"/>
      <c r="LO14" s="270"/>
      <c r="LP14" s="270"/>
      <c r="LQ14" s="270"/>
      <c r="LR14" s="270"/>
      <c r="LS14" s="270"/>
      <c r="LT14" s="270"/>
      <c r="LU14" s="270"/>
      <c r="LV14" s="270"/>
      <c r="LW14" s="270"/>
      <c r="LX14" s="270"/>
      <c r="LY14" s="270"/>
      <c r="LZ14" s="270"/>
      <c r="MA14" s="270"/>
      <c r="MB14" s="270"/>
      <c r="MC14" s="270"/>
      <c r="MD14" s="270"/>
      <c r="ME14" s="270"/>
      <c r="MF14" s="270"/>
      <c r="MG14" s="270"/>
      <c r="MH14" s="270"/>
      <c r="MI14" s="270"/>
      <c r="MJ14" s="270"/>
      <c r="MK14" s="270"/>
      <c r="ML14" s="270"/>
      <c r="MM14" s="270"/>
      <c r="MN14" s="270"/>
      <c r="MO14" s="270"/>
      <c r="MP14" s="270"/>
      <c r="MQ14" s="270"/>
      <c r="MR14" s="270"/>
      <c r="MS14" s="270"/>
      <c r="MT14" s="270"/>
      <c r="MU14" s="270"/>
      <c r="MV14" s="270"/>
      <c r="MW14" s="270"/>
      <c r="MX14" s="270"/>
      <c r="MY14" s="270"/>
      <c r="MZ14" s="270"/>
      <c r="NA14" s="270"/>
      <c r="NB14" s="270"/>
      <c r="NC14" s="270"/>
      <c r="ND14" s="270"/>
      <c r="NE14" s="270"/>
      <c r="NF14" s="270"/>
      <c r="NG14" s="270"/>
      <c r="NH14" s="270"/>
      <c r="NI14" s="270"/>
      <c r="NJ14" s="270"/>
      <c r="NK14" s="270"/>
      <c r="NL14" s="270"/>
      <c r="NM14" s="270"/>
      <c r="NN14" s="270"/>
      <c r="NO14" s="270"/>
      <c r="NP14" s="270"/>
      <c r="NQ14" s="270"/>
      <c r="NR14" s="270"/>
      <c r="NS14" s="270"/>
      <c r="NT14" s="270"/>
      <c r="NU14" s="270"/>
      <c r="NV14" s="270"/>
      <c r="NW14" s="270"/>
      <c r="NX14" s="270"/>
      <c r="NY14" s="270"/>
      <c r="NZ14" s="270"/>
      <c r="OA14" s="270"/>
      <c r="OB14" s="270"/>
      <c r="OC14" s="270"/>
      <c r="OD14" s="270"/>
      <c r="OE14" s="270"/>
      <c r="OF14" s="270"/>
      <c r="OG14" s="270"/>
      <c r="OH14" s="270"/>
      <c r="OI14" s="270"/>
      <c r="OJ14" s="270"/>
      <c r="OK14" s="270"/>
      <c r="OL14" s="270"/>
      <c r="OM14" s="270"/>
      <c r="ON14" s="270"/>
      <c r="OO14" s="270"/>
      <c r="OP14" s="270"/>
      <c r="OQ14" s="270"/>
      <c r="OR14" s="270"/>
      <c r="OS14" s="270"/>
      <c r="OT14" s="270"/>
      <c r="OU14" s="270"/>
      <c r="OV14" s="270"/>
      <c r="OW14" s="270"/>
      <c r="OX14" s="270"/>
      <c r="OY14" s="270"/>
      <c r="OZ14" s="270"/>
      <c r="PA14" s="270"/>
      <c r="PB14" s="270"/>
      <c r="PC14" s="270"/>
      <c r="PD14" s="270"/>
      <c r="PE14" s="270"/>
      <c r="PF14" s="270"/>
      <c r="PG14" s="270"/>
      <c r="PH14" s="270"/>
      <c r="PI14" s="270"/>
      <c r="PJ14" s="270"/>
      <c r="PK14" s="270"/>
      <c r="PL14" s="270"/>
      <c r="PM14" s="270"/>
      <c r="PN14" s="270"/>
      <c r="PO14" s="270"/>
      <c r="PP14" s="270"/>
      <c r="PQ14" s="270"/>
      <c r="PR14" s="270"/>
      <c r="PS14" s="270"/>
      <c r="PT14" s="270"/>
      <c r="PU14" s="270"/>
      <c r="PV14" s="270"/>
      <c r="PW14" s="270"/>
      <c r="PX14" s="270"/>
      <c r="PY14" s="270"/>
      <c r="PZ14" s="270"/>
      <c r="QA14" s="270"/>
      <c r="QB14" s="270"/>
      <c r="QC14" s="270"/>
      <c r="QD14" s="270"/>
      <c r="QE14" s="270"/>
      <c r="QF14" s="270"/>
      <c r="QG14" s="270"/>
      <c r="QH14" s="270"/>
      <c r="QI14" s="270"/>
      <c r="QJ14" s="270"/>
      <c r="QK14" s="270"/>
      <c r="QL14" s="270"/>
      <c r="QM14" s="270"/>
      <c r="QN14" s="270"/>
      <c r="QO14" s="270"/>
      <c r="QP14" s="270"/>
      <c r="QQ14" s="270"/>
      <c r="QR14" s="270"/>
      <c r="QS14" s="270"/>
      <c r="QT14" s="270"/>
      <c r="QU14" s="270"/>
      <c r="QV14" s="270"/>
      <c r="QW14" s="270"/>
      <c r="QX14" s="270"/>
      <c r="QY14" s="270"/>
      <c r="QZ14" s="302"/>
    </row>
    <row r="15" spans="1:468" s="289" customFormat="1" ht="99" customHeight="1" x14ac:dyDescent="0.2">
      <c r="A15" s="674"/>
      <c r="B15" s="679"/>
      <c r="C15" s="679"/>
      <c r="D15" s="679"/>
      <c r="E15" s="679"/>
      <c r="F15" s="679"/>
      <c r="G15" s="673"/>
      <c r="H15" s="648"/>
      <c r="I15" s="646"/>
      <c r="J15" s="698"/>
      <c r="K15" s="683"/>
      <c r="L15" s="648"/>
      <c r="M15" s="646"/>
      <c r="N15" s="644"/>
      <c r="O15" s="274">
        <v>2</v>
      </c>
      <c r="P15" s="330"/>
      <c r="Q15" s="276" t="str">
        <f t="shared" ref="Q15:Q31" si="7">IF(OR(R15="Preventivo",R15="Detectivo"),"Probabilidad",IF(R15="Correctivo","Impacto",""))</f>
        <v/>
      </c>
      <c r="R15" s="277"/>
      <c r="S15" s="277"/>
      <c r="T15" s="278" t="str">
        <f t="shared" ref="T15:T16" si="8">IF(AND(R15="Preventivo",S15="Automático"),"50%",IF(AND(R15="Preventivo",S15="Manual"),"40%",IF(AND(R15="Detectivo",S15="Automático"),"40%",IF(AND(R15="Detectivo",S15="Manual"),"30%",IF(AND(R15="Correctivo",S15="Automático"),"35%",IF(AND(R15="Correctivo",S15="Manual"),"25%",""))))))</f>
        <v/>
      </c>
      <c r="U15" s="277"/>
      <c r="V15" s="277"/>
      <c r="W15" s="277"/>
      <c r="X15" s="279" t="str">
        <f>IFERROR(IF(AND(Q14="Probabilidad",Q15="Probabilidad"),(Z14-(+Z14*T15)),IF(Q15="Probabilidad",(I14-(+I14*T15)),IF(Q15="Impacto",Z14,""))),"")</f>
        <v/>
      </c>
      <c r="Y15" s="280" t="str">
        <f t="shared" si="6"/>
        <v/>
      </c>
      <c r="Z15" s="278" t="str">
        <f>+X15</f>
        <v/>
      </c>
      <c r="AA15" s="280" t="str">
        <f t="shared" ref="AA15:AA31" si="9">IFERROR(IF(AB15="","",IF(AB15&lt;=0.2,"Leve",IF(AB15&lt;=0.4,"Menor",IF(AB15&lt;=0.6,"Moderado",IF(AB15&lt;=0.8,"Mayor","Catastrófico"))))),"")</f>
        <v/>
      </c>
      <c r="AB15" s="278" t="str">
        <f>IFERROR(IF(AND(Q14="Impacto",Q15="Impacto"),(AB12-(+AB12*T15)),IF(Q15="Impacto",($M$14-(+$M$14*T15)),IF(Q15="Probabilidad",AB12,""))),"")</f>
        <v/>
      </c>
      <c r="AC15" s="281" t="str">
        <f t="shared" ref="AC15" si="10">IFERROR(IF(OR(AND(Y15="Muy Baja",AA15="Leve"),AND(Y15="Muy Baja",AA15="Menor"),AND(Y15="Baja",AA15="Leve")),"Bajo",IF(OR(AND(Y15="Muy baja",AA15="Moderado"),AND(Y15="Baja",AA15="Menor"),AND(Y15="Baja",AA15="Moderado"),AND(Y15="Media",AA15="Leve"),AND(Y15="Media",AA15="Menor"),AND(Y15="Media",AA15="Moderado"),AND(Y15="Alta",AA15="Leve"),AND(Y15="Alta",AA15="Menor")),"Moderado",IF(OR(AND(Y15="Muy Baja",AA15="Mayor"),AND(Y15="Baja",AA15="Mayor"),AND(Y15="Media",AA15="Mayor"),AND(Y15="Alta",AA15="Moderado"),AND(Y15="Alta",AA15="Mayor"),AND(Y15="Muy Alta",AA15="Leve"),AND(Y15="Muy Alta",AA15="Menor"),AND(Y15="Muy Alta",AA15="Moderado"),AND(Y15="Muy Alta",AA15="Mayor")),"Alto",IF(OR(AND(Y15="Muy Baja",AA15="Catastrófico"),AND(Y15="Baja",AA15="Catastrófico"),AND(Y15="Media",AA15="Catastrófico"),AND(Y15="Alta",AA15="Catastrófico"),AND(Y15="Muy Alta",AA15="Catastrófico")),"Extremo","")))),"")</f>
        <v/>
      </c>
      <c r="AD15" s="322"/>
      <c r="AE15" s="323"/>
      <c r="AF15" s="282"/>
      <c r="AG15" s="284"/>
      <c r="AH15" s="324"/>
      <c r="AI15" s="324"/>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c r="CQ15" s="270"/>
      <c r="CR15" s="270"/>
      <c r="CS15" s="270"/>
      <c r="CT15" s="270"/>
      <c r="CU15" s="270"/>
      <c r="CV15" s="270"/>
      <c r="CW15" s="270"/>
      <c r="CX15" s="270"/>
      <c r="CY15" s="270"/>
      <c r="CZ15" s="270"/>
      <c r="DA15" s="270"/>
      <c r="DB15" s="270"/>
      <c r="DC15" s="270"/>
      <c r="DD15" s="270"/>
      <c r="DE15" s="270"/>
      <c r="DF15" s="270"/>
      <c r="DG15" s="270"/>
      <c r="DH15" s="270"/>
      <c r="DI15" s="270"/>
      <c r="DJ15" s="270"/>
      <c r="DK15" s="270"/>
      <c r="DL15" s="270"/>
      <c r="DM15" s="270"/>
      <c r="DN15" s="270"/>
      <c r="DO15" s="270"/>
      <c r="DP15" s="270"/>
      <c r="DQ15" s="270"/>
      <c r="DR15" s="270"/>
      <c r="DS15" s="270"/>
      <c r="DT15" s="270"/>
      <c r="DU15" s="270"/>
      <c r="DV15" s="270"/>
      <c r="DW15" s="270"/>
      <c r="DX15" s="270"/>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270"/>
      <c r="FT15" s="270"/>
      <c r="FU15" s="270"/>
      <c r="FV15" s="270"/>
      <c r="FW15" s="270"/>
      <c r="FX15" s="270"/>
      <c r="FY15" s="270"/>
      <c r="FZ15" s="270"/>
      <c r="GA15" s="270"/>
      <c r="GB15" s="270"/>
      <c r="GC15" s="270"/>
      <c r="GD15" s="270"/>
      <c r="GE15" s="270"/>
      <c r="GF15" s="270"/>
      <c r="GG15" s="270"/>
      <c r="GH15" s="270"/>
      <c r="GI15" s="270"/>
      <c r="GJ15" s="270"/>
      <c r="GK15" s="270"/>
      <c r="GL15" s="270"/>
      <c r="GM15" s="270"/>
      <c r="GN15" s="270"/>
      <c r="GO15" s="270"/>
      <c r="GP15" s="270"/>
      <c r="GQ15" s="270"/>
      <c r="GR15" s="270"/>
      <c r="GS15" s="270"/>
      <c r="GT15" s="270"/>
      <c r="GU15" s="270"/>
      <c r="GV15" s="270"/>
      <c r="GW15" s="270"/>
      <c r="GX15" s="270"/>
      <c r="GY15" s="270"/>
      <c r="GZ15" s="270"/>
      <c r="HA15" s="270"/>
      <c r="HB15" s="270"/>
      <c r="HC15" s="270"/>
      <c r="HD15" s="270"/>
      <c r="HE15" s="270"/>
      <c r="HF15" s="270"/>
      <c r="HG15" s="270"/>
      <c r="HH15" s="270"/>
      <c r="HI15" s="270"/>
      <c r="HJ15" s="270"/>
      <c r="HK15" s="270"/>
      <c r="HL15" s="270"/>
      <c r="HM15" s="270"/>
      <c r="HN15" s="270"/>
      <c r="HO15" s="270"/>
      <c r="HP15" s="270"/>
      <c r="HQ15" s="270"/>
      <c r="HR15" s="270"/>
      <c r="HS15" s="270"/>
      <c r="HT15" s="270"/>
      <c r="HU15" s="270"/>
      <c r="HV15" s="270"/>
      <c r="HW15" s="270"/>
      <c r="HX15" s="270"/>
      <c r="HY15" s="270"/>
      <c r="HZ15" s="270"/>
      <c r="IA15" s="270"/>
      <c r="IB15" s="270"/>
      <c r="IC15" s="270"/>
      <c r="ID15" s="270"/>
      <c r="IE15" s="270"/>
      <c r="IF15" s="270"/>
      <c r="IG15" s="270"/>
      <c r="IH15" s="270"/>
      <c r="II15" s="270"/>
      <c r="IJ15" s="270"/>
      <c r="IK15" s="270"/>
      <c r="IL15" s="270"/>
      <c r="IM15" s="270"/>
      <c r="IN15" s="270"/>
      <c r="IO15" s="270"/>
      <c r="IP15" s="270"/>
      <c r="IQ15" s="270"/>
      <c r="IR15" s="270"/>
      <c r="IS15" s="270"/>
      <c r="IT15" s="270"/>
      <c r="IU15" s="270"/>
      <c r="IV15" s="270"/>
      <c r="IW15" s="270"/>
      <c r="IX15" s="270"/>
      <c r="IY15" s="270"/>
      <c r="IZ15" s="270"/>
      <c r="JA15" s="270"/>
      <c r="JB15" s="270"/>
      <c r="JC15" s="270"/>
      <c r="JD15" s="270"/>
      <c r="JE15" s="270"/>
      <c r="JF15" s="270"/>
      <c r="JG15" s="270"/>
      <c r="JH15" s="270"/>
      <c r="JI15" s="270"/>
      <c r="JJ15" s="270"/>
      <c r="JK15" s="270"/>
      <c r="JL15" s="270"/>
      <c r="JM15" s="270"/>
      <c r="JN15" s="270"/>
      <c r="JO15" s="270"/>
      <c r="JP15" s="270"/>
      <c r="JQ15" s="270"/>
      <c r="JR15" s="270"/>
      <c r="JS15" s="270"/>
      <c r="JT15" s="270"/>
      <c r="JU15" s="270"/>
      <c r="JV15" s="270"/>
      <c r="JW15" s="270"/>
      <c r="JX15" s="270"/>
      <c r="JY15" s="270"/>
      <c r="JZ15" s="270"/>
      <c r="KA15" s="270"/>
      <c r="KB15" s="270"/>
      <c r="KC15" s="270"/>
      <c r="KD15" s="270"/>
      <c r="KE15" s="270"/>
      <c r="KF15" s="270"/>
      <c r="KG15" s="270"/>
      <c r="KH15" s="270"/>
      <c r="KI15" s="270"/>
      <c r="KJ15" s="270"/>
      <c r="KK15" s="270"/>
      <c r="KL15" s="270"/>
      <c r="KM15" s="270"/>
      <c r="KN15" s="270"/>
      <c r="KO15" s="270"/>
      <c r="KP15" s="270"/>
      <c r="KQ15" s="270"/>
      <c r="KR15" s="270"/>
      <c r="KS15" s="270"/>
      <c r="KT15" s="270"/>
      <c r="KU15" s="270"/>
      <c r="KV15" s="270"/>
      <c r="KW15" s="270"/>
      <c r="KX15" s="270"/>
      <c r="KY15" s="270"/>
      <c r="KZ15" s="270"/>
      <c r="LA15" s="270"/>
      <c r="LB15" s="270"/>
      <c r="LC15" s="270"/>
      <c r="LD15" s="270"/>
      <c r="LE15" s="270"/>
      <c r="LF15" s="270"/>
      <c r="LG15" s="270"/>
      <c r="LH15" s="270"/>
      <c r="LI15" s="270"/>
      <c r="LJ15" s="270"/>
      <c r="LK15" s="270"/>
      <c r="LL15" s="270"/>
      <c r="LM15" s="270"/>
      <c r="LN15" s="270"/>
      <c r="LO15" s="270"/>
      <c r="LP15" s="270"/>
      <c r="LQ15" s="270"/>
      <c r="LR15" s="270"/>
      <c r="LS15" s="270"/>
      <c r="LT15" s="270"/>
      <c r="LU15" s="270"/>
      <c r="LV15" s="270"/>
      <c r="LW15" s="270"/>
      <c r="LX15" s="270"/>
      <c r="LY15" s="270"/>
      <c r="LZ15" s="270"/>
      <c r="MA15" s="270"/>
      <c r="MB15" s="270"/>
      <c r="MC15" s="270"/>
      <c r="MD15" s="270"/>
      <c r="ME15" s="270"/>
      <c r="MF15" s="270"/>
      <c r="MG15" s="270"/>
      <c r="MH15" s="270"/>
      <c r="MI15" s="270"/>
      <c r="MJ15" s="270"/>
      <c r="MK15" s="270"/>
      <c r="ML15" s="270"/>
      <c r="MM15" s="270"/>
      <c r="MN15" s="270"/>
      <c r="MO15" s="270"/>
      <c r="MP15" s="270"/>
      <c r="MQ15" s="270"/>
      <c r="MR15" s="270"/>
      <c r="MS15" s="270"/>
      <c r="MT15" s="270"/>
      <c r="MU15" s="270"/>
      <c r="MV15" s="270"/>
      <c r="MW15" s="270"/>
      <c r="MX15" s="270"/>
      <c r="MY15" s="270"/>
      <c r="MZ15" s="270"/>
      <c r="NA15" s="270"/>
      <c r="NB15" s="270"/>
      <c r="NC15" s="270"/>
      <c r="ND15" s="270"/>
      <c r="NE15" s="270"/>
      <c r="NF15" s="270"/>
      <c r="NG15" s="270"/>
      <c r="NH15" s="270"/>
      <c r="NI15" s="270"/>
      <c r="NJ15" s="270"/>
      <c r="NK15" s="270"/>
      <c r="NL15" s="270"/>
      <c r="NM15" s="270"/>
      <c r="NN15" s="270"/>
      <c r="NO15" s="270"/>
      <c r="NP15" s="270"/>
      <c r="NQ15" s="270"/>
      <c r="NR15" s="270"/>
      <c r="NS15" s="270"/>
      <c r="NT15" s="270"/>
      <c r="NU15" s="270"/>
      <c r="NV15" s="270"/>
      <c r="NW15" s="270"/>
      <c r="NX15" s="270"/>
      <c r="NY15" s="270"/>
      <c r="NZ15" s="270"/>
      <c r="OA15" s="270"/>
      <c r="OB15" s="270"/>
      <c r="OC15" s="270"/>
      <c r="OD15" s="270"/>
      <c r="OE15" s="270"/>
      <c r="OF15" s="270"/>
      <c r="OG15" s="270"/>
      <c r="OH15" s="270"/>
      <c r="OI15" s="270"/>
      <c r="OJ15" s="270"/>
      <c r="OK15" s="270"/>
      <c r="OL15" s="270"/>
      <c r="OM15" s="270"/>
      <c r="ON15" s="270"/>
      <c r="OO15" s="270"/>
      <c r="OP15" s="270"/>
      <c r="OQ15" s="270"/>
      <c r="OR15" s="270"/>
      <c r="OS15" s="270"/>
      <c r="OT15" s="270"/>
      <c r="OU15" s="270"/>
      <c r="OV15" s="270"/>
      <c r="OW15" s="270"/>
      <c r="OX15" s="270"/>
      <c r="OY15" s="270"/>
      <c r="OZ15" s="270"/>
      <c r="PA15" s="270"/>
      <c r="PB15" s="270"/>
      <c r="PC15" s="270"/>
      <c r="PD15" s="270"/>
      <c r="PE15" s="270"/>
      <c r="PF15" s="270"/>
      <c r="PG15" s="270"/>
      <c r="PH15" s="270"/>
      <c r="PI15" s="270"/>
      <c r="PJ15" s="270"/>
      <c r="PK15" s="270"/>
      <c r="PL15" s="270"/>
      <c r="PM15" s="270"/>
      <c r="PN15" s="270"/>
      <c r="PO15" s="270"/>
      <c r="PP15" s="270"/>
      <c r="PQ15" s="270"/>
      <c r="PR15" s="270"/>
      <c r="PS15" s="270"/>
      <c r="PT15" s="270"/>
      <c r="PU15" s="270"/>
      <c r="PV15" s="270"/>
      <c r="PW15" s="270"/>
      <c r="PX15" s="270"/>
      <c r="PY15" s="270"/>
      <c r="PZ15" s="270"/>
      <c r="QA15" s="270"/>
      <c r="QB15" s="270"/>
      <c r="QC15" s="270"/>
      <c r="QD15" s="270"/>
      <c r="QE15" s="270"/>
      <c r="QF15" s="270"/>
      <c r="QG15" s="270"/>
      <c r="QH15" s="270"/>
      <c r="QI15" s="270"/>
      <c r="QJ15" s="270"/>
      <c r="QK15" s="270"/>
      <c r="QL15" s="270"/>
      <c r="QM15" s="270"/>
      <c r="QN15" s="270"/>
      <c r="QO15" s="270"/>
      <c r="QP15" s="270"/>
      <c r="QQ15" s="270"/>
      <c r="QR15" s="270"/>
      <c r="QS15" s="270"/>
      <c r="QT15" s="270"/>
      <c r="QU15" s="270"/>
      <c r="QV15" s="270"/>
      <c r="QW15" s="270"/>
      <c r="QX15" s="270"/>
      <c r="QY15" s="270"/>
      <c r="QZ15" s="302"/>
    </row>
    <row r="16" spans="1:468" s="289" customFormat="1" ht="108.75" customHeight="1" x14ac:dyDescent="0.2">
      <c r="A16" s="671"/>
      <c r="B16" s="685"/>
      <c r="C16" s="685"/>
      <c r="D16" s="685"/>
      <c r="E16" s="685"/>
      <c r="F16" s="685"/>
      <c r="G16" s="667"/>
      <c r="H16" s="697"/>
      <c r="I16" s="681"/>
      <c r="J16" s="699"/>
      <c r="K16" s="684"/>
      <c r="L16" s="697"/>
      <c r="M16" s="681"/>
      <c r="N16" s="696"/>
      <c r="O16" s="274">
        <v>3</v>
      </c>
      <c r="P16" s="330"/>
      <c r="Q16" s="276" t="str">
        <f t="shared" si="7"/>
        <v/>
      </c>
      <c r="R16" s="329"/>
      <c r="S16" s="277"/>
      <c r="T16" s="278" t="str">
        <f t="shared" si="8"/>
        <v/>
      </c>
      <c r="U16" s="277"/>
      <c r="V16" s="277"/>
      <c r="W16" s="277"/>
      <c r="X16" s="279" t="str">
        <f>IFERROR(IF(AND(Q15="Probabilidad",Q16="Probabilidad"),(Z15-(+Z15*T16)),IF(Q16="Probabilidad",(I15-(+I15*T16)),IF(Q16="Impacto",Z15,""))),"")</f>
        <v/>
      </c>
      <c r="Y16" s="280" t="str">
        <f t="shared" si="6"/>
        <v/>
      </c>
      <c r="Z16" s="278" t="str">
        <f>+X16</f>
        <v/>
      </c>
      <c r="AA16" s="280" t="str">
        <f t="shared" ref="AA16" si="11">IFERROR(IF(AB16="","",IF(AB16&lt;=0.2,"Leve",IF(AB16&lt;=0.4,"Menor",IF(AB16&lt;=0.6,"Moderado",IF(AB16&lt;=0.8,"Mayor","Catastrófico"))))),"")</f>
        <v/>
      </c>
      <c r="AB16" s="278" t="str">
        <f>IFERROR(IF(AND(Q15="Impacto",Q16="Impacto"),(AB13-(+AB13*T16)),IF(Q16="Impacto",($M$14-(+$M$14*T16)),IF(Q16="Probabilidad",AB13,""))),"")</f>
        <v/>
      </c>
      <c r="AC16" s="281" t="str">
        <f t="shared" ref="AC16" si="12">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322"/>
      <c r="AE16" s="282"/>
      <c r="AF16" s="282"/>
      <c r="AG16" s="284"/>
      <c r="AH16" s="284"/>
      <c r="AI16" s="284"/>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270"/>
      <c r="CX16" s="270"/>
      <c r="CY16" s="270"/>
      <c r="CZ16" s="270"/>
      <c r="DA16" s="270"/>
      <c r="DB16" s="270"/>
      <c r="DC16" s="270"/>
      <c r="DD16" s="270"/>
      <c r="DE16" s="270"/>
      <c r="DF16" s="270"/>
      <c r="DG16" s="270"/>
      <c r="DH16" s="270"/>
      <c r="DI16" s="270"/>
      <c r="DJ16" s="270"/>
      <c r="DK16" s="270"/>
      <c r="DL16" s="270"/>
      <c r="DM16" s="270"/>
      <c r="DN16" s="270"/>
      <c r="DO16" s="270"/>
      <c r="DP16" s="270"/>
      <c r="DQ16" s="270"/>
      <c r="DR16" s="270"/>
      <c r="DS16" s="270"/>
      <c r="DT16" s="270"/>
      <c r="DU16" s="270"/>
      <c r="DV16" s="270"/>
      <c r="DW16" s="270"/>
      <c r="DX16" s="270"/>
      <c r="DY16" s="270"/>
      <c r="DZ16" s="270"/>
      <c r="EA16" s="270"/>
      <c r="EB16" s="270"/>
      <c r="EC16" s="270"/>
      <c r="ED16" s="270"/>
      <c r="EE16" s="270"/>
      <c r="EF16" s="270"/>
      <c r="EG16" s="270"/>
      <c r="EH16" s="270"/>
      <c r="EI16" s="270"/>
      <c r="EJ16" s="270"/>
      <c r="EK16" s="270"/>
      <c r="EL16" s="270"/>
      <c r="EM16" s="270"/>
      <c r="EN16" s="270"/>
      <c r="EO16" s="270"/>
      <c r="EP16" s="270"/>
      <c r="EQ16" s="270"/>
      <c r="ER16" s="270"/>
      <c r="ES16" s="270"/>
      <c r="ET16" s="270"/>
      <c r="EU16" s="270"/>
      <c r="EV16" s="270"/>
      <c r="EW16" s="270"/>
      <c r="EX16" s="270"/>
      <c r="EY16" s="270"/>
      <c r="EZ16" s="270"/>
      <c r="FA16" s="270"/>
      <c r="FB16" s="270"/>
      <c r="FC16" s="270"/>
      <c r="FD16" s="270"/>
      <c r="FE16" s="270"/>
      <c r="FF16" s="270"/>
      <c r="FG16" s="270"/>
      <c r="FH16" s="270"/>
      <c r="FI16" s="270"/>
      <c r="FJ16" s="270"/>
      <c r="FK16" s="270"/>
      <c r="FL16" s="270"/>
      <c r="FM16" s="270"/>
      <c r="FN16" s="270"/>
      <c r="FO16" s="270"/>
      <c r="FP16" s="270"/>
      <c r="FQ16" s="270"/>
      <c r="FR16" s="270"/>
      <c r="FS16" s="270"/>
      <c r="FT16" s="270"/>
      <c r="FU16" s="270"/>
      <c r="FV16" s="270"/>
      <c r="FW16" s="270"/>
      <c r="FX16" s="270"/>
      <c r="FY16" s="270"/>
      <c r="FZ16" s="270"/>
      <c r="GA16" s="270"/>
      <c r="GB16" s="270"/>
      <c r="GC16" s="270"/>
      <c r="GD16" s="270"/>
      <c r="GE16" s="270"/>
      <c r="GF16" s="270"/>
      <c r="GG16" s="270"/>
      <c r="GH16" s="270"/>
      <c r="GI16" s="270"/>
      <c r="GJ16" s="270"/>
      <c r="GK16" s="270"/>
      <c r="GL16" s="270"/>
      <c r="GM16" s="270"/>
      <c r="GN16" s="270"/>
      <c r="GO16" s="270"/>
      <c r="GP16" s="270"/>
      <c r="GQ16" s="270"/>
      <c r="GR16" s="270"/>
      <c r="GS16" s="270"/>
      <c r="GT16" s="270"/>
      <c r="GU16" s="270"/>
      <c r="GV16" s="270"/>
      <c r="GW16" s="270"/>
      <c r="GX16" s="270"/>
      <c r="GY16" s="270"/>
      <c r="GZ16" s="270"/>
      <c r="HA16" s="270"/>
      <c r="HB16" s="270"/>
      <c r="HC16" s="270"/>
      <c r="HD16" s="270"/>
      <c r="HE16" s="270"/>
      <c r="HF16" s="270"/>
      <c r="HG16" s="270"/>
      <c r="HH16" s="270"/>
      <c r="HI16" s="270"/>
      <c r="HJ16" s="270"/>
      <c r="HK16" s="270"/>
      <c r="HL16" s="270"/>
      <c r="HM16" s="270"/>
      <c r="HN16" s="270"/>
      <c r="HO16" s="270"/>
      <c r="HP16" s="270"/>
      <c r="HQ16" s="270"/>
      <c r="HR16" s="270"/>
      <c r="HS16" s="270"/>
      <c r="HT16" s="270"/>
      <c r="HU16" s="270"/>
      <c r="HV16" s="270"/>
      <c r="HW16" s="270"/>
      <c r="HX16" s="270"/>
      <c r="HY16" s="270"/>
      <c r="HZ16" s="270"/>
      <c r="IA16" s="270"/>
      <c r="IB16" s="270"/>
      <c r="IC16" s="270"/>
      <c r="ID16" s="270"/>
      <c r="IE16" s="270"/>
      <c r="IF16" s="270"/>
      <c r="IG16" s="270"/>
      <c r="IH16" s="270"/>
      <c r="II16" s="270"/>
      <c r="IJ16" s="270"/>
      <c r="IK16" s="270"/>
      <c r="IL16" s="270"/>
      <c r="IM16" s="270"/>
      <c r="IN16" s="270"/>
      <c r="IO16" s="270"/>
      <c r="IP16" s="270"/>
      <c r="IQ16" s="270"/>
      <c r="IR16" s="270"/>
      <c r="IS16" s="270"/>
      <c r="IT16" s="270"/>
      <c r="IU16" s="270"/>
      <c r="IV16" s="270"/>
      <c r="IW16" s="270"/>
      <c r="IX16" s="270"/>
      <c r="IY16" s="270"/>
      <c r="IZ16" s="270"/>
      <c r="JA16" s="270"/>
      <c r="JB16" s="270"/>
      <c r="JC16" s="270"/>
      <c r="JD16" s="270"/>
      <c r="JE16" s="270"/>
      <c r="JF16" s="270"/>
      <c r="JG16" s="270"/>
      <c r="JH16" s="270"/>
      <c r="JI16" s="270"/>
      <c r="JJ16" s="270"/>
      <c r="JK16" s="270"/>
      <c r="JL16" s="270"/>
      <c r="JM16" s="270"/>
      <c r="JN16" s="270"/>
      <c r="JO16" s="270"/>
      <c r="JP16" s="270"/>
      <c r="JQ16" s="270"/>
      <c r="JR16" s="270"/>
      <c r="JS16" s="270"/>
      <c r="JT16" s="270"/>
      <c r="JU16" s="270"/>
      <c r="JV16" s="270"/>
      <c r="JW16" s="270"/>
      <c r="JX16" s="270"/>
      <c r="JY16" s="270"/>
      <c r="JZ16" s="270"/>
      <c r="KA16" s="270"/>
      <c r="KB16" s="270"/>
      <c r="KC16" s="270"/>
      <c r="KD16" s="270"/>
      <c r="KE16" s="270"/>
      <c r="KF16" s="270"/>
      <c r="KG16" s="270"/>
      <c r="KH16" s="270"/>
      <c r="KI16" s="270"/>
      <c r="KJ16" s="270"/>
      <c r="KK16" s="270"/>
      <c r="KL16" s="270"/>
      <c r="KM16" s="270"/>
      <c r="KN16" s="270"/>
      <c r="KO16" s="270"/>
      <c r="KP16" s="270"/>
      <c r="KQ16" s="270"/>
      <c r="KR16" s="270"/>
      <c r="KS16" s="270"/>
      <c r="KT16" s="270"/>
      <c r="KU16" s="270"/>
      <c r="KV16" s="270"/>
      <c r="KW16" s="270"/>
      <c r="KX16" s="270"/>
      <c r="KY16" s="270"/>
      <c r="KZ16" s="270"/>
      <c r="LA16" s="270"/>
      <c r="LB16" s="270"/>
      <c r="LC16" s="270"/>
      <c r="LD16" s="270"/>
      <c r="LE16" s="270"/>
      <c r="LF16" s="270"/>
      <c r="LG16" s="270"/>
      <c r="LH16" s="270"/>
      <c r="LI16" s="270"/>
      <c r="LJ16" s="270"/>
      <c r="LK16" s="270"/>
      <c r="LL16" s="270"/>
      <c r="LM16" s="270"/>
      <c r="LN16" s="270"/>
      <c r="LO16" s="270"/>
      <c r="LP16" s="270"/>
      <c r="LQ16" s="270"/>
      <c r="LR16" s="270"/>
      <c r="LS16" s="270"/>
      <c r="LT16" s="270"/>
      <c r="LU16" s="270"/>
      <c r="LV16" s="270"/>
      <c r="LW16" s="270"/>
      <c r="LX16" s="270"/>
      <c r="LY16" s="270"/>
      <c r="LZ16" s="270"/>
      <c r="MA16" s="270"/>
      <c r="MB16" s="270"/>
      <c r="MC16" s="270"/>
      <c r="MD16" s="270"/>
      <c r="ME16" s="270"/>
      <c r="MF16" s="270"/>
      <c r="MG16" s="270"/>
      <c r="MH16" s="270"/>
      <c r="MI16" s="270"/>
      <c r="MJ16" s="270"/>
      <c r="MK16" s="270"/>
      <c r="ML16" s="270"/>
      <c r="MM16" s="270"/>
      <c r="MN16" s="270"/>
      <c r="MO16" s="270"/>
      <c r="MP16" s="270"/>
      <c r="MQ16" s="270"/>
      <c r="MR16" s="270"/>
      <c r="MS16" s="270"/>
      <c r="MT16" s="270"/>
      <c r="MU16" s="270"/>
      <c r="MV16" s="270"/>
      <c r="MW16" s="270"/>
      <c r="MX16" s="270"/>
      <c r="MY16" s="270"/>
      <c r="MZ16" s="270"/>
      <c r="NA16" s="270"/>
      <c r="NB16" s="270"/>
      <c r="NC16" s="270"/>
      <c r="ND16" s="270"/>
      <c r="NE16" s="270"/>
      <c r="NF16" s="270"/>
      <c r="NG16" s="270"/>
      <c r="NH16" s="270"/>
      <c r="NI16" s="270"/>
      <c r="NJ16" s="270"/>
      <c r="NK16" s="270"/>
      <c r="NL16" s="270"/>
      <c r="NM16" s="270"/>
      <c r="NN16" s="270"/>
      <c r="NO16" s="270"/>
      <c r="NP16" s="270"/>
      <c r="NQ16" s="270"/>
      <c r="NR16" s="270"/>
      <c r="NS16" s="270"/>
      <c r="NT16" s="270"/>
      <c r="NU16" s="270"/>
      <c r="NV16" s="270"/>
      <c r="NW16" s="270"/>
      <c r="NX16" s="270"/>
      <c r="NY16" s="270"/>
      <c r="NZ16" s="270"/>
      <c r="OA16" s="270"/>
      <c r="OB16" s="270"/>
      <c r="OC16" s="270"/>
      <c r="OD16" s="270"/>
      <c r="OE16" s="270"/>
      <c r="OF16" s="270"/>
      <c r="OG16" s="270"/>
      <c r="OH16" s="270"/>
      <c r="OI16" s="270"/>
      <c r="OJ16" s="270"/>
      <c r="OK16" s="270"/>
      <c r="OL16" s="270"/>
      <c r="OM16" s="270"/>
      <c r="ON16" s="270"/>
      <c r="OO16" s="270"/>
      <c r="OP16" s="270"/>
      <c r="OQ16" s="270"/>
      <c r="OR16" s="270"/>
      <c r="OS16" s="270"/>
      <c r="OT16" s="270"/>
      <c r="OU16" s="270"/>
      <c r="OV16" s="270"/>
      <c r="OW16" s="270"/>
      <c r="OX16" s="270"/>
      <c r="OY16" s="270"/>
      <c r="OZ16" s="270"/>
      <c r="PA16" s="270"/>
      <c r="PB16" s="270"/>
      <c r="PC16" s="270"/>
      <c r="PD16" s="270"/>
      <c r="PE16" s="270"/>
      <c r="PF16" s="270"/>
      <c r="PG16" s="270"/>
      <c r="PH16" s="270"/>
      <c r="PI16" s="270"/>
      <c r="PJ16" s="270"/>
      <c r="PK16" s="270"/>
      <c r="PL16" s="270"/>
      <c r="PM16" s="270"/>
      <c r="PN16" s="270"/>
      <c r="PO16" s="270"/>
      <c r="PP16" s="270"/>
      <c r="PQ16" s="270"/>
      <c r="PR16" s="270"/>
      <c r="PS16" s="270"/>
      <c r="PT16" s="270"/>
      <c r="PU16" s="270"/>
      <c r="PV16" s="270"/>
      <c r="PW16" s="270"/>
      <c r="PX16" s="270"/>
      <c r="PY16" s="270"/>
      <c r="PZ16" s="270"/>
      <c r="QA16" s="270"/>
      <c r="QB16" s="270"/>
      <c r="QC16" s="270"/>
      <c r="QD16" s="270"/>
      <c r="QE16" s="270"/>
      <c r="QF16" s="270"/>
      <c r="QG16" s="270"/>
      <c r="QH16" s="270"/>
      <c r="QI16" s="270"/>
      <c r="QJ16" s="270"/>
      <c r="QK16" s="270"/>
      <c r="QL16" s="270"/>
      <c r="QM16" s="270"/>
      <c r="QN16" s="270"/>
      <c r="QO16" s="270"/>
      <c r="QP16" s="270"/>
      <c r="QQ16" s="270"/>
      <c r="QR16" s="270"/>
      <c r="QS16" s="270"/>
      <c r="QT16" s="270"/>
      <c r="QU16" s="270"/>
      <c r="QV16" s="270"/>
      <c r="QW16" s="270"/>
      <c r="QX16" s="270"/>
      <c r="QY16" s="270"/>
      <c r="QZ16" s="302"/>
    </row>
    <row r="17" spans="1:468" s="289" customFormat="1" ht="158.25" customHeight="1" x14ac:dyDescent="0.2">
      <c r="A17" s="670">
        <v>3</v>
      </c>
      <c r="B17" s="666"/>
      <c r="C17" s="666"/>
      <c r="D17" s="666"/>
      <c r="E17" s="678"/>
      <c r="F17" s="666"/>
      <c r="G17" s="561"/>
      <c r="H17" s="647" t="str">
        <f t="shared" ref="H17" si="13">IF(G17&lt;=0,"",IF(G17&lt;=2,"Muy Baja",IF(G17&lt;=24,"Baja",IF(G17&lt;=500,"Media",IF(G17&lt;=5000,"Alta","Muy Alta")))))</f>
        <v/>
      </c>
      <c r="I17" s="645" t="str">
        <f t="shared" ref="I17" si="14">IF(H17="","",IF(H17="Muy Baja",0.2,IF(H17="Baja",0.4,IF(H17="Media",0.6,IF(H17="Alta",0.8,IF(H17="Muy Alta",1,))))))</f>
        <v/>
      </c>
      <c r="J17" s="641"/>
      <c r="K17" s="554">
        <f>IF(NOT(ISERROR(MATCH(J17,'[2]Tabla Impacto'!$B$221:$B$223,0))),'[2]Tabla Impacto'!$F$223&amp;"Por favor no seleccionar los criterios de impacto(Afectación Económica o presupuestal y Pérdida Reputacional)",J17)</f>
        <v>0</v>
      </c>
      <c r="L17" s="647" t="str">
        <f>IF(J17&lt;=0,"",IF(J17&lt;=10,"Leve",IF(J17&lt;=50,"Menor",IF(J17&lt;=100,"Moderado",IF(J17&lt;=500,"Mayor","Catastrófico")))))</f>
        <v/>
      </c>
      <c r="M17" s="645" t="str">
        <f t="shared" ref="M17" si="15">IF(L17="","",IF(L17="Leve",0.2,IF(L17="Menor",0.4,IF(L17="Moderado",0.6,IF(L17="Mayor",0.8,IF(L17="Catastrófico",1,))))))</f>
        <v/>
      </c>
      <c r="N17" s="643" t="str">
        <f t="shared" ref="N17" si="16">IF(OR(AND(H17="Muy Baja",L17="Leve"),AND(H17="Muy Baja",L17="Menor"),AND(H17="Baja",L17="Leve")),"Bajo",IF(OR(AND(H17="Muy baja",L17="Moderado"),AND(H17="Baja",L17="Menor"),AND(H17="Baja",L17="Moderado"),AND(H17="Media",L17="Leve"),AND(H17="Media",L17="Menor"),AND(H17="Media",L17="Moderado"),AND(H17="Alta",L17="Leve"),AND(H17="Alta",L17="Menor")),"Moderado",IF(OR(AND(H17="Muy Baja",L17="Mayor"),AND(H17="Baja",L17="Mayor"),AND(H17="Media",L17="Mayor"),AND(H17="Alta",L17="Moderado"),AND(H17="Alta",L17="Mayor"),AND(H17="Muy Alta",L17="Leve"),AND(H17="Muy Alta",L17="Menor"),AND(H17="Muy Alta",L17="Moderado"),AND(H17="Muy Alta",L17="Mayor")),"Alto",IF(OR(AND(H17="Muy Baja",L17="Catastrófico"),AND(H17="Baja",L17="Catastrófico"),AND(H17="Media",L17="Catastrófico"),AND(H17="Alta",L17="Catastrófico"),AND(H17="Muy Alta",L17="Catastrófico")),"Extremo",""))))</f>
        <v/>
      </c>
      <c r="O17" s="274">
        <v>1</v>
      </c>
      <c r="P17" s="330"/>
      <c r="Q17" s="276" t="str">
        <f t="shared" si="7"/>
        <v/>
      </c>
      <c r="R17" s="277"/>
      <c r="S17" s="277"/>
      <c r="T17" s="278" t="str">
        <f>IF(AND(R17="Preventivo",S17="Automático"),"50%",IF(AND(R17="Preventivo",S17="Manual"),"40%",IF(AND(R17="Detectivo",S17="Automático"),"40%",IF(AND(R17="Detectivo",S17="Manual"),"30%",IF(AND(R17="Correctivo",S17="Automático"),"35%",IF(AND(R17="Correctivo",S17="Manual"),"25%",""))))))</f>
        <v/>
      </c>
      <c r="U17" s="277"/>
      <c r="V17" s="277"/>
      <c r="W17" s="277"/>
      <c r="X17" s="279" t="str">
        <f>IFERROR(IF(Q17="Probabilidad",(I17-(+I17*T17)),IF(Q17="Impacto",I17,"")),"")</f>
        <v/>
      </c>
      <c r="Y17" s="280" t="str">
        <f t="shared" si="6"/>
        <v/>
      </c>
      <c r="Z17" s="278" t="str">
        <f>+X17</f>
        <v/>
      </c>
      <c r="AA17" s="280" t="str">
        <f>IFERROR(IF(AB17="","",IF(AB17&lt;=0.2,"Leve",IF(AB17&lt;=0.4,"Menor",IF(AB17&lt;=0.6,"Moderado",IF(AB17&lt;=0.8,"Mayor","Catastrófico"))))),"")</f>
        <v/>
      </c>
      <c r="AB17" s="278" t="str">
        <f>IFERROR(IF(Q17="Impacto",(M17-(+M17*T17)),IF(Q17="Probabilidad",M17,"")),"")</f>
        <v/>
      </c>
      <c r="AC17" s="281"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77"/>
      <c r="AE17" s="282"/>
      <c r="AF17" s="282"/>
      <c r="AG17" s="283"/>
      <c r="AH17" s="284"/>
      <c r="AI17" s="284"/>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270"/>
      <c r="OF17" s="270"/>
      <c r="OG17" s="270"/>
      <c r="OH17" s="270"/>
      <c r="OI17" s="270"/>
      <c r="OJ17" s="270"/>
      <c r="OK17" s="270"/>
      <c r="OL17" s="270"/>
      <c r="OM17" s="270"/>
      <c r="ON17" s="270"/>
      <c r="OO17" s="270"/>
      <c r="OP17" s="270"/>
      <c r="OQ17" s="270"/>
      <c r="OR17" s="270"/>
      <c r="OS17" s="270"/>
      <c r="OT17" s="270"/>
      <c r="OU17" s="270"/>
      <c r="OV17" s="270"/>
      <c r="OW17" s="270"/>
      <c r="OX17" s="270"/>
      <c r="OY17" s="270"/>
      <c r="OZ17" s="270"/>
      <c r="PA17" s="270"/>
      <c r="PB17" s="270"/>
      <c r="PC17" s="270"/>
      <c r="PD17" s="270"/>
      <c r="PE17" s="270"/>
      <c r="PF17" s="270"/>
      <c r="PG17" s="270"/>
      <c r="PH17" s="270"/>
      <c r="PI17" s="270"/>
      <c r="PJ17" s="270"/>
      <c r="PK17" s="270"/>
      <c r="PL17" s="270"/>
      <c r="PM17" s="270"/>
      <c r="PN17" s="270"/>
      <c r="PO17" s="270"/>
      <c r="PP17" s="270"/>
      <c r="PQ17" s="270"/>
      <c r="PR17" s="270"/>
      <c r="PS17" s="270"/>
      <c r="PT17" s="270"/>
      <c r="PU17" s="270"/>
      <c r="PV17" s="270"/>
      <c r="PW17" s="270"/>
      <c r="PX17" s="270"/>
      <c r="PY17" s="270"/>
      <c r="PZ17" s="270"/>
      <c r="QA17" s="270"/>
      <c r="QB17" s="270"/>
      <c r="QC17" s="270"/>
      <c r="QD17" s="270"/>
      <c r="QE17" s="270"/>
      <c r="QF17" s="270"/>
      <c r="QG17" s="270"/>
      <c r="QH17" s="270"/>
      <c r="QI17" s="270"/>
      <c r="QJ17" s="270"/>
      <c r="QK17" s="270"/>
      <c r="QL17" s="270"/>
      <c r="QM17" s="270"/>
      <c r="QN17" s="270"/>
      <c r="QO17" s="270"/>
      <c r="QP17" s="270"/>
      <c r="QQ17" s="270"/>
      <c r="QR17" s="270"/>
      <c r="QS17" s="270"/>
      <c r="QT17" s="270"/>
      <c r="QU17" s="270"/>
      <c r="QV17" s="270"/>
      <c r="QW17" s="270"/>
      <c r="QX17" s="270"/>
      <c r="QY17" s="270"/>
      <c r="QZ17" s="302"/>
    </row>
    <row r="18" spans="1:468" s="289" customFormat="1" ht="120.75" customHeight="1" x14ac:dyDescent="0.2">
      <c r="A18" s="674"/>
      <c r="B18" s="673"/>
      <c r="C18" s="673"/>
      <c r="D18" s="673"/>
      <c r="E18" s="679"/>
      <c r="F18" s="673"/>
      <c r="G18" s="677"/>
      <c r="H18" s="648"/>
      <c r="I18" s="646"/>
      <c r="J18" s="642"/>
      <c r="K18" s="554">
        <f ca="1">IF(NOT(ISERROR(MATCH(J18,_xlfn.ANCHORARRAY(E21),0))),#REF!&amp;"Por favor no seleccionar los criterios de impacto",J18)</f>
        <v>0</v>
      </c>
      <c r="L18" s="648"/>
      <c r="M18" s="646"/>
      <c r="N18" s="644"/>
      <c r="O18" s="274">
        <v>2</v>
      </c>
      <c r="P18" s="330"/>
      <c r="Q18" s="276" t="str">
        <f t="shared" si="7"/>
        <v/>
      </c>
      <c r="R18" s="277"/>
      <c r="S18" s="277"/>
      <c r="T18" s="278" t="str">
        <f t="shared" ref="T18" si="17">IF(AND(R18="Preventivo",S18="Automático"),"50%",IF(AND(R18="Preventivo",S18="Manual"),"40%",IF(AND(R18="Detectivo",S18="Automático"),"40%",IF(AND(R18="Detectivo",S18="Manual"),"30%",IF(AND(R18="Correctivo",S18="Automático"),"35%",IF(AND(R18="Correctivo",S18="Manual"),"25%",""))))))</f>
        <v/>
      </c>
      <c r="U18" s="277"/>
      <c r="V18" s="277"/>
      <c r="W18" s="277"/>
      <c r="X18" s="279" t="str">
        <f>IFERROR(IF(AND(Q17="Probabilidad",Q18="Probabilidad"),(Z17-(+Z17*T18)),IF(Q18="Probabilidad",(I17-(+I17*T18)),IF(Q18="Impacto",Z17,""))),"")</f>
        <v/>
      </c>
      <c r="Y18" s="280" t="str">
        <f t="shared" ref="Y18:Y31" si="18">IFERROR(IF(X18="","",IF(X18&lt;=0.2,"Muy Baja",IF(X18&lt;=0.4,"Baja",IF(X18&lt;=0.6,"Media",IF(X18&lt;=0.8,"Alta","Muy Alta"))))),"")</f>
        <v/>
      </c>
      <c r="Z18" s="278" t="str">
        <f t="shared" ref="Z18" si="19">+X18</f>
        <v/>
      </c>
      <c r="AA18" s="280" t="str">
        <f t="shared" si="9"/>
        <v/>
      </c>
      <c r="AB18" s="278" t="str">
        <f>IFERROR(IF(AND(Q17="Impacto",Q18="Impacto"),(AB14-(+AB14*T18)),IF(Q18="Impacto",($M$17-(+$M$17*T18)),IF(Q18="Probabilidad",AB14,""))),"")</f>
        <v/>
      </c>
      <c r="AC18" s="281" t="str">
        <f t="shared" ref="AC18" si="20">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
      </c>
      <c r="AD18" s="277"/>
      <c r="AE18" s="282"/>
      <c r="AF18" s="282"/>
      <c r="AG18" s="283"/>
      <c r="AH18" s="284"/>
      <c r="AI18" s="284"/>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c r="DD18" s="270"/>
      <c r="DE18" s="270"/>
      <c r="DF18" s="270"/>
      <c r="DG18" s="270"/>
      <c r="DH18" s="270"/>
      <c r="DI18" s="270"/>
      <c r="DJ18" s="270"/>
      <c r="DK18" s="270"/>
      <c r="DL18" s="270"/>
      <c r="DM18" s="270"/>
      <c r="DN18" s="270"/>
      <c r="DO18" s="270"/>
      <c r="DP18" s="270"/>
      <c r="DQ18" s="270"/>
      <c r="DR18" s="270"/>
      <c r="DS18" s="270"/>
      <c r="DT18" s="270"/>
      <c r="DU18" s="270"/>
      <c r="DV18" s="270"/>
      <c r="DW18" s="270"/>
      <c r="DX18" s="270"/>
      <c r="DY18" s="270"/>
      <c r="DZ18" s="270"/>
      <c r="EA18" s="270"/>
      <c r="EB18" s="270"/>
      <c r="EC18" s="270"/>
      <c r="ED18" s="270"/>
      <c r="EE18" s="270"/>
      <c r="EF18" s="270"/>
      <c r="EG18" s="270"/>
      <c r="EH18" s="270"/>
      <c r="EI18" s="270"/>
      <c r="EJ18" s="270"/>
      <c r="EK18" s="270"/>
      <c r="EL18" s="270"/>
      <c r="EM18" s="270"/>
      <c r="EN18" s="270"/>
      <c r="EO18" s="270"/>
      <c r="EP18" s="270"/>
      <c r="EQ18" s="270"/>
      <c r="ER18" s="270"/>
      <c r="ES18" s="270"/>
      <c r="ET18" s="270"/>
      <c r="EU18" s="270"/>
      <c r="EV18" s="270"/>
      <c r="EW18" s="270"/>
      <c r="EX18" s="270"/>
      <c r="EY18" s="270"/>
      <c r="EZ18" s="270"/>
      <c r="FA18" s="270"/>
      <c r="FB18" s="270"/>
      <c r="FC18" s="270"/>
      <c r="FD18" s="270"/>
      <c r="FE18" s="270"/>
      <c r="FF18" s="270"/>
      <c r="FG18" s="270"/>
      <c r="FH18" s="270"/>
      <c r="FI18" s="270"/>
      <c r="FJ18" s="270"/>
      <c r="FK18" s="270"/>
      <c r="FL18" s="270"/>
      <c r="FM18" s="270"/>
      <c r="FN18" s="270"/>
      <c r="FO18" s="270"/>
      <c r="FP18" s="270"/>
      <c r="FQ18" s="270"/>
      <c r="FR18" s="270"/>
      <c r="FS18" s="270"/>
      <c r="FT18" s="270"/>
      <c r="FU18" s="270"/>
      <c r="FV18" s="270"/>
      <c r="FW18" s="270"/>
      <c r="FX18" s="270"/>
      <c r="FY18" s="270"/>
      <c r="FZ18" s="270"/>
      <c r="GA18" s="270"/>
      <c r="GB18" s="270"/>
      <c r="GC18" s="270"/>
      <c r="GD18" s="270"/>
      <c r="GE18" s="270"/>
      <c r="GF18" s="270"/>
      <c r="GG18" s="270"/>
      <c r="GH18" s="270"/>
      <c r="GI18" s="270"/>
      <c r="GJ18" s="270"/>
      <c r="GK18" s="270"/>
      <c r="GL18" s="270"/>
      <c r="GM18" s="270"/>
      <c r="GN18" s="270"/>
      <c r="GO18" s="270"/>
      <c r="GP18" s="270"/>
      <c r="GQ18" s="270"/>
      <c r="GR18" s="270"/>
      <c r="GS18" s="270"/>
      <c r="GT18" s="270"/>
      <c r="GU18" s="270"/>
      <c r="GV18" s="270"/>
      <c r="GW18" s="270"/>
      <c r="GX18" s="270"/>
      <c r="GY18" s="270"/>
      <c r="GZ18" s="270"/>
      <c r="HA18" s="270"/>
      <c r="HB18" s="270"/>
      <c r="HC18" s="270"/>
      <c r="HD18" s="270"/>
      <c r="HE18" s="270"/>
      <c r="HF18" s="270"/>
      <c r="HG18" s="270"/>
      <c r="HH18" s="270"/>
      <c r="HI18" s="270"/>
      <c r="HJ18" s="270"/>
      <c r="HK18" s="270"/>
      <c r="HL18" s="270"/>
      <c r="HM18" s="270"/>
      <c r="HN18" s="270"/>
      <c r="HO18" s="270"/>
      <c r="HP18" s="270"/>
      <c r="HQ18" s="270"/>
      <c r="HR18" s="270"/>
      <c r="HS18" s="270"/>
      <c r="HT18" s="270"/>
      <c r="HU18" s="270"/>
      <c r="HV18" s="270"/>
      <c r="HW18" s="270"/>
      <c r="HX18" s="270"/>
      <c r="HY18" s="270"/>
      <c r="HZ18" s="270"/>
      <c r="IA18" s="270"/>
      <c r="IB18" s="270"/>
      <c r="IC18" s="270"/>
      <c r="ID18" s="270"/>
      <c r="IE18" s="270"/>
      <c r="IF18" s="270"/>
      <c r="IG18" s="270"/>
      <c r="IH18" s="270"/>
      <c r="II18" s="270"/>
      <c r="IJ18" s="270"/>
      <c r="IK18" s="270"/>
      <c r="IL18" s="270"/>
      <c r="IM18" s="270"/>
      <c r="IN18" s="270"/>
      <c r="IO18" s="270"/>
      <c r="IP18" s="270"/>
      <c r="IQ18" s="270"/>
      <c r="IR18" s="270"/>
      <c r="IS18" s="270"/>
      <c r="IT18" s="270"/>
      <c r="IU18" s="270"/>
      <c r="IV18" s="270"/>
      <c r="IW18" s="270"/>
      <c r="IX18" s="270"/>
      <c r="IY18" s="270"/>
      <c r="IZ18" s="270"/>
      <c r="JA18" s="270"/>
      <c r="JB18" s="270"/>
      <c r="JC18" s="270"/>
      <c r="JD18" s="270"/>
      <c r="JE18" s="270"/>
      <c r="JF18" s="270"/>
      <c r="JG18" s="270"/>
      <c r="JH18" s="270"/>
      <c r="JI18" s="270"/>
      <c r="JJ18" s="270"/>
      <c r="JK18" s="270"/>
      <c r="JL18" s="270"/>
      <c r="JM18" s="270"/>
      <c r="JN18" s="270"/>
      <c r="JO18" s="270"/>
      <c r="JP18" s="270"/>
      <c r="JQ18" s="270"/>
      <c r="JR18" s="270"/>
      <c r="JS18" s="270"/>
      <c r="JT18" s="270"/>
      <c r="JU18" s="270"/>
      <c r="JV18" s="270"/>
      <c r="JW18" s="270"/>
      <c r="JX18" s="270"/>
      <c r="JY18" s="270"/>
      <c r="JZ18" s="270"/>
      <c r="KA18" s="270"/>
      <c r="KB18" s="270"/>
      <c r="KC18" s="270"/>
      <c r="KD18" s="270"/>
      <c r="KE18" s="270"/>
      <c r="KF18" s="270"/>
      <c r="KG18" s="270"/>
      <c r="KH18" s="270"/>
      <c r="KI18" s="270"/>
      <c r="KJ18" s="270"/>
      <c r="KK18" s="270"/>
      <c r="KL18" s="270"/>
      <c r="KM18" s="270"/>
      <c r="KN18" s="270"/>
      <c r="KO18" s="270"/>
      <c r="KP18" s="270"/>
      <c r="KQ18" s="270"/>
      <c r="KR18" s="270"/>
      <c r="KS18" s="270"/>
      <c r="KT18" s="270"/>
      <c r="KU18" s="270"/>
      <c r="KV18" s="270"/>
      <c r="KW18" s="270"/>
      <c r="KX18" s="270"/>
      <c r="KY18" s="270"/>
      <c r="KZ18" s="270"/>
      <c r="LA18" s="270"/>
      <c r="LB18" s="270"/>
      <c r="LC18" s="270"/>
      <c r="LD18" s="270"/>
      <c r="LE18" s="270"/>
      <c r="LF18" s="270"/>
      <c r="LG18" s="270"/>
      <c r="LH18" s="270"/>
      <c r="LI18" s="270"/>
      <c r="LJ18" s="270"/>
      <c r="LK18" s="270"/>
      <c r="LL18" s="270"/>
      <c r="LM18" s="270"/>
      <c r="LN18" s="270"/>
      <c r="LO18" s="270"/>
      <c r="LP18" s="270"/>
      <c r="LQ18" s="270"/>
      <c r="LR18" s="270"/>
      <c r="LS18" s="270"/>
      <c r="LT18" s="270"/>
      <c r="LU18" s="270"/>
      <c r="LV18" s="270"/>
      <c r="LW18" s="270"/>
      <c r="LX18" s="270"/>
      <c r="LY18" s="270"/>
      <c r="LZ18" s="270"/>
      <c r="MA18" s="270"/>
      <c r="MB18" s="270"/>
      <c r="MC18" s="270"/>
      <c r="MD18" s="270"/>
      <c r="ME18" s="270"/>
      <c r="MF18" s="270"/>
      <c r="MG18" s="270"/>
      <c r="MH18" s="270"/>
      <c r="MI18" s="270"/>
      <c r="MJ18" s="270"/>
      <c r="MK18" s="270"/>
      <c r="ML18" s="270"/>
      <c r="MM18" s="270"/>
      <c r="MN18" s="270"/>
      <c r="MO18" s="270"/>
      <c r="MP18" s="270"/>
      <c r="MQ18" s="270"/>
      <c r="MR18" s="270"/>
      <c r="MS18" s="270"/>
      <c r="MT18" s="270"/>
      <c r="MU18" s="270"/>
      <c r="MV18" s="270"/>
      <c r="MW18" s="270"/>
      <c r="MX18" s="270"/>
      <c r="MY18" s="270"/>
      <c r="MZ18" s="270"/>
      <c r="NA18" s="270"/>
      <c r="NB18" s="270"/>
      <c r="NC18" s="270"/>
      <c r="ND18" s="270"/>
      <c r="NE18" s="270"/>
      <c r="NF18" s="270"/>
      <c r="NG18" s="270"/>
      <c r="NH18" s="270"/>
      <c r="NI18" s="270"/>
      <c r="NJ18" s="270"/>
      <c r="NK18" s="270"/>
      <c r="NL18" s="270"/>
      <c r="NM18" s="270"/>
      <c r="NN18" s="270"/>
      <c r="NO18" s="270"/>
      <c r="NP18" s="270"/>
      <c r="NQ18" s="270"/>
      <c r="NR18" s="270"/>
      <c r="NS18" s="270"/>
      <c r="NT18" s="270"/>
      <c r="NU18" s="270"/>
      <c r="NV18" s="270"/>
      <c r="NW18" s="270"/>
      <c r="NX18" s="270"/>
      <c r="NY18" s="270"/>
      <c r="NZ18" s="270"/>
      <c r="OA18" s="270"/>
      <c r="OB18" s="270"/>
      <c r="OC18" s="270"/>
      <c r="OD18" s="270"/>
      <c r="OE18" s="270"/>
      <c r="OF18" s="270"/>
      <c r="OG18" s="270"/>
      <c r="OH18" s="270"/>
      <c r="OI18" s="270"/>
      <c r="OJ18" s="270"/>
      <c r="OK18" s="270"/>
      <c r="OL18" s="270"/>
      <c r="OM18" s="270"/>
      <c r="ON18" s="270"/>
      <c r="OO18" s="270"/>
      <c r="OP18" s="270"/>
      <c r="OQ18" s="270"/>
      <c r="OR18" s="270"/>
      <c r="OS18" s="270"/>
      <c r="OT18" s="270"/>
      <c r="OU18" s="270"/>
      <c r="OV18" s="270"/>
      <c r="OW18" s="270"/>
      <c r="OX18" s="270"/>
      <c r="OY18" s="270"/>
      <c r="OZ18" s="270"/>
      <c r="PA18" s="270"/>
      <c r="PB18" s="270"/>
      <c r="PC18" s="270"/>
      <c r="PD18" s="270"/>
      <c r="PE18" s="270"/>
      <c r="PF18" s="270"/>
      <c r="PG18" s="270"/>
      <c r="PH18" s="270"/>
      <c r="PI18" s="270"/>
      <c r="PJ18" s="270"/>
      <c r="PK18" s="270"/>
      <c r="PL18" s="270"/>
      <c r="PM18" s="270"/>
      <c r="PN18" s="270"/>
      <c r="PO18" s="270"/>
      <c r="PP18" s="270"/>
      <c r="PQ18" s="270"/>
      <c r="PR18" s="270"/>
      <c r="PS18" s="270"/>
      <c r="PT18" s="270"/>
      <c r="PU18" s="270"/>
      <c r="PV18" s="270"/>
      <c r="PW18" s="270"/>
      <c r="PX18" s="270"/>
      <c r="PY18" s="270"/>
      <c r="PZ18" s="270"/>
      <c r="QA18" s="270"/>
      <c r="QB18" s="270"/>
      <c r="QC18" s="270"/>
      <c r="QD18" s="270"/>
      <c r="QE18" s="270"/>
      <c r="QF18" s="270"/>
      <c r="QG18" s="270"/>
      <c r="QH18" s="270"/>
      <c r="QI18" s="270"/>
      <c r="QJ18" s="270"/>
      <c r="QK18" s="270"/>
      <c r="QL18" s="270"/>
      <c r="QM18" s="270"/>
      <c r="QN18" s="270"/>
      <c r="QO18" s="270"/>
      <c r="QP18" s="270"/>
      <c r="QQ18" s="270"/>
      <c r="QR18" s="270"/>
      <c r="QS18" s="270"/>
      <c r="QT18" s="270"/>
      <c r="QU18" s="270"/>
      <c r="QV18" s="270"/>
      <c r="QW18" s="270"/>
      <c r="QX18" s="270"/>
      <c r="QY18" s="270"/>
      <c r="QZ18" s="302"/>
    </row>
    <row r="19" spans="1:468" s="289" customFormat="1" ht="69" customHeight="1" x14ac:dyDescent="0.2">
      <c r="A19" s="559">
        <v>4</v>
      </c>
      <c r="B19" s="558"/>
      <c r="C19" s="558"/>
      <c r="D19" s="558"/>
      <c r="E19" s="560"/>
      <c r="F19" s="558"/>
      <c r="G19" s="651"/>
      <c r="H19" s="557" t="str">
        <f t="shared" ref="H19" si="21">IF(G19&lt;=0,"",IF(G19&lt;=2,"Muy Baja",IF(G19&lt;=24,"Baja",IF(G19&lt;=500,"Media",IF(G19&lt;=5000,"Alta","Muy Alta")))))</f>
        <v/>
      </c>
      <c r="I19" s="554" t="str">
        <f t="shared" ref="I19" si="22">IF(H19="","",IF(H19="Muy Baja",0.2,IF(H19="Baja",0.4,IF(H19="Media",0.6,IF(H19="Alta",0.8,IF(H19="Muy Alta",1,))))))</f>
        <v/>
      </c>
      <c r="J19" s="652"/>
      <c r="K19" s="554">
        <f>IF(NOT(ISERROR(MATCH(J19,'[2]Tabla Impacto'!$B$221:$B$223,0))),'[2]Tabla Impacto'!$F$223&amp;"Por favor no seleccionar los criterios de impacto(Afectación Económica o presupuestal y Pérdida Reputacional)",J19)</f>
        <v>0</v>
      </c>
      <c r="L19" s="557" t="str">
        <f>IF(J19&lt;=0,"",IF(J19&lt;=20%,"Leve",IF(J19&lt;=40%,"Menor",IF(J19&lt;=60%,"Moderado",IF(J19&lt;=80%,"Mayor","Catastrófico")))))</f>
        <v/>
      </c>
      <c r="M19" s="554" t="str">
        <f t="shared" ref="M19" si="23">IF(L19="","",IF(L19="Leve",0.2,IF(L19="Menor",0.4,IF(L19="Moderado",0.6,IF(L19="Mayor",0.8,IF(L19="Catastrófico",1,))))))</f>
        <v/>
      </c>
      <c r="N19" s="555"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70">
        <v>1</v>
      </c>
      <c r="P19" s="668"/>
      <c r="Q19" s="662" t="str">
        <f t="shared" si="7"/>
        <v/>
      </c>
      <c r="R19" s="664"/>
      <c r="S19" s="660"/>
      <c r="T19" s="654" t="str">
        <f>IF(AND(R19="Preventivo",S19="Automático"),"50%",IF(AND(R19="Preventivo",S19="Manual"),"40%",IF(AND(R19="Detectivo",S19="Automático"),"40%",IF(AND(R19="Detectivo",S19="Manual"),"30%",IF(AND(R19="Correctivo",S19="Automático"),"35%",IF(AND(R19="Correctivo",S19="Manual"),"25%",""))))))</f>
        <v/>
      </c>
      <c r="U19" s="660"/>
      <c r="V19" s="660"/>
      <c r="W19" s="660"/>
      <c r="X19" s="639" t="str">
        <f>IFERROR(IF(Q19="Probabilidad",(I19-(+I19*T19)),IF(Q19="Impacto",I19,"")),"")</f>
        <v/>
      </c>
      <c r="Y19" s="656" t="str">
        <f>IFERROR(IF(X19="","",IF(X19&lt;=0.2,"Muy Baja",IF(X19&lt;=0.4,"Baja",IF(X19&lt;=0.6,"Media",IF(X19&lt;=0.8,"Alta","Muy Alta"))))),"")</f>
        <v/>
      </c>
      <c r="Z19" s="654" t="str">
        <f>+X19</f>
        <v/>
      </c>
      <c r="AA19" s="656" t="str">
        <f>IFERROR(IF(AB19="","",IF(AB19&lt;=0.2,"Leve",IF(AB19&lt;=0.4,"Menor",IF(AB19&lt;=0.6,"Moderado",IF(AB19&lt;=0.8,"Mayor","Catastrófico"))))),"")</f>
        <v/>
      </c>
      <c r="AB19" s="654" t="str">
        <f>IFERROR(IF(Q19="Impacto",(M19-(+M19*T19)),IF(Q19="Probabilidad",M19,"")),"")</f>
        <v/>
      </c>
      <c r="AC19" s="65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660"/>
      <c r="AE19" s="666"/>
      <c r="AF19" s="666"/>
      <c r="AG19" s="649"/>
      <c r="AH19" s="649"/>
      <c r="AI19" s="649"/>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270"/>
      <c r="CX19" s="270"/>
      <c r="CY19" s="270"/>
      <c r="CZ19" s="270"/>
      <c r="DA19" s="270"/>
      <c r="DB19" s="270"/>
      <c r="DC19" s="270"/>
      <c r="DD19" s="270"/>
      <c r="DE19" s="270"/>
      <c r="DF19" s="270"/>
      <c r="DG19" s="270"/>
      <c r="DH19" s="270"/>
      <c r="DI19" s="270"/>
      <c r="DJ19" s="270"/>
      <c r="DK19" s="270"/>
      <c r="DL19" s="270"/>
      <c r="DM19" s="270"/>
      <c r="DN19" s="270"/>
      <c r="DO19" s="270"/>
      <c r="DP19" s="270"/>
      <c r="DQ19" s="270"/>
      <c r="DR19" s="270"/>
      <c r="DS19" s="270"/>
      <c r="DT19" s="270"/>
      <c r="DU19" s="270"/>
      <c r="DV19" s="270"/>
      <c r="DW19" s="270"/>
      <c r="DX19" s="270"/>
      <c r="DY19" s="270"/>
      <c r="DZ19" s="270"/>
      <c r="EA19" s="270"/>
      <c r="EB19" s="270"/>
      <c r="EC19" s="270"/>
      <c r="ED19" s="270"/>
      <c r="EE19" s="270"/>
      <c r="EF19" s="270"/>
      <c r="EG19" s="270"/>
      <c r="EH19" s="270"/>
      <c r="EI19" s="270"/>
      <c r="EJ19" s="270"/>
      <c r="EK19" s="270"/>
      <c r="EL19" s="270"/>
      <c r="EM19" s="270"/>
      <c r="EN19" s="270"/>
      <c r="EO19" s="270"/>
      <c r="EP19" s="270"/>
      <c r="EQ19" s="270"/>
      <c r="ER19" s="270"/>
      <c r="ES19" s="270"/>
      <c r="ET19" s="270"/>
      <c r="EU19" s="270"/>
      <c r="EV19" s="270"/>
      <c r="EW19" s="270"/>
      <c r="EX19" s="270"/>
      <c r="EY19" s="270"/>
      <c r="EZ19" s="270"/>
      <c r="FA19" s="270"/>
      <c r="FB19" s="270"/>
      <c r="FC19" s="270"/>
      <c r="FD19" s="270"/>
      <c r="FE19" s="270"/>
      <c r="FF19" s="270"/>
      <c r="FG19" s="270"/>
      <c r="FH19" s="270"/>
      <c r="FI19" s="270"/>
      <c r="FJ19" s="270"/>
      <c r="FK19" s="270"/>
      <c r="FL19" s="270"/>
      <c r="FM19" s="270"/>
      <c r="FN19" s="270"/>
      <c r="FO19" s="270"/>
      <c r="FP19" s="270"/>
      <c r="FQ19" s="270"/>
      <c r="FR19" s="270"/>
      <c r="FS19" s="270"/>
      <c r="FT19" s="270"/>
      <c r="FU19" s="270"/>
      <c r="FV19" s="270"/>
      <c r="FW19" s="270"/>
      <c r="FX19" s="270"/>
      <c r="FY19" s="270"/>
      <c r="FZ19" s="270"/>
      <c r="GA19" s="270"/>
      <c r="GB19" s="270"/>
      <c r="GC19" s="270"/>
      <c r="GD19" s="270"/>
      <c r="GE19" s="270"/>
      <c r="GF19" s="270"/>
      <c r="GG19" s="270"/>
      <c r="GH19" s="270"/>
      <c r="GI19" s="270"/>
      <c r="GJ19" s="270"/>
      <c r="GK19" s="270"/>
      <c r="GL19" s="270"/>
      <c r="GM19" s="270"/>
      <c r="GN19" s="270"/>
      <c r="GO19" s="270"/>
      <c r="GP19" s="270"/>
      <c r="GQ19" s="270"/>
      <c r="GR19" s="270"/>
      <c r="GS19" s="270"/>
      <c r="GT19" s="270"/>
      <c r="GU19" s="270"/>
      <c r="GV19" s="270"/>
      <c r="GW19" s="270"/>
      <c r="GX19" s="270"/>
      <c r="GY19" s="270"/>
      <c r="GZ19" s="270"/>
      <c r="HA19" s="270"/>
      <c r="HB19" s="270"/>
      <c r="HC19" s="270"/>
      <c r="HD19" s="270"/>
      <c r="HE19" s="270"/>
      <c r="HF19" s="270"/>
      <c r="HG19" s="270"/>
      <c r="HH19" s="270"/>
      <c r="HI19" s="270"/>
      <c r="HJ19" s="270"/>
      <c r="HK19" s="270"/>
      <c r="HL19" s="270"/>
      <c r="HM19" s="270"/>
      <c r="HN19" s="270"/>
      <c r="HO19" s="270"/>
      <c r="HP19" s="270"/>
      <c r="HQ19" s="270"/>
      <c r="HR19" s="270"/>
      <c r="HS19" s="270"/>
      <c r="HT19" s="270"/>
      <c r="HU19" s="270"/>
      <c r="HV19" s="270"/>
      <c r="HW19" s="270"/>
      <c r="HX19" s="270"/>
      <c r="HY19" s="270"/>
      <c r="HZ19" s="270"/>
      <c r="IA19" s="270"/>
      <c r="IB19" s="270"/>
      <c r="IC19" s="270"/>
      <c r="ID19" s="270"/>
      <c r="IE19" s="270"/>
      <c r="IF19" s="270"/>
      <c r="IG19" s="270"/>
      <c r="IH19" s="270"/>
      <c r="II19" s="270"/>
      <c r="IJ19" s="270"/>
      <c r="IK19" s="270"/>
      <c r="IL19" s="270"/>
      <c r="IM19" s="270"/>
      <c r="IN19" s="270"/>
      <c r="IO19" s="270"/>
      <c r="IP19" s="270"/>
      <c r="IQ19" s="270"/>
      <c r="IR19" s="270"/>
      <c r="IS19" s="270"/>
      <c r="IT19" s="270"/>
      <c r="IU19" s="270"/>
      <c r="IV19" s="270"/>
      <c r="IW19" s="270"/>
      <c r="IX19" s="270"/>
      <c r="IY19" s="270"/>
      <c r="IZ19" s="270"/>
      <c r="JA19" s="270"/>
      <c r="JB19" s="270"/>
      <c r="JC19" s="270"/>
      <c r="JD19" s="270"/>
      <c r="JE19" s="270"/>
      <c r="JF19" s="270"/>
      <c r="JG19" s="270"/>
      <c r="JH19" s="270"/>
      <c r="JI19" s="270"/>
      <c r="JJ19" s="270"/>
      <c r="JK19" s="270"/>
      <c r="JL19" s="270"/>
      <c r="JM19" s="270"/>
      <c r="JN19" s="270"/>
      <c r="JO19" s="270"/>
      <c r="JP19" s="270"/>
      <c r="JQ19" s="270"/>
      <c r="JR19" s="270"/>
      <c r="JS19" s="270"/>
      <c r="JT19" s="270"/>
      <c r="JU19" s="270"/>
      <c r="JV19" s="270"/>
      <c r="JW19" s="270"/>
      <c r="JX19" s="270"/>
      <c r="JY19" s="270"/>
      <c r="JZ19" s="270"/>
      <c r="KA19" s="270"/>
      <c r="KB19" s="270"/>
      <c r="KC19" s="270"/>
      <c r="KD19" s="270"/>
      <c r="KE19" s="270"/>
      <c r="KF19" s="270"/>
      <c r="KG19" s="270"/>
      <c r="KH19" s="270"/>
      <c r="KI19" s="270"/>
      <c r="KJ19" s="270"/>
      <c r="KK19" s="270"/>
      <c r="KL19" s="270"/>
      <c r="KM19" s="270"/>
      <c r="KN19" s="270"/>
      <c r="KO19" s="270"/>
      <c r="KP19" s="270"/>
      <c r="KQ19" s="270"/>
      <c r="KR19" s="270"/>
      <c r="KS19" s="270"/>
      <c r="KT19" s="270"/>
      <c r="KU19" s="270"/>
      <c r="KV19" s="270"/>
      <c r="KW19" s="270"/>
      <c r="KX19" s="270"/>
      <c r="KY19" s="270"/>
      <c r="KZ19" s="270"/>
      <c r="LA19" s="270"/>
      <c r="LB19" s="270"/>
      <c r="LC19" s="270"/>
      <c r="LD19" s="270"/>
      <c r="LE19" s="270"/>
      <c r="LF19" s="270"/>
      <c r="LG19" s="270"/>
      <c r="LH19" s="270"/>
      <c r="LI19" s="270"/>
      <c r="LJ19" s="270"/>
      <c r="LK19" s="270"/>
      <c r="LL19" s="270"/>
      <c r="LM19" s="270"/>
      <c r="LN19" s="270"/>
      <c r="LO19" s="270"/>
      <c r="LP19" s="270"/>
      <c r="LQ19" s="270"/>
      <c r="LR19" s="270"/>
      <c r="LS19" s="270"/>
      <c r="LT19" s="270"/>
      <c r="LU19" s="270"/>
      <c r="LV19" s="270"/>
      <c r="LW19" s="270"/>
      <c r="LX19" s="270"/>
      <c r="LY19" s="270"/>
      <c r="LZ19" s="270"/>
      <c r="MA19" s="270"/>
      <c r="MB19" s="270"/>
      <c r="MC19" s="270"/>
      <c r="MD19" s="270"/>
      <c r="ME19" s="270"/>
      <c r="MF19" s="270"/>
      <c r="MG19" s="270"/>
      <c r="MH19" s="270"/>
      <c r="MI19" s="270"/>
      <c r="MJ19" s="270"/>
      <c r="MK19" s="270"/>
      <c r="ML19" s="270"/>
      <c r="MM19" s="270"/>
      <c r="MN19" s="270"/>
      <c r="MO19" s="270"/>
      <c r="MP19" s="270"/>
      <c r="MQ19" s="270"/>
      <c r="MR19" s="270"/>
      <c r="MS19" s="270"/>
      <c r="MT19" s="270"/>
      <c r="MU19" s="270"/>
      <c r="MV19" s="270"/>
      <c r="MW19" s="270"/>
      <c r="MX19" s="270"/>
      <c r="MY19" s="270"/>
      <c r="MZ19" s="270"/>
      <c r="NA19" s="270"/>
      <c r="NB19" s="270"/>
      <c r="NC19" s="270"/>
      <c r="ND19" s="270"/>
      <c r="NE19" s="270"/>
      <c r="NF19" s="270"/>
      <c r="NG19" s="270"/>
      <c r="NH19" s="270"/>
      <c r="NI19" s="270"/>
      <c r="NJ19" s="270"/>
      <c r="NK19" s="270"/>
      <c r="NL19" s="270"/>
      <c r="NM19" s="270"/>
      <c r="NN19" s="270"/>
      <c r="NO19" s="270"/>
      <c r="NP19" s="270"/>
      <c r="NQ19" s="270"/>
      <c r="NR19" s="270"/>
      <c r="NS19" s="270"/>
      <c r="NT19" s="270"/>
      <c r="NU19" s="270"/>
      <c r="NV19" s="270"/>
      <c r="NW19" s="270"/>
      <c r="NX19" s="270"/>
      <c r="NY19" s="270"/>
      <c r="NZ19" s="270"/>
      <c r="OA19" s="270"/>
      <c r="OB19" s="270"/>
      <c r="OC19" s="270"/>
      <c r="OD19" s="270"/>
      <c r="OE19" s="270"/>
      <c r="OF19" s="270"/>
      <c r="OG19" s="270"/>
      <c r="OH19" s="270"/>
      <c r="OI19" s="270"/>
      <c r="OJ19" s="270"/>
      <c r="OK19" s="270"/>
      <c r="OL19" s="270"/>
      <c r="OM19" s="270"/>
      <c r="ON19" s="270"/>
      <c r="OO19" s="270"/>
      <c r="OP19" s="270"/>
      <c r="OQ19" s="270"/>
      <c r="OR19" s="270"/>
      <c r="OS19" s="270"/>
      <c r="OT19" s="270"/>
      <c r="OU19" s="270"/>
      <c r="OV19" s="270"/>
      <c r="OW19" s="270"/>
      <c r="OX19" s="270"/>
      <c r="OY19" s="270"/>
      <c r="OZ19" s="270"/>
      <c r="PA19" s="270"/>
      <c r="PB19" s="270"/>
      <c r="PC19" s="270"/>
      <c r="PD19" s="270"/>
      <c r="PE19" s="270"/>
      <c r="PF19" s="270"/>
      <c r="PG19" s="270"/>
      <c r="PH19" s="270"/>
      <c r="PI19" s="270"/>
      <c r="PJ19" s="270"/>
      <c r="PK19" s="270"/>
      <c r="PL19" s="270"/>
      <c r="PM19" s="270"/>
      <c r="PN19" s="270"/>
      <c r="PO19" s="270"/>
      <c r="PP19" s="270"/>
      <c r="PQ19" s="270"/>
      <c r="PR19" s="270"/>
      <c r="PS19" s="270"/>
      <c r="PT19" s="270"/>
      <c r="PU19" s="270"/>
      <c r="PV19" s="270"/>
      <c r="PW19" s="270"/>
      <c r="PX19" s="270"/>
      <c r="PY19" s="270"/>
      <c r="PZ19" s="270"/>
      <c r="QA19" s="270"/>
      <c r="QB19" s="270"/>
      <c r="QC19" s="270"/>
      <c r="QD19" s="270"/>
      <c r="QE19" s="270"/>
      <c r="QF19" s="270"/>
      <c r="QG19" s="270"/>
      <c r="QH19" s="270"/>
      <c r="QI19" s="270"/>
      <c r="QJ19" s="270"/>
      <c r="QK19" s="270"/>
      <c r="QL19" s="270"/>
      <c r="QM19" s="270"/>
      <c r="QN19" s="270"/>
      <c r="QO19" s="270"/>
      <c r="QP19" s="270"/>
      <c r="QQ19" s="270"/>
      <c r="QR19" s="270"/>
      <c r="QS19" s="270"/>
      <c r="QT19" s="270"/>
      <c r="QU19" s="270"/>
      <c r="QV19" s="270"/>
      <c r="QW19" s="270"/>
      <c r="QX19" s="270"/>
      <c r="QY19" s="270"/>
      <c r="QZ19" s="302"/>
    </row>
    <row r="20" spans="1:468" s="289" customFormat="1" ht="43.5" customHeight="1" x14ac:dyDescent="0.2">
      <c r="A20" s="559"/>
      <c r="B20" s="558"/>
      <c r="C20" s="558"/>
      <c r="D20" s="558"/>
      <c r="E20" s="560"/>
      <c r="F20" s="558"/>
      <c r="G20" s="651"/>
      <c r="H20" s="557"/>
      <c r="I20" s="554"/>
      <c r="J20" s="653"/>
      <c r="K20" s="554">
        <f ca="1">IF(NOT(ISERROR(MATCH(J20,_xlfn.ANCHORARRAY(E23),0))),#REF!&amp;"Por favor no seleccionar los criterios de impacto",J20)</f>
        <v>0</v>
      </c>
      <c r="L20" s="557"/>
      <c r="M20" s="554"/>
      <c r="N20" s="555"/>
      <c r="O20" s="671"/>
      <c r="P20" s="669"/>
      <c r="Q20" s="663"/>
      <c r="R20" s="665"/>
      <c r="S20" s="661"/>
      <c r="T20" s="655"/>
      <c r="U20" s="661"/>
      <c r="V20" s="661"/>
      <c r="W20" s="661"/>
      <c r="X20" s="640"/>
      <c r="Y20" s="657"/>
      <c r="Z20" s="655"/>
      <c r="AA20" s="657"/>
      <c r="AB20" s="655"/>
      <c r="AC20" s="659"/>
      <c r="AD20" s="661"/>
      <c r="AE20" s="667"/>
      <c r="AF20" s="667"/>
      <c r="AG20" s="562"/>
      <c r="AH20" s="650"/>
      <c r="AI20" s="65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c r="DC20" s="270"/>
      <c r="DD20" s="270"/>
      <c r="DE20" s="270"/>
      <c r="DF20" s="270"/>
      <c r="DG20" s="270"/>
      <c r="DH20" s="270"/>
      <c r="DI20" s="270"/>
      <c r="DJ20" s="270"/>
      <c r="DK20" s="270"/>
      <c r="DL20" s="270"/>
      <c r="DM20" s="270"/>
      <c r="DN20" s="270"/>
      <c r="DO20" s="270"/>
      <c r="DP20" s="270"/>
      <c r="DQ20" s="270"/>
      <c r="DR20" s="270"/>
      <c r="DS20" s="270"/>
      <c r="DT20" s="270"/>
      <c r="DU20" s="270"/>
      <c r="DV20" s="270"/>
      <c r="DW20" s="270"/>
      <c r="DX20" s="270"/>
      <c r="DY20" s="270"/>
      <c r="DZ20" s="270"/>
      <c r="EA20" s="270"/>
      <c r="EB20" s="270"/>
      <c r="EC20" s="270"/>
      <c r="ED20" s="270"/>
      <c r="EE20" s="270"/>
      <c r="EF20" s="270"/>
      <c r="EG20" s="270"/>
      <c r="EH20" s="270"/>
      <c r="EI20" s="270"/>
      <c r="EJ20" s="270"/>
      <c r="EK20" s="270"/>
      <c r="EL20" s="270"/>
      <c r="EM20" s="270"/>
      <c r="EN20" s="270"/>
      <c r="EO20" s="270"/>
      <c r="EP20" s="270"/>
      <c r="EQ20" s="270"/>
      <c r="ER20" s="270"/>
      <c r="ES20" s="270"/>
      <c r="ET20" s="270"/>
      <c r="EU20" s="270"/>
      <c r="EV20" s="270"/>
      <c r="EW20" s="270"/>
      <c r="EX20" s="270"/>
      <c r="EY20" s="270"/>
      <c r="EZ20" s="270"/>
      <c r="FA20" s="270"/>
      <c r="FB20" s="270"/>
      <c r="FC20" s="270"/>
      <c r="FD20" s="270"/>
      <c r="FE20" s="270"/>
      <c r="FF20" s="270"/>
      <c r="FG20" s="270"/>
      <c r="FH20" s="270"/>
      <c r="FI20" s="270"/>
      <c r="FJ20" s="270"/>
      <c r="FK20" s="270"/>
      <c r="FL20" s="270"/>
      <c r="FM20" s="270"/>
      <c r="FN20" s="270"/>
      <c r="FO20" s="270"/>
      <c r="FP20" s="270"/>
      <c r="FQ20" s="270"/>
      <c r="FR20" s="270"/>
      <c r="FS20" s="270"/>
      <c r="FT20" s="270"/>
      <c r="FU20" s="270"/>
      <c r="FV20" s="270"/>
      <c r="FW20" s="270"/>
      <c r="FX20" s="270"/>
      <c r="FY20" s="270"/>
      <c r="FZ20" s="270"/>
      <c r="GA20" s="270"/>
      <c r="GB20" s="270"/>
      <c r="GC20" s="270"/>
      <c r="GD20" s="270"/>
      <c r="GE20" s="270"/>
      <c r="GF20" s="270"/>
      <c r="GG20" s="270"/>
      <c r="GH20" s="270"/>
      <c r="GI20" s="270"/>
      <c r="GJ20" s="270"/>
      <c r="GK20" s="270"/>
      <c r="GL20" s="270"/>
      <c r="GM20" s="270"/>
      <c r="GN20" s="270"/>
      <c r="GO20" s="270"/>
      <c r="GP20" s="270"/>
      <c r="GQ20" s="270"/>
      <c r="GR20" s="270"/>
      <c r="GS20" s="270"/>
      <c r="GT20" s="270"/>
      <c r="GU20" s="270"/>
      <c r="GV20" s="270"/>
      <c r="GW20" s="270"/>
      <c r="GX20" s="270"/>
      <c r="GY20" s="270"/>
      <c r="GZ20" s="270"/>
      <c r="HA20" s="270"/>
      <c r="HB20" s="270"/>
      <c r="HC20" s="270"/>
      <c r="HD20" s="270"/>
      <c r="HE20" s="270"/>
      <c r="HF20" s="270"/>
      <c r="HG20" s="270"/>
      <c r="HH20" s="270"/>
      <c r="HI20" s="270"/>
      <c r="HJ20" s="270"/>
      <c r="HK20" s="270"/>
      <c r="HL20" s="270"/>
      <c r="HM20" s="270"/>
      <c r="HN20" s="270"/>
      <c r="HO20" s="270"/>
      <c r="HP20" s="270"/>
      <c r="HQ20" s="270"/>
      <c r="HR20" s="270"/>
      <c r="HS20" s="270"/>
      <c r="HT20" s="270"/>
      <c r="HU20" s="270"/>
      <c r="HV20" s="270"/>
      <c r="HW20" s="270"/>
      <c r="HX20" s="270"/>
      <c r="HY20" s="270"/>
      <c r="HZ20" s="270"/>
      <c r="IA20" s="270"/>
      <c r="IB20" s="270"/>
      <c r="IC20" s="270"/>
      <c r="ID20" s="270"/>
      <c r="IE20" s="270"/>
      <c r="IF20" s="270"/>
      <c r="IG20" s="270"/>
      <c r="IH20" s="270"/>
      <c r="II20" s="270"/>
      <c r="IJ20" s="270"/>
      <c r="IK20" s="270"/>
      <c r="IL20" s="270"/>
      <c r="IM20" s="270"/>
      <c r="IN20" s="270"/>
      <c r="IO20" s="270"/>
      <c r="IP20" s="270"/>
      <c r="IQ20" s="270"/>
      <c r="IR20" s="270"/>
      <c r="IS20" s="270"/>
      <c r="IT20" s="270"/>
      <c r="IU20" s="270"/>
      <c r="IV20" s="270"/>
      <c r="IW20" s="270"/>
      <c r="IX20" s="270"/>
      <c r="IY20" s="270"/>
      <c r="IZ20" s="270"/>
      <c r="JA20" s="270"/>
      <c r="JB20" s="270"/>
      <c r="JC20" s="270"/>
      <c r="JD20" s="270"/>
      <c r="JE20" s="270"/>
      <c r="JF20" s="270"/>
      <c r="JG20" s="270"/>
      <c r="JH20" s="270"/>
      <c r="JI20" s="270"/>
      <c r="JJ20" s="270"/>
      <c r="JK20" s="270"/>
      <c r="JL20" s="270"/>
      <c r="JM20" s="270"/>
      <c r="JN20" s="270"/>
      <c r="JO20" s="270"/>
      <c r="JP20" s="270"/>
      <c r="JQ20" s="270"/>
      <c r="JR20" s="270"/>
      <c r="JS20" s="270"/>
      <c r="JT20" s="270"/>
      <c r="JU20" s="270"/>
      <c r="JV20" s="270"/>
      <c r="JW20" s="270"/>
      <c r="JX20" s="270"/>
      <c r="JY20" s="270"/>
      <c r="JZ20" s="270"/>
      <c r="KA20" s="270"/>
      <c r="KB20" s="270"/>
      <c r="KC20" s="270"/>
      <c r="KD20" s="270"/>
      <c r="KE20" s="270"/>
      <c r="KF20" s="270"/>
      <c r="KG20" s="270"/>
      <c r="KH20" s="270"/>
      <c r="KI20" s="270"/>
      <c r="KJ20" s="270"/>
      <c r="KK20" s="270"/>
      <c r="KL20" s="270"/>
      <c r="KM20" s="270"/>
      <c r="KN20" s="270"/>
      <c r="KO20" s="270"/>
      <c r="KP20" s="270"/>
      <c r="KQ20" s="270"/>
      <c r="KR20" s="270"/>
      <c r="KS20" s="270"/>
      <c r="KT20" s="270"/>
      <c r="KU20" s="270"/>
      <c r="KV20" s="270"/>
      <c r="KW20" s="270"/>
      <c r="KX20" s="270"/>
      <c r="KY20" s="270"/>
      <c r="KZ20" s="270"/>
      <c r="LA20" s="270"/>
      <c r="LB20" s="270"/>
      <c r="LC20" s="270"/>
      <c r="LD20" s="270"/>
      <c r="LE20" s="270"/>
      <c r="LF20" s="270"/>
      <c r="LG20" s="270"/>
      <c r="LH20" s="270"/>
      <c r="LI20" s="270"/>
      <c r="LJ20" s="270"/>
      <c r="LK20" s="270"/>
      <c r="LL20" s="270"/>
      <c r="LM20" s="270"/>
      <c r="LN20" s="270"/>
      <c r="LO20" s="270"/>
      <c r="LP20" s="270"/>
      <c r="LQ20" s="270"/>
      <c r="LR20" s="270"/>
      <c r="LS20" s="270"/>
      <c r="LT20" s="270"/>
      <c r="LU20" s="270"/>
      <c r="LV20" s="270"/>
      <c r="LW20" s="270"/>
      <c r="LX20" s="270"/>
      <c r="LY20" s="270"/>
      <c r="LZ20" s="270"/>
      <c r="MA20" s="270"/>
      <c r="MB20" s="270"/>
      <c r="MC20" s="270"/>
      <c r="MD20" s="270"/>
      <c r="ME20" s="270"/>
      <c r="MF20" s="270"/>
      <c r="MG20" s="270"/>
      <c r="MH20" s="270"/>
      <c r="MI20" s="270"/>
      <c r="MJ20" s="270"/>
      <c r="MK20" s="270"/>
      <c r="ML20" s="270"/>
      <c r="MM20" s="270"/>
      <c r="MN20" s="270"/>
      <c r="MO20" s="270"/>
      <c r="MP20" s="270"/>
      <c r="MQ20" s="270"/>
      <c r="MR20" s="270"/>
      <c r="MS20" s="270"/>
      <c r="MT20" s="270"/>
      <c r="MU20" s="270"/>
      <c r="MV20" s="270"/>
      <c r="MW20" s="270"/>
      <c r="MX20" s="270"/>
      <c r="MY20" s="270"/>
      <c r="MZ20" s="270"/>
      <c r="NA20" s="270"/>
      <c r="NB20" s="270"/>
      <c r="NC20" s="270"/>
      <c r="ND20" s="270"/>
      <c r="NE20" s="270"/>
      <c r="NF20" s="270"/>
      <c r="NG20" s="270"/>
      <c r="NH20" s="270"/>
      <c r="NI20" s="270"/>
      <c r="NJ20" s="270"/>
      <c r="NK20" s="270"/>
      <c r="NL20" s="270"/>
      <c r="NM20" s="270"/>
      <c r="NN20" s="270"/>
      <c r="NO20" s="270"/>
      <c r="NP20" s="270"/>
      <c r="NQ20" s="270"/>
      <c r="NR20" s="270"/>
      <c r="NS20" s="270"/>
      <c r="NT20" s="270"/>
      <c r="NU20" s="270"/>
      <c r="NV20" s="270"/>
      <c r="NW20" s="270"/>
      <c r="NX20" s="270"/>
      <c r="NY20" s="270"/>
      <c r="NZ20" s="270"/>
      <c r="OA20" s="270"/>
      <c r="OB20" s="270"/>
      <c r="OC20" s="270"/>
      <c r="OD20" s="270"/>
      <c r="OE20" s="270"/>
      <c r="OF20" s="270"/>
      <c r="OG20" s="270"/>
      <c r="OH20" s="270"/>
      <c r="OI20" s="270"/>
      <c r="OJ20" s="270"/>
      <c r="OK20" s="270"/>
      <c r="OL20" s="270"/>
      <c r="OM20" s="270"/>
      <c r="ON20" s="270"/>
      <c r="OO20" s="270"/>
      <c r="OP20" s="270"/>
      <c r="OQ20" s="270"/>
      <c r="OR20" s="270"/>
      <c r="OS20" s="270"/>
      <c r="OT20" s="270"/>
      <c r="OU20" s="270"/>
      <c r="OV20" s="270"/>
      <c r="OW20" s="270"/>
      <c r="OX20" s="270"/>
      <c r="OY20" s="270"/>
      <c r="OZ20" s="270"/>
      <c r="PA20" s="270"/>
      <c r="PB20" s="270"/>
      <c r="PC20" s="270"/>
      <c r="PD20" s="270"/>
      <c r="PE20" s="270"/>
      <c r="PF20" s="270"/>
      <c r="PG20" s="270"/>
      <c r="PH20" s="270"/>
      <c r="PI20" s="270"/>
      <c r="PJ20" s="270"/>
      <c r="PK20" s="270"/>
      <c r="PL20" s="270"/>
      <c r="PM20" s="270"/>
      <c r="PN20" s="270"/>
      <c r="PO20" s="270"/>
      <c r="PP20" s="270"/>
      <c r="PQ20" s="270"/>
      <c r="PR20" s="270"/>
      <c r="PS20" s="270"/>
      <c r="PT20" s="270"/>
      <c r="PU20" s="270"/>
      <c r="PV20" s="270"/>
      <c r="PW20" s="270"/>
      <c r="PX20" s="270"/>
      <c r="PY20" s="270"/>
      <c r="PZ20" s="270"/>
      <c r="QA20" s="270"/>
      <c r="QB20" s="270"/>
      <c r="QC20" s="270"/>
      <c r="QD20" s="270"/>
      <c r="QE20" s="270"/>
      <c r="QF20" s="270"/>
      <c r="QG20" s="270"/>
      <c r="QH20" s="270"/>
      <c r="QI20" s="270"/>
      <c r="QJ20" s="270"/>
      <c r="QK20" s="270"/>
      <c r="QL20" s="270"/>
      <c r="QM20" s="270"/>
      <c r="QN20" s="270"/>
      <c r="QO20" s="270"/>
      <c r="QP20" s="270"/>
      <c r="QQ20" s="270"/>
      <c r="QR20" s="270"/>
      <c r="QS20" s="270"/>
      <c r="QT20" s="270"/>
      <c r="QU20" s="270"/>
      <c r="QV20" s="270"/>
      <c r="QW20" s="270"/>
      <c r="QX20" s="270"/>
      <c r="QY20" s="270"/>
      <c r="QZ20" s="302"/>
    </row>
    <row r="21" spans="1:468" s="289" customFormat="1" ht="110.25" hidden="1" customHeight="1" x14ac:dyDescent="0.2">
      <c r="A21" s="559">
        <v>7</v>
      </c>
      <c r="B21" s="675"/>
      <c r="C21" s="675"/>
      <c r="D21" s="675"/>
      <c r="E21" s="676"/>
      <c r="F21" s="558"/>
      <c r="G21" s="556"/>
      <c r="H21" s="557" t="str">
        <f t="shared" ref="H21" si="24">IF(G21&lt;=0,"",IF(G21&lt;=2,"Muy Baja",IF(G21&lt;=24,"Baja",IF(G21&lt;=500,"Media",IF(G21&lt;=5000,"Alta","Muy Alta")))))</f>
        <v/>
      </c>
      <c r="I21" s="554" t="str">
        <f t="shared" ref="I21" si="25">IF(H21="","",IF(H21="Muy Baja",0.2,IF(H21="Baja",0.4,IF(H21="Media",0.6,IF(H21="Alta",0.8,IF(H21="Muy Alta",1,))))))</f>
        <v/>
      </c>
      <c r="J21" s="672"/>
      <c r="K21" s="554">
        <f>IF(NOT(ISERROR(MATCH(J21,'[2]Tabla Impacto'!$B$221:$B$223,0))),'[2]Tabla Impacto'!$F$223&amp;"Por favor no seleccionar los criterios de impacto(Afectación Económica o presupuestal y Pérdida Reputacional)",J21)</f>
        <v>0</v>
      </c>
      <c r="L21" s="557" t="str">
        <f t="shared" ref="L21" si="26">IF(J21&lt;=0,"",IF(J21&lt;=20%,"Leve",IF(J21&lt;=40%,"Menor",IF(J21&lt;=60%,"Moderado",IF(J21&lt;=80%,"Mayor","Catastrófico")))))</f>
        <v/>
      </c>
      <c r="M21" s="554" t="str">
        <f t="shared" ref="M21" si="27">IF(L21="","",IF(L21="Leve",0.2,IF(L21="Menor",0.4,IF(L21="Moderado",0.6,IF(L21="Mayor",0.8,IF(L21="Catastrófico",1,))))))</f>
        <v/>
      </c>
      <c r="N21" s="555" t="str">
        <f t="shared" ref="N21" si="2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4">
        <v>1</v>
      </c>
      <c r="P21" s="319"/>
      <c r="Q21" s="276" t="str">
        <f t="shared" si="7"/>
        <v/>
      </c>
      <c r="R21" s="277"/>
      <c r="S21" s="277"/>
      <c r="T21" s="278" t="str">
        <f>IF(AND(R21="Preventivo",S21="Automático"),"50%",IF(AND(R21="Preventivo",S21="Manual"),"40%",IF(AND(R21="Detectivo",S21="Automático"),"40%",IF(AND(R21="Detectivo",S21="Manual"),"30%",IF(AND(R21="Correctivo",S21="Automático"),"35%",IF(AND(R21="Correctivo",S21="Manual"),"25%",""))))))</f>
        <v/>
      </c>
      <c r="U21" s="277"/>
      <c r="V21" s="277"/>
      <c r="W21" s="277"/>
      <c r="X21" s="279" t="str">
        <f>IFERROR(IF(Q21="Probabilidad",(I21-(+I21*T21)),IF(Q21="Impacto",I21,"")),"")</f>
        <v/>
      </c>
      <c r="Y21" s="280" t="str">
        <f>IFERROR(IF(X21="","",IF(X21&lt;=0.2,"Muy Baja",IF(X21&lt;=0.4,"Baja",IF(X21&lt;=0.6,"Media",IF(X21&lt;=0.8,"Alta","Muy Alta"))))),"")</f>
        <v/>
      </c>
      <c r="Z21" s="278" t="str">
        <f>+X21</f>
        <v/>
      </c>
      <c r="AA21" s="280" t="str">
        <f>IFERROR(IF(AB21="","",IF(AB21&lt;=0.2,"Leve",IF(AB21&lt;=0.4,"Menor",IF(AB21&lt;=0.6,"Moderado",IF(AB21&lt;=0.8,"Mayor","Catastrófico"))))),"")</f>
        <v/>
      </c>
      <c r="AB21" s="278" t="str">
        <f>IFERROR(IF(Q21="Impacto",(M21-(+M21*T21)),IF(Q21="Probabilidad",M21,"")),"")</f>
        <v/>
      </c>
      <c r="AC21" s="281"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7"/>
      <c r="AE21" s="282"/>
      <c r="AF21" s="282"/>
      <c r="AG21" s="283"/>
      <c r="AH21" s="284"/>
      <c r="AI21" s="284"/>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270"/>
      <c r="CK21" s="270"/>
      <c r="CL21" s="270"/>
      <c r="CM21" s="270"/>
      <c r="CN21" s="270"/>
      <c r="CO21" s="270"/>
      <c r="CP21" s="270"/>
      <c r="CQ21" s="270"/>
      <c r="CR21" s="270"/>
      <c r="CS21" s="270"/>
      <c r="CT21" s="270"/>
      <c r="CU21" s="270"/>
      <c r="CV21" s="270"/>
      <c r="CW21" s="270"/>
      <c r="CX21" s="270"/>
      <c r="CY21" s="270"/>
      <c r="CZ21" s="270"/>
      <c r="DA21" s="270"/>
      <c r="DB21" s="270"/>
      <c r="DC21" s="270"/>
      <c r="DD21" s="270"/>
      <c r="DE21" s="270"/>
      <c r="DF21" s="270"/>
      <c r="DG21" s="270"/>
      <c r="DH21" s="270"/>
      <c r="DI21" s="270"/>
      <c r="DJ21" s="270"/>
      <c r="DK21" s="270"/>
      <c r="DL21" s="270"/>
      <c r="DM21" s="270"/>
      <c r="DN21" s="270"/>
      <c r="DO21" s="270"/>
      <c r="DP21" s="270"/>
      <c r="DQ21" s="270"/>
      <c r="DR21" s="270"/>
      <c r="DS21" s="270"/>
      <c r="DT21" s="270"/>
      <c r="DU21" s="270"/>
      <c r="DV21" s="270"/>
      <c r="DW21" s="270"/>
      <c r="DX21" s="270"/>
      <c r="DY21" s="270"/>
      <c r="DZ21" s="270"/>
      <c r="EA21" s="270"/>
      <c r="EB21" s="270"/>
      <c r="EC21" s="270"/>
      <c r="ED21" s="270"/>
      <c r="EE21" s="270"/>
      <c r="EF21" s="270"/>
      <c r="EG21" s="270"/>
      <c r="EH21" s="270"/>
      <c r="EI21" s="270"/>
      <c r="EJ21" s="270"/>
      <c r="EK21" s="270"/>
      <c r="EL21" s="270"/>
      <c r="EM21" s="270"/>
      <c r="EN21" s="270"/>
      <c r="EO21" s="270"/>
      <c r="EP21" s="270"/>
      <c r="EQ21" s="270"/>
      <c r="ER21" s="270"/>
      <c r="ES21" s="270"/>
      <c r="ET21" s="270"/>
      <c r="EU21" s="270"/>
      <c r="EV21" s="270"/>
      <c r="EW21" s="270"/>
      <c r="EX21" s="270"/>
      <c r="EY21" s="270"/>
      <c r="EZ21" s="270"/>
      <c r="FA21" s="270"/>
      <c r="FB21" s="270"/>
      <c r="FC21" s="270"/>
      <c r="FD21" s="270"/>
      <c r="FE21" s="270"/>
      <c r="FF21" s="270"/>
      <c r="FG21" s="270"/>
      <c r="FH21" s="270"/>
      <c r="FI21" s="270"/>
      <c r="FJ21" s="270"/>
      <c r="FK21" s="270"/>
      <c r="FL21" s="270"/>
      <c r="FM21" s="270"/>
      <c r="FN21" s="270"/>
      <c r="FO21" s="270"/>
      <c r="FP21" s="270"/>
      <c r="FQ21" s="270"/>
      <c r="FR21" s="270"/>
      <c r="FS21" s="270"/>
      <c r="FT21" s="270"/>
      <c r="FU21" s="270"/>
      <c r="FV21" s="270"/>
      <c r="FW21" s="270"/>
      <c r="FX21" s="270"/>
      <c r="FY21" s="270"/>
      <c r="FZ21" s="270"/>
      <c r="GA21" s="270"/>
      <c r="GB21" s="270"/>
      <c r="GC21" s="270"/>
      <c r="GD21" s="270"/>
      <c r="GE21" s="270"/>
      <c r="GF21" s="270"/>
      <c r="GG21" s="270"/>
      <c r="GH21" s="270"/>
      <c r="GI21" s="270"/>
      <c r="GJ21" s="270"/>
      <c r="GK21" s="270"/>
      <c r="GL21" s="270"/>
      <c r="GM21" s="270"/>
      <c r="GN21" s="270"/>
      <c r="GO21" s="270"/>
      <c r="GP21" s="270"/>
      <c r="GQ21" s="270"/>
      <c r="GR21" s="270"/>
      <c r="GS21" s="270"/>
      <c r="GT21" s="270"/>
      <c r="GU21" s="270"/>
      <c r="GV21" s="270"/>
      <c r="GW21" s="270"/>
      <c r="GX21" s="270"/>
      <c r="GY21" s="270"/>
      <c r="GZ21" s="270"/>
      <c r="HA21" s="270"/>
      <c r="HB21" s="270"/>
      <c r="HC21" s="270"/>
      <c r="HD21" s="270"/>
      <c r="HE21" s="270"/>
      <c r="HF21" s="270"/>
      <c r="HG21" s="270"/>
      <c r="HH21" s="270"/>
      <c r="HI21" s="270"/>
      <c r="HJ21" s="270"/>
      <c r="HK21" s="270"/>
      <c r="HL21" s="270"/>
      <c r="HM21" s="270"/>
      <c r="HN21" s="270"/>
      <c r="HO21" s="270"/>
      <c r="HP21" s="270"/>
      <c r="HQ21" s="270"/>
      <c r="HR21" s="270"/>
      <c r="HS21" s="270"/>
      <c r="HT21" s="270"/>
      <c r="HU21" s="270"/>
      <c r="HV21" s="270"/>
      <c r="HW21" s="270"/>
      <c r="HX21" s="270"/>
      <c r="HY21" s="270"/>
      <c r="HZ21" s="270"/>
      <c r="IA21" s="270"/>
      <c r="IB21" s="270"/>
      <c r="IC21" s="270"/>
      <c r="ID21" s="270"/>
      <c r="IE21" s="270"/>
      <c r="IF21" s="270"/>
      <c r="IG21" s="270"/>
      <c r="IH21" s="270"/>
      <c r="II21" s="270"/>
      <c r="IJ21" s="270"/>
      <c r="IK21" s="270"/>
      <c r="IL21" s="270"/>
      <c r="IM21" s="270"/>
      <c r="IN21" s="270"/>
      <c r="IO21" s="270"/>
      <c r="IP21" s="270"/>
      <c r="IQ21" s="270"/>
      <c r="IR21" s="270"/>
      <c r="IS21" s="270"/>
      <c r="IT21" s="270"/>
      <c r="IU21" s="270"/>
      <c r="IV21" s="270"/>
      <c r="IW21" s="270"/>
      <c r="IX21" s="270"/>
      <c r="IY21" s="270"/>
      <c r="IZ21" s="270"/>
      <c r="JA21" s="270"/>
      <c r="JB21" s="270"/>
      <c r="JC21" s="270"/>
      <c r="JD21" s="270"/>
      <c r="JE21" s="270"/>
      <c r="JF21" s="270"/>
      <c r="JG21" s="270"/>
      <c r="JH21" s="270"/>
      <c r="JI21" s="270"/>
      <c r="JJ21" s="270"/>
      <c r="JK21" s="270"/>
      <c r="JL21" s="270"/>
      <c r="JM21" s="270"/>
      <c r="JN21" s="270"/>
      <c r="JO21" s="270"/>
      <c r="JP21" s="270"/>
      <c r="JQ21" s="270"/>
      <c r="JR21" s="270"/>
      <c r="JS21" s="270"/>
      <c r="JT21" s="270"/>
      <c r="JU21" s="270"/>
      <c r="JV21" s="270"/>
      <c r="JW21" s="270"/>
      <c r="JX21" s="270"/>
      <c r="JY21" s="270"/>
      <c r="JZ21" s="270"/>
      <c r="KA21" s="270"/>
      <c r="KB21" s="270"/>
      <c r="KC21" s="270"/>
      <c r="KD21" s="270"/>
      <c r="KE21" s="270"/>
      <c r="KF21" s="270"/>
      <c r="KG21" s="270"/>
      <c r="KH21" s="270"/>
      <c r="KI21" s="270"/>
      <c r="KJ21" s="270"/>
      <c r="KK21" s="270"/>
      <c r="KL21" s="270"/>
      <c r="KM21" s="270"/>
      <c r="KN21" s="270"/>
      <c r="KO21" s="270"/>
      <c r="KP21" s="270"/>
      <c r="KQ21" s="270"/>
      <c r="KR21" s="270"/>
      <c r="KS21" s="270"/>
      <c r="KT21" s="270"/>
      <c r="KU21" s="270"/>
      <c r="KV21" s="270"/>
      <c r="KW21" s="270"/>
      <c r="KX21" s="270"/>
      <c r="KY21" s="270"/>
      <c r="KZ21" s="270"/>
      <c r="LA21" s="270"/>
      <c r="LB21" s="270"/>
      <c r="LC21" s="270"/>
      <c r="LD21" s="270"/>
      <c r="LE21" s="270"/>
      <c r="LF21" s="270"/>
      <c r="LG21" s="270"/>
      <c r="LH21" s="270"/>
      <c r="LI21" s="270"/>
      <c r="LJ21" s="270"/>
      <c r="LK21" s="270"/>
      <c r="LL21" s="270"/>
      <c r="LM21" s="270"/>
      <c r="LN21" s="270"/>
      <c r="LO21" s="270"/>
      <c r="LP21" s="270"/>
      <c r="LQ21" s="270"/>
      <c r="LR21" s="270"/>
      <c r="LS21" s="270"/>
      <c r="LT21" s="270"/>
      <c r="LU21" s="270"/>
      <c r="LV21" s="270"/>
      <c r="LW21" s="270"/>
      <c r="LX21" s="270"/>
      <c r="LY21" s="270"/>
      <c r="LZ21" s="270"/>
      <c r="MA21" s="270"/>
      <c r="MB21" s="270"/>
      <c r="MC21" s="270"/>
      <c r="MD21" s="270"/>
      <c r="ME21" s="270"/>
      <c r="MF21" s="270"/>
      <c r="MG21" s="270"/>
      <c r="MH21" s="270"/>
      <c r="MI21" s="270"/>
      <c r="MJ21" s="270"/>
      <c r="MK21" s="270"/>
      <c r="ML21" s="270"/>
      <c r="MM21" s="270"/>
      <c r="MN21" s="270"/>
      <c r="MO21" s="270"/>
      <c r="MP21" s="270"/>
      <c r="MQ21" s="270"/>
      <c r="MR21" s="270"/>
      <c r="MS21" s="270"/>
      <c r="MT21" s="270"/>
      <c r="MU21" s="270"/>
      <c r="MV21" s="270"/>
      <c r="MW21" s="270"/>
      <c r="MX21" s="270"/>
      <c r="MY21" s="270"/>
      <c r="MZ21" s="270"/>
      <c r="NA21" s="270"/>
      <c r="NB21" s="270"/>
      <c r="NC21" s="270"/>
      <c r="ND21" s="270"/>
      <c r="NE21" s="270"/>
      <c r="NF21" s="270"/>
      <c r="NG21" s="270"/>
      <c r="NH21" s="270"/>
      <c r="NI21" s="270"/>
      <c r="NJ21" s="270"/>
      <c r="NK21" s="270"/>
      <c r="NL21" s="270"/>
      <c r="NM21" s="270"/>
      <c r="NN21" s="270"/>
      <c r="NO21" s="270"/>
      <c r="NP21" s="270"/>
      <c r="NQ21" s="270"/>
      <c r="NR21" s="270"/>
      <c r="NS21" s="270"/>
      <c r="NT21" s="270"/>
      <c r="NU21" s="270"/>
      <c r="NV21" s="270"/>
      <c r="NW21" s="270"/>
      <c r="NX21" s="270"/>
      <c r="NY21" s="270"/>
      <c r="NZ21" s="270"/>
      <c r="OA21" s="270"/>
      <c r="OB21" s="270"/>
      <c r="OC21" s="270"/>
      <c r="OD21" s="270"/>
      <c r="OE21" s="270"/>
      <c r="OF21" s="270"/>
      <c r="OG21" s="270"/>
      <c r="OH21" s="270"/>
      <c r="OI21" s="270"/>
      <c r="OJ21" s="270"/>
      <c r="OK21" s="270"/>
      <c r="OL21" s="270"/>
      <c r="OM21" s="270"/>
      <c r="ON21" s="270"/>
      <c r="OO21" s="270"/>
      <c r="OP21" s="270"/>
      <c r="OQ21" s="270"/>
      <c r="OR21" s="270"/>
      <c r="OS21" s="270"/>
      <c r="OT21" s="270"/>
      <c r="OU21" s="270"/>
      <c r="OV21" s="270"/>
      <c r="OW21" s="270"/>
      <c r="OX21" s="270"/>
      <c r="OY21" s="270"/>
      <c r="OZ21" s="270"/>
      <c r="PA21" s="270"/>
      <c r="PB21" s="270"/>
      <c r="PC21" s="270"/>
      <c r="PD21" s="270"/>
      <c r="PE21" s="270"/>
      <c r="PF21" s="270"/>
      <c r="PG21" s="270"/>
      <c r="PH21" s="270"/>
      <c r="PI21" s="270"/>
      <c r="PJ21" s="270"/>
      <c r="PK21" s="270"/>
      <c r="PL21" s="270"/>
      <c r="PM21" s="270"/>
      <c r="PN21" s="270"/>
      <c r="PO21" s="270"/>
      <c r="PP21" s="270"/>
      <c r="PQ21" s="270"/>
      <c r="PR21" s="270"/>
      <c r="PS21" s="270"/>
      <c r="PT21" s="270"/>
      <c r="PU21" s="270"/>
      <c r="PV21" s="270"/>
      <c r="PW21" s="270"/>
      <c r="PX21" s="270"/>
      <c r="PY21" s="270"/>
      <c r="PZ21" s="270"/>
      <c r="QA21" s="270"/>
      <c r="QB21" s="270"/>
      <c r="QC21" s="270"/>
      <c r="QD21" s="270"/>
      <c r="QE21" s="270"/>
      <c r="QF21" s="270"/>
      <c r="QG21" s="270"/>
      <c r="QH21" s="270"/>
      <c r="QI21" s="270"/>
      <c r="QJ21" s="270"/>
      <c r="QK21" s="270"/>
      <c r="QL21" s="270"/>
      <c r="QM21" s="270"/>
      <c r="QN21" s="270"/>
      <c r="QO21" s="270"/>
      <c r="QP21" s="270"/>
      <c r="QQ21" s="270"/>
      <c r="QR21" s="270"/>
      <c r="QS21" s="270"/>
      <c r="QT21" s="270"/>
      <c r="QU21" s="270"/>
      <c r="QV21" s="270"/>
      <c r="QW21" s="270"/>
      <c r="QX21" s="270"/>
      <c r="QY21" s="270"/>
      <c r="QZ21" s="302"/>
    </row>
    <row r="22" spans="1:468" s="289" customFormat="1" ht="17.25" hidden="1" customHeight="1" x14ac:dyDescent="0.2">
      <c r="A22" s="559"/>
      <c r="B22" s="675"/>
      <c r="C22" s="675"/>
      <c r="D22" s="675"/>
      <c r="E22" s="676"/>
      <c r="F22" s="558"/>
      <c r="G22" s="556"/>
      <c r="H22" s="557"/>
      <c r="I22" s="554"/>
      <c r="J22" s="558"/>
      <c r="K22" s="554">
        <f ca="1">IF(NOT(ISERROR(MATCH(J22,_xlfn.ANCHORARRAY(E24),0))),#REF!&amp;"Por favor no seleccionar los criterios de impacto",J22)</f>
        <v>0</v>
      </c>
      <c r="L22" s="557"/>
      <c r="M22" s="554"/>
      <c r="N22" s="555"/>
      <c r="O22" s="274">
        <v>2</v>
      </c>
      <c r="P22" s="319"/>
      <c r="Q22" s="276" t="str">
        <f t="shared" si="7"/>
        <v/>
      </c>
      <c r="R22" s="277"/>
      <c r="S22" s="277"/>
      <c r="T22" s="278" t="str">
        <f t="shared" ref="T22" si="29">IF(AND(R22="Preventivo",S22="Automático"),"50%",IF(AND(R22="Preventivo",S22="Manual"),"40%",IF(AND(R22="Detectivo",S22="Automático"),"40%",IF(AND(R22="Detectivo",S22="Manual"),"30%",IF(AND(R22="Correctivo",S22="Automático"),"35%",IF(AND(R22="Correctivo",S22="Manual"),"25%",""))))))</f>
        <v/>
      </c>
      <c r="U22" s="277"/>
      <c r="V22" s="277"/>
      <c r="W22" s="277"/>
      <c r="X22" s="279" t="str">
        <f>IFERROR(IF(AND(Q21="Probabilidad",Q22="Probabilidad"),(Z21-(+Z21*T22)),IF(Q22="Probabilidad",(I21-(+I21*T22)),IF(Q22="Impacto",Z21,""))),"")</f>
        <v/>
      </c>
      <c r="Y22" s="280" t="str">
        <f t="shared" si="18"/>
        <v/>
      </c>
      <c r="Z22" s="278" t="str">
        <f t="shared" ref="Z22" si="30">+X22</f>
        <v/>
      </c>
      <c r="AA22" s="280" t="str">
        <f t="shared" si="9"/>
        <v/>
      </c>
      <c r="AB22" s="278" t="str">
        <f>IFERROR(IF(AND(Q21="Impacto",Q22="Impacto"),(AB19-(+AB19*T22)),IF(Q22="Impacto",($M$21-(+$M$21*T22)),IF(Q22="Probabilidad",AB19,""))),"")</f>
        <v/>
      </c>
      <c r="AC22" s="281" t="str">
        <f t="shared" ref="AC22" si="3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7"/>
      <c r="AE22" s="282"/>
      <c r="AF22" s="282"/>
      <c r="AG22" s="283"/>
      <c r="AH22" s="284"/>
      <c r="AI22" s="284"/>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c r="DC22" s="270"/>
      <c r="DD22" s="270"/>
      <c r="DE22" s="270"/>
      <c r="DF22" s="270"/>
      <c r="DG22" s="270"/>
      <c r="DH22" s="270"/>
      <c r="DI22" s="270"/>
      <c r="DJ22" s="270"/>
      <c r="DK22" s="270"/>
      <c r="DL22" s="270"/>
      <c r="DM22" s="270"/>
      <c r="DN22" s="270"/>
      <c r="DO22" s="270"/>
      <c r="DP22" s="270"/>
      <c r="DQ22" s="270"/>
      <c r="DR22" s="270"/>
      <c r="DS22" s="270"/>
      <c r="DT22" s="270"/>
      <c r="DU22" s="270"/>
      <c r="DV22" s="270"/>
      <c r="DW22" s="270"/>
      <c r="DX22" s="270"/>
      <c r="DY22" s="270"/>
      <c r="DZ22" s="270"/>
      <c r="EA22" s="270"/>
      <c r="EB22" s="270"/>
      <c r="EC22" s="270"/>
      <c r="ED22" s="270"/>
      <c r="EE22" s="270"/>
      <c r="EF22" s="270"/>
      <c r="EG22" s="270"/>
      <c r="EH22" s="270"/>
      <c r="EI22" s="270"/>
      <c r="EJ22" s="270"/>
      <c r="EK22" s="270"/>
      <c r="EL22" s="270"/>
      <c r="EM22" s="270"/>
      <c r="EN22" s="270"/>
      <c r="EO22" s="270"/>
      <c r="EP22" s="270"/>
      <c r="EQ22" s="270"/>
      <c r="ER22" s="270"/>
      <c r="ES22" s="270"/>
      <c r="ET22" s="270"/>
      <c r="EU22" s="270"/>
      <c r="EV22" s="270"/>
      <c r="EW22" s="270"/>
      <c r="EX22" s="270"/>
      <c r="EY22" s="270"/>
      <c r="EZ22" s="270"/>
      <c r="FA22" s="270"/>
      <c r="FB22" s="270"/>
      <c r="FC22" s="270"/>
      <c r="FD22" s="270"/>
      <c r="FE22" s="270"/>
      <c r="FF22" s="270"/>
      <c r="FG22" s="270"/>
      <c r="FH22" s="270"/>
      <c r="FI22" s="270"/>
      <c r="FJ22" s="270"/>
      <c r="FK22" s="270"/>
      <c r="FL22" s="270"/>
      <c r="FM22" s="270"/>
      <c r="FN22" s="270"/>
      <c r="FO22" s="270"/>
      <c r="FP22" s="270"/>
      <c r="FQ22" s="270"/>
      <c r="FR22" s="270"/>
      <c r="FS22" s="270"/>
      <c r="FT22" s="270"/>
      <c r="FU22" s="270"/>
      <c r="FV22" s="270"/>
      <c r="FW22" s="270"/>
      <c r="FX22" s="270"/>
      <c r="FY22" s="270"/>
      <c r="FZ22" s="270"/>
      <c r="GA22" s="270"/>
      <c r="GB22" s="270"/>
      <c r="GC22" s="270"/>
      <c r="GD22" s="270"/>
      <c r="GE22" s="270"/>
      <c r="GF22" s="270"/>
      <c r="GG22" s="270"/>
      <c r="GH22" s="270"/>
      <c r="GI22" s="270"/>
      <c r="GJ22" s="270"/>
      <c r="GK22" s="270"/>
      <c r="GL22" s="270"/>
      <c r="GM22" s="270"/>
      <c r="GN22" s="270"/>
      <c r="GO22" s="270"/>
      <c r="GP22" s="270"/>
      <c r="GQ22" s="270"/>
      <c r="GR22" s="270"/>
      <c r="GS22" s="270"/>
      <c r="GT22" s="270"/>
      <c r="GU22" s="270"/>
      <c r="GV22" s="270"/>
      <c r="GW22" s="270"/>
      <c r="GX22" s="270"/>
      <c r="GY22" s="270"/>
      <c r="GZ22" s="270"/>
      <c r="HA22" s="270"/>
      <c r="HB22" s="270"/>
      <c r="HC22" s="270"/>
      <c r="HD22" s="270"/>
      <c r="HE22" s="270"/>
      <c r="HF22" s="270"/>
      <c r="HG22" s="270"/>
      <c r="HH22" s="270"/>
      <c r="HI22" s="270"/>
      <c r="HJ22" s="270"/>
      <c r="HK22" s="270"/>
      <c r="HL22" s="270"/>
      <c r="HM22" s="270"/>
      <c r="HN22" s="270"/>
      <c r="HO22" s="270"/>
      <c r="HP22" s="270"/>
      <c r="HQ22" s="270"/>
      <c r="HR22" s="270"/>
      <c r="HS22" s="270"/>
      <c r="HT22" s="270"/>
      <c r="HU22" s="270"/>
      <c r="HV22" s="270"/>
      <c r="HW22" s="270"/>
      <c r="HX22" s="270"/>
      <c r="HY22" s="270"/>
      <c r="HZ22" s="270"/>
      <c r="IA22" s="270"/>
      <c r="IB22" s="270"/>
      <c r="IC22" s="270"/>
      <c r="ID22" s="270"/>
      <c r="IE22" s="270"/>
      <c r="IF22" s="270"/>
      <c r="IG22" s="270"/>
      <c r="IH22" s="270"/>
      <c r="II22" s="270"/>
      <c r="IJ22" s="270"/>
      <c r="IK22" s="270"/>
      <c r="IL22" s="270"/>
      <c r="IM22" s="270"/>
      <c r="IN22" s="270"/>
      <c r="IO22" s="270"/>
      <c r="IP22" s="270"/>
      <c r="IQ22" s="270"/>
      <c r="IR22" s="270"/>
      <c r="IS22" s="270"/>
      <c r="IT22" s="270"/>
      <c r="IU22" s="270"/>
      <c r="IV22" s="270"/>
      <c r="IW22" s="270"/>
      <c r="IX22" s="270"/>
      <c r="IY22" s="270"/>
      <c r="IZ22" s="270"/>
      <c r="JA22" s="270"/>
      <c r="JB22" s="270"/>
      <c r="JC22" s="270"/>
      <c r="JD22" s="270"/>
      <c r="JE22" s="270"/>
      <c r="JF22" s="270"/>
      <c r="JG22" s="270"/>
      <c r="JH22" s="270"/>
      <c r="JI22" s="270"/>
      <c r="JJ22" s="270"/>
      <c r="JK22" s="270"/>
      <c r="JL22" s="270"/>
      <c r="JM22" s="270"/>
      <c r="JN22" s="270"/>
      <c r="JO22" s="270"/>
      <c r="JP22" s="270"/>
      <c r="JQ22" s="270"/>
      <c r="JR22" s="270"/>
      <c r="JS22" s="270"/>
      <c r="JT22" s="270"/>
      <c r="JU22" s="270"/>
      <c r="JV22" s="270"/>
      <c r="JW22" s="270"/>
      <c r="JX22" s="270"/>
      <c r="JY22" s="270"/>
      <c r="JZ22" s="270"/>
      <c r="KA22" s="270"/>
      <c r="KB22" s="270"/>
      <c r="KC22" s="270"/>
      <c r="KD22" s="270"/>
      <c r="KE22" s="270"/>
      <c r="KF22" s="270"/>
      <c r="KG22" s="270"/>
      <c r="KH22" s="270"/>
      <c r="KI22" s="270"/>
      <c r="KJ22" s="270"/>
      <c r="KK22" s="270"/>
      <c r="KL22" s="270"/>
      <c r="KM22" s="270"/>
      <c r="KN22" s="270"/>
      <c r="KO22" s="270"/>
      <c r="KP22" s="270"/>
      <c r="KQ22" s="270"/>
      <c r="KR22" s="270"/>
      <c r="KS22" s="270"/>
      <c r="KT22" s="270"/>
      <c r="KU22" s="270"/>
      <c r="KV22" s="270"/>
      <c r="KW22" s="270"/>
      <c r="KX22" s="270"/>
      <c r="KY22" s="270"/>
      <c r="KZ22" s="270"/>
      <c r="LA22" s="270"/>
      <c r="LB22" s="270"/>
      <c r="LC22" s="270"/>
      <c r="LD22" s="270"/>
      <c r="LE22" s="270"/>
      <c r="LF22" s="270"/>
      <c r="LG22" s="270"/>
      <c r="LH22" s="270"/>
      <c r="LI22" s="270"/>
      <c r="LJ22" s="270"/>
      <c r="LK22" s="270"/>
      <c r="LL22" s="270"/>
      <c r="LM22" s="270"/>
      <c r="LN22" s="270"/>
      <c r="LO22" s="270"/>
      <c r="LP22" s="270"/>
      <c r="LQ22" s="270"/>
      <c r="LR22" s="270"/>
      <c r="LS22" s="270"/>
      <c r="LT22" s="270"/>
      <c r="LU22" s="270"/>
      <c r="LV22" s="270"/>
      <c r="LW22" s="270"/>
      <c r="LX22" s="270"/>
      <c r="LY22" s="270"/>
      <c r="LZ22" s="270"/>
      <c r="MA22" s="270"/>
      <c r="MB22" s="270"/>
      <c r="MC22" s="270"/>
      <c r="MD22" s="270"/>
      <c r="ME22" s="270"/>
      <c r="MF22" s="270"/>
      <c r="MG22" s="270"/>
      <c r="MH22" s="270"/>
      <c r="MI22" s="270"/>
      <c r="MJ22" s="270"/>
      <c r="MK22" s="270"/>
      <c r="ML22" s="270"/>
      <c r="MM22" s="270"/>
      <c r="MN22" s="270"/>
      <c r="MO22" s="270"/>
      <c r="MP22" s="270"/>
      <c r="MQ22" s="270"/>
      <c r="MR22" s="270"/>
      <c r="MS22" s="270"/>
      <c r="MT22" s="270"/>
      <c r="MU22" s="270"/>
      <c r="MV22" s="270"/>
      <c r="MW22" s="270"/>
      <c r="MX22" s="270"/>
      <c r="MY22" s="270"/>
      <c r="MZ22" s="270"/>
      <c r="NA22" s="270"/>
      <c r="NB22" s="270"/>
      <c r="NC22" s="270"/>
      <c r="ND22" s="270"/>
      <c r="NE22" s="270"/>
      <c r="NF22" s="270"/>
      <c r="NG22" s="270"/>
      <c r="NH22" s="270"/>
      <c r="NI22" s="270"/>
      <c r="NJ22" s="270"/>
      <c r="NK22" s="270"/>
      <c r="NL22" s="270"/>
      <c r="NM22" s="270"/>
      <c r="NN22" s="270"/>
      <c r="NO22" s="270"/>
      <c r="NP22" s="270"/>
      <c r="NQ22" s="270"/>
      <c r="NR22" s="270"/>
      <c r="NS22" s="270"/>
      <c r="NT22" s="270"/>
      <c r="NU22" s="270"/>
      <c r="NV22" s="270"/>
      <c r="NW22" s="270"/>
      <c r="NX22" s="270"/>
      <c r="NY22" s="270"/>
      <c r="NZ22" s="270"/>
      <c r="OA22" s="270"/>
      <c r="OB22" s="270"/>
      <c r="OC22" s="270"/>
      <c r="OD22" s="270"/>
      <c r="OE22" s="270"/>
      <c r="OF22" s="270"/>
      <c r="OG22" s="270"/>
      <c r="OH22" s="270"/>
      <c r="OI22" s="270"/>
      <c r="OJ22" s="270"/>
      <c r="OK22" s="270"/>
      <c r="OL22" s="270"/>
      <c r="OM22" s="270"/>
      <c r="ON22" s="270"/>
      <c r="OO22" s="270"/>
      <c r="OP22" s="270"/>
      <c r="OQ22" s="270"/>
      <c r="OR22" s="270"/>
      <c r="OS22" s="270"/>
      <c r="OT22" s="270"/>
      <c r="OU22" s="270"/>
      <c r="OV22" s="270"/>
      <c r="OW22" s="270"/>
      <c r="OX22" s="270"/>
      <c r="OY22" s="270"/>
      <c r="OZ22" s="270"/>
      <c r="PA22" s="270"/>
      <c r="PB22" s="270"/>
      <c r="PC22" s="270"/>
      <c r="PD22" s="270"/>
      <c r="PE22" s="270"/>
      <c r="PF22" s="270"/>
      <c r="PG22" s="270"/>
      <c r="PH22" s="270"/>
      <c r="PI22" s="270"/>
      <c r="PJ22" s="270"/>
      <c r="PK22" s="270"/>
      <c r="PL22" s="270"/>
      <c r="PM22" s="270"/>
      <c r="PN22" s="270"/>
      <c r="PO22" s="270"/>
      <c r="PP22" s="270"/>
      <c r="PQ22" s="270"/>
      <c r="PR22" s="270"/>
      <c r="PS22" s="270"/>
      <c r="PT22" s="270"/>
      <c r="PU22" s="270"/>
      <c r="PV22" s="270"/>
      <c r="PW22" s="270"/>
      <c r="PX22" s="270"/>
      <c r="PY22" s="270"/>
      <c r="PZ22" s="270"/>
      <c r="QA22" s="270"/>
      <c r="QB22" s="270"/>
      <c r="QC22" s="270"/>
      <c r="QD22" s="270"/>
      <c r="QE22" s="270"/>
      <c r="QF22" s="270"/>
      <c r="QG22" s="270"/>
      <c r="QH22" s="270"/>
      <c r="QI22" s="270"/>
      <c r="QJ22" s="270"/>
      <c r="QK22" s="270"/>
      <c r="QL22" s="270"/>
      <c r="QM22" s="270"/>
      <c r="QN22" s="270"/>
      <c r="QO22" s="270"/>
      <c r="QP22" s="270"/>
      <c r="QQ22" s="270"/>
      <c r="QR22" s="270"/>
      <c r="QS22" s="270"/>
      <c r="QT22" s="270"/>
      <c r="QU22" s="270"/>
      <c r="QV22" s="270"/>
      <c r="QW22" s="270"/>
      <c r="QX22" s="270"/>
      <c r="QY22" s="270"/>
      <c r="QZ22" s="302"/>
    </row>
    <row r="23" spans="1:468" s="289" customFormat="1" ht="82.5" customHeight="1" x14ac:dyDescent="0.2">
      <c r="A23" s="274">
        <v>5</v>
      </c>
      <c r="B23" s="327"/>
      <c r="C23" s="327"/>
      <c r="D23" s="327"/>
      <c r="E23" s="327"/>
      <c r="F23" s="282"/>
      <c r="G23" s="283"/>
      <c r="H23" s="326" t="str">
        <f t="shared" ref="H23" si="32">IF(G23&lt;=0,"",IF(G23&lt;=2,"Muy Baja",IF(G23&lt;=24,"Baja",IF(G23&lt;=500,"Media",IF(G23&lt;=5000,"Alta","Muy Alta")))))</f>
        <v/>
      </c>
      <c r="I23" s="320" t="str">
        <f t="shared" ref="I23" si="33">IF(H23="","",IF(H23="Muy Baja",0.2,IF(H23="Baja",0.4,IF(H23="Media",0.6,IF(H23="Alta",0.8,IF(H23="Muy Alta",1,))))))</f>
        <v/>
      </c>
      <c r="J23" s="426"/>
      <c r="K23" s="320">
        <f>IF(NOT(ISERROR(MATCH(J23,'[2]Tabla Impacto'!$B$221:$B$223,0))),'[2]Tabla Impacto'!$F$223&amp;"Por favor no seleccionar los criterios de impacto(Afectación Económica o presupuestal y Pérdida Reputacional)",J23)</f>
        <v>0</v>
      </c>
      <c r="L23" s="326" t="str">
        <f>IF(J23&lt;=0,"",IF(J23&lt;=20%,"Leve",IF(J23&lt;=40%,"Menor",IF(J23&lt;=60%,"Moderado",IF(J23&lt;=80%,"Mayor","Catastrófico")))))</f>
        <v/>
      </c>
      <c r="M23" s="320" t="str">
        <f t="shared" ref="M23" si="34">IF(L23="","",IF(L23="Leve",0.2,IF(L23="Menor",0.4,IF(L23="Moderado",0.6,IF(L23="Mayor",0.8,IF(L23="Catastrófico",1,))))))</f>
        <v/>
      </c>
      <c r="N23" s="325"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328">
        <v>1</v>
      </c>
      <c r="P23" s="332"/>
      <c r="Q23" s="276" t="str">
        <f t="shared" si="7"/>
        <v/>
      </c>
      <c r="R23" s="277"/>
      <c r="S23" s="277"/>
      <c r="T23" s="278" t="str">
        <f>IF(AND(R23="Preventivo",S23="Automático"),"50%",IF(AND(R23="Preventivo",S23="Manual"),"40%",IF(AND(R23="Detectivo",S23="Automático"),"40%",IF(AND(R23="Detectivo",S23="Manual"),"30%",IF(AND(R23="Correctivo",S23="Automático"),"35%",IF(AND(R23="Correctivo",S23="Manual"),"25%",""))))))</f>
        <v/>
      </c>
      <c r="U23" s="277"/>
      <c r="V23" s="277"/>
      <c r="W23" s="277"/>
      <c r="X23" s="279" t="str">
        <f>IFERROR(IF(Q23="Probabilidad",(I23-(+I23*T23)),IF(Q23="Impacto",I23,"")),"")</f>
        <v/>
      </c>
      <c r="Y23" s="280" t="str">
        <f>IFERROR(IF(X23="","",IF(X23&lt;=0.2,"Muy Baja",IF(X23&lt;=0.4,"Baja",IF(X23&lt;=0.6,"Media",IF(X23&lt;=0.8,"Alta","Muy Alta"))))),"")</f>
        <v/>
      </c>
      <c r="Z23" s="278" t="str">
        <f>+X23</f>
        <v/>
      </c>
      <c r="AA23" s="280" t="str">
        <f>IFERROR(IF(AB23="","",IF(AB23&lt;=0.2,"Leve",IF(AB23&lt;=0.4,"Menor",IF(AB23&lt;=0.6,"Moderado",IF(AB23&lt;=0.8,"Mayor","Catastrófico"))))),"")</f>
        <v/>
      </c>
      <c r="AB23" s="278" t="str">
        <f>IFERROR(IF(Q23="Impacto",(M23-(+M23*T23)),IF(Q23="Probabilidad",M23,"")),"")</f>
        <v/>
      </c>
      <c r="AC23" s="281"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7"/>
      <c r="AE23" s="282"/>
      <c r="AF23" s="282"/>
      <c r="AG23" s="284"/>
      <c r="AH23" s="284"/>
      <c r="AI23" s="284"/>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70"/>
      <c r="DB23" s="270"/>
      <c r="DC23" s="270"/>
      <c r="DD23" s="270"/>
      <c r="DE23" s="270"/>
      <c r="DF23" s="270"/>
      <c r="DG23" s="270"/>
      <c r="DH23" s="270"/>
      <c r="DI23" s="270"/>
      <c r="DJ23" s="270"/>
      <c r="DK23" s="270"/>
      <c r="DL23" s="270"/>
      <c r="DM23" s="270"/>
      <c r="DN23" s="270"/>
      <c r="DO23" s="270"/>
      <c r="DP23" s="270"/>
      <c r="DQ23" s="270"/>
      <c r="DR23" s="270"/>
      <c r="DS23" s="270"/>
      <c r="DT23" s="270"/>
      <c r="DU23" s="270"/>
      <c r="DV23" s="270"/>
      <c r="DW23" s="270"/>
      <c r="DX23" s="270"/>
      <c r="DY23" s="270"/>
      <c r="DZ23" s="270"/>
      <c r="EA23" s="270"/>
      <c r="EB23" s="270"/>
      <c r="EC23" s="270"/>
      <c r="ED23" s="270"/>
      <c r="EE23" s="270"/>
      <c r="EF23" s="270"/>
      <c r="EG23" s="270"/>
      <c r="EH23" s="270"/>
      <c r="EI23" s="270"/>
      <c r="EJ23" s="270"/>
      <c r="EK23" s="270"/>
      <c r="EL23" s="270"/>
      <c r="EM23" s="270"/>
      <c r="EN23" s="270"/>
      <c r="EO23" s="270"/>
      <c r="EP23" s="270"/>
      <c r="EQ23" s="270"/>
      <c r="ER23" s="270"/>
      <c r="ES23" s="270"/>
      <c r="ET23" s="270"/>
      <c r="EU23" s="270"/>
      <c r="EV23" s="270"/>
      <c r="EW23" s="270"/>
      <c r="EX23" s="270"/>
      <c r="EY23" s="270"/>
      <c r="EZ23" s="270"/>
      <c r="FA23" s="270"/>
      <c r="FB23" s="270"/>
      <c r="FC23" s="270"/>
      <c r="FD23" s="270"/>
      <c r="FE23" s="270"/>
      <c r="FF23" s="270"/>
      <c r="FG23" s="270"/>
      <c r="FH23" s="270"/>
      <c r="FI23" s="270"/>
      <c r="FJ23" s="270"/>
      <c r="FK23" s="270"/>
      <c r="FL23" s="270"/>
      <c r="FM23" s="270"/>
      <c r="FN23" s="270"/>
      <c r="FO23" s="270"/>
      <c r="FP23" s="270"/>
      <c r="FQ23" s="270"/>
      <c r="FR23" s="270"/>
      <c r="FS23" s="270"/>
      <c r="FT23" s="270"/>
      <c r="FU23" s="270"/>
      <c r="FV23" s="270"/>
      <c r="FW23" s="270"/>
      <c r="FX23" s="270"/>
      <c r="FY23" s="270"/>
      <c r="FZ23" s="270"/>
      <c r="GA23" s="270"/>
      <c r="GB23" s="270"/>
      <c r="GC23" s="270"/>
      <c r="GD23" s="270"/>
      <c r="GE23" s="270"/>
      <c r="GF23" s="270"/>
      <c r="GG23" s="270"/>
      <c r="GH23" s="270"/>
      <c r="GI23" s="270"/>
      <c r="GJ23" s="270"/>
      <c r="GK23" s="270"/>
      <c r="GL23" s="270"/>
      <c r="GM23" s="270"/>
      <c r="GN23" s="270"/>
      <c r="GO23" s="270"/>
      <c r="GP23" s="270"/>
      <c r="GQ23" s="270"/>
      <c r="GR23" s="270"/>
      <c r="GS23" s="270"/>
      <c r="GT23" s="270"/>
      <c r="GU23" s="270"/>
      <c r="GV23" s="270"/>
      <c r="GW23" s="270"/>
      <c r="GX23" s="270"/>
      <c r="GY23" s="270"/>
      <c r="GZ23" s="270"/>
      <c r="HA23" s="270"/>
      <c r="HB23" s="270"/>
      <c r="HC23" s="270"/>
      <c r="HD23" s="270"/>
      <c r="HE23" s="270"/>
      <c r="HF23" s="270"/>
      <c r="HG23" s="270"/>
      <c r="HH23" s="270"/>
      <c r="HI23" s="270"/>
      <c r="HJ23" s="270"/>
      <c r="HK23" s="270"/>
      <c r="HL23" s="270"/>
      <c r="HM23" s="270"/>
      <c r="HN23" s="270"/>
      <c r="HO23" s="270"/>
      <c r="HP23" s="270"/>
      <c r="HQ23" s="270"/>
      <c r="HR23" s="270"/>
      <c r="HS23" s="270"/>
      <c r="HT23" s="270"/>
      <c r="HU23" s="270"/>
      <c r="HV23" s="270"/>
      <c r="HW23" s="270"/>
      <c r="HX23" s="270"/>
      <c r="HY23" s="270"/>
      <c r="HZ23" s="270"/>
      <c r="IA23" s="270"/>
      <c r="IB23" s="270"/>
      <c r="IC23" s="270"/>
      <c r="ID23" s="270"/>
      <c r="IE23" s="270"/>
      <c r="IF23" s="270"/>
      <c r="IG23" s="270"/>
      <c r="IH23" s="270"/>
      <c r="II23" s="270"/>
      <c r="IJ23" s="270"/>
      <c r="IK23" s="270"/>
      <c r="IL23" s="270"/>
      <c r="IM23" s="270"/>
      <c r="IN23" s="270"/>
      <c r="IO23" s="270"/>
      <c r="IP23" s="270"/>
      <c r="IQ23" s="270"/>
      <c r="IR23" s="270"/>
      <c r="IS23" s="270"/>
      <c r="IT23" s="270"/>
      <c r="IU23" s="270"/>
      <c r="IV23" s="270"/>
      <c r="IW23" s="270"/>
      <c r="IX23" s="270"/>
      <c r="IY23" s="270"/>
      <c r="IZ23" s="270"/>
      <c r="JA23" s="270"/>
      <c r="JB23" s="270"/>
      <c r="JC23" s="270"/>
      <c r="JD23" s="270"/>
      <c r="JE23" s="270"/>
      <c r="JF23" s="270"/>
      <c r="JG23" s="270"/>
      <c r="JH23" s="270"/>
      <c r="JI23" s="270"/>
      <c r="JJ23" s="270"/>
      <c r="JK23" s="270"/>
      <c r="JL23" s="270"/>
      <c r="JM23" s="270"/>
      <c r="JN23" s="270"/>
      <c r="JO23" s="270"/>
      <c r="JP23" s="270"/>
      <c r="JQ23" s="270"/>
      <c r="JR23" s="270"/>
      <c r="JS23" s="270"/>
      <c r="JT23" s="270"/>
      <c r="JU23" s="270"/>
      <c r="JV23" s="270"/>
      <c r="JW23" s="270"/>
      <c r="JX23" s="270"/>
      <c r="JY23" s="270"/>
      <c r="JZ23" s="270"/>
      <c r="KA23" s="270"/>
      <c r="KB23" s="270"/>
      <c r="KC23" s="270"/>
      <c r="KD23" s="270"/>
      <c r="KE23" s="270"/>
      <c r="KF23" s="270"/>
      <c r="KG23" s="270"/>
      <c r="KH23" s="270"/>
      <c r="KI23" s="270"/>
      <c r="KJ23" s="270"/>
      <c r="KK23" s="270"/>
      <c r="KL23" s="270"/>
      <c r="KM23" s="270"/>
      <c r="KN23" s="270"/>
      <c r="KO23" s="270"/>
      <c r="KP23" s="270"/>
      <c r="KQ23" s="270"/>
      <c r="KR23" s="270"/>
      <c r="KS23" s="270"/>
      <c r="KT23" s="270"/>
      <c r="KU23" s="270"/>
      <c r="KV23" s="270"/>
      <c r="KW23" s="270"/>
      <c r="KX23" s="270"/>
      <c r="KY23" s="270"/>
      <c r="KZ23" s="270"/>
      <c r="LA23" s="270"/>
      <c r="LB23" s="270"/>
      <c r="LC23" s="270"/>
      <c r="LD23" s="270"/>
      <c r="LE23" s="270"/>
      <c r="LF23" s="270"/>
      <c r="LG23" s="270"/>
      <c r="LH23" s="270"/>
      <c r="LI23" s="270"/>
      <c r="LJ23" s="270"/>
      <c r="LK23" s="270"/>
      <c r="LL23" s="270"/>
      <c r="LM23" s="270"/>
      <c r="LN23" s="270"/>
      <c r="LO23" s="270"/>
      <c r="LP23" s="270"/>
      <c r="LQ23" s="270"/>
      <c r="LR23" s="270"/>
      <c r="LS23" s="270"/>
      <c r="LT23" s="270"/>
      <c r="LU23" s="270"/>
      <c r="LV23" s="270"/>
      <c r="LW23" s="270"/>
      <c r="LX23" s="270"/>
      <c r="LY23" s="270"/>
      <c r="LZ23" s="270"/>
      <c r="MA23" s="270"/>
      <c r="MB23" s="270"/>
      <c r="MC23" s="270"/>
      <c r="MD23" s="270"/>
      <c r="ME23" s="270"/>
      <c r="MF23" s="270"/>
      <c r="MG23" s="270"/>
      <c r="MH23" s="270"/>
      <c r="MI23" s="270"/>
      <c r="MJ23" s="270"/>
      <c r="MK23" s="270"/>
      <c r="ML23" s="270"/>
      <c r="MM23" s="270"/>
      <c r="MN23" s="270"/>
      <c r="MO23" s="270"/>
      <c r="MP23" s="270"/>
      <c r="MQ23" s="270"/>
      <c r="MR23" s="270"/>
      <c r="MS23" s="270"/>
      <c r="MT23" s="270"/>
      <c r="MU23" s="270"/>
      <c r="MV23" s="270"/>
      <c r="MW23" s="270"/>
      <c r="MX23" s="270"/>
      <c r="MY23" s="270"/>
      <c r="MZ23" s="270"/>
      <c r="NA23" s="270"/>
      <c r="NB23" s="270"/>
      <c r="NC23" s="270"/>
      <c r="ND23" s="270"/>
      <c r="NE23" s="270"/>
      <c r="NF23" s="270"/>
      <c r="NG23" s="270"/>
      <c r="NH23" s="270"/>
      <c r="NI23" s="270"/>
      <c r="NJ23" s="270"/>
      <c r="NK23" s="270"/>
      <c r="NL23" s="270"/>
      <c r="NM23" s="270"/>
      <c r="NN23" s="270"/>
      <c r="NO23" s="270"/>
      <c r="NP23" s="270"/>
      <c r="NQ23" s="270"/>
      <c r="NR23" s="270"/>
      <c r="NS23" s="270"/>
      <c r="NT23" s="270"/>
      <c r="NU23" s="270"/>
      <c r="NV23" s="270"/>
      <c r="NW23" s="270"/>
      <c r="NX23" s="270"/>
      <c r="NY23" s="270"/>
      <c r="NZ23" s="270"/>
      <c r="OA23" s="270"/>
      <c r="OB23" s="270"/>
      <c r="OC23" s="270"/>
      <c r="OD23" s="270"/>
      <c r="OE23" s="270"/>
      <c r="OF23" s="270"/>
      <c r="OG23" s="270"/>
      <c r="OH23" s="270"/>
      <c r="OI23" s="270"/>
      <c r="OJ23" s="270"/>
      <c r="OK23" s="270"/>
      <c r="OL23" s="270"/>
      <c r="OM23" s="270"/>
      <c r="ON23" s="270"/>
      <c r="OO23" s="270"/>
      <c r="OP23" s="270"/>
      <c r="OQ23" s="270"/>
      <c r="OR23" s="270"/>
      <c r="OS23" s="270"/>
      <c r="OT23" s="270"/>
      <c r="OU23" s="270"/>
      <c r="OV23" s="270"/>
      <c r="OW23" s="270"/>
      <c r="OX23" s="270"/>
      <c r="OY23" s="270"/>
      <c r="OZ23" s="270"/>
      <c r="PA23" s="270"/>
      <c r="PB23" s="270"/>
      <c r="PC23" s="270"/>
      <c r="PD23" s="270"/>
      <c r="PE23" s="270"/>
      <c r="PF23" s="270"/>
      <c r="PG23" s="270"/>
      <c r="PH23" s="270"/>
      <c r="PI23" s="270"/>
      <c r="PJ23" s="270"/>
      <c r="PK23" s="270"/>
      <c r="PL23" s="270"/>
      <c r="PM23" s="270"/>
      <c r="PN23" s="270"/>
      <c r="PO23" s="270"/>
      <c r="PP23" s="270"/>
      <c r="PQ23" s="270"/>
      <c r="PR23" s="270"/>
      <c r="PS23" s="270"/>
      <c r="PT23" s="270"/>
      <c r="PU23" s="270"/>
      <c r="PV23" s="270"/>
      <c r="PW23" s="270"/>
      <c r="PX23" s="270"/>
      <c r="PY23" s="270"/>
      <c r="PZ23" s="270"/>
      <c r="QA23" s="270"/>
      <c r="QB23" s="270"/>
      <c r="QC23" s="270"/>
      <c r="QD23" s="270"/>
      <c r="QE23" s="270"/>
      <c r="QF23" s="270"/>
      <c r="QG23" s="270"/>
      <c r="QH23" s="270"/>
      <c r="QI23" s="270"/>
      <c r="QJ23" s="270"/>
      <c r="QK23" s="270"/>
      <c r="QL23" s="270"/>
      <c r="QM23" s="270"/>
      <c r="QN23" s="270"/>
      <c r="QO23" s="270"/>
      <c r="QP23" s="270"/>
      <c r="QQ23" s="270"/>
      <c r="QR23" s="270"/>
      <c r="QS23" s="270"/>
      <c r="QT23" s="270"/>
      <c r="QU23" s="270"/>
      <c r="QV23" s="270"/>
      <c r="QW23" s="270"/>
      <c r="QX23" s="270"/>
      <c r="QY23" s="270"/>
      <c r="QZ23" s="302"/>
    </row>
    <row r="24" spans="1:468" s="289" customFormat="1" ht="69" customHeight="1" x14ac:dyDescent="0.2">
      <c r="A24" s="559">
        <v>6</v>
      </c>
      <c r="B24" s="558"/>
      <c r="C24" s="558"/>
      <c r="D24" s="558"/>
      <c r="E24" s="560"/>
      <c r="F24" s="558"/>
      <c r="G24" s="556"/>
      <c r="H24" s="557" t="str">
        <f t="shared" ref="H24" si="35">IF(G24&lt;=0,"",IF(G24&lt;=2,"Muy Baja",IF(G24&lt;=24,"Baja",IF(G24&lt;=500,"Media",IF(G24&lt;=5000,"Alta","Muy Alta")))))</f>
        <v/>
      </c>
      <c r="I24" s="554" t="str">
        <f t="shared" ref="I24" si="36">IF(H24="","",IF(H24="Muy Baja",0.2,IF(H24="Baja",0.4,IF(H24="Media",0.6,IF(H24="Alta",0.8,IF(H24="Muy Alta",1,))))))</f>
        <v/>
      </c>
      <c r="J24" s="558"/>
      <c r="K24" s="554">
        <f>IF(NOT(ISERROR(MATCH(J24,'[2]Tabla Impacto'!$B$221:$B$223,0))),'[2]Tabla Impacto'!$F$223&amp;"Por favor no seleccionar los criterios de impacto(Afectación Económica o presupuestal y Pérdida Reputacional)",J24)</f>
        <v>0</v>
      </c>
      <c r="L24" s="557" t="str">
        <f t="shared" ref="L24" si="37">IF(J24&lt;=0,"",IF(J24&lt;=10,"Leve",IF(J24&lt;=50,"Menor",IF(J24&lt;=100,"Moderado",IF(J24&lt;=500,"Mayor","Catastrófico")))))</f>
        <v/>
      </c>
      <c r="M24" s="554" t="str">
        <f t="shared" ref="M24" si="38">IF(L24="","",IF(L24="Leve",0.2,IF(L24="Menor",0.4,IF(L24="Moderado",0.6,IF(L24="Mayor",0.8,IF(L24="Catastrófico",1,))))))</f>
        <v/>
      </c>
      <c r="N24" s="555" t="str">
        <f t="shared" ref="N24" si="39">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274">
        <v>1</v>
      </c>
      <c r="P24" s="275"/>
      <c r="Q24" s="276" t="str">
        <f t="shared" si="7"/>
        <v/>
      </c>
      <c r="R24" s="277"/>
      <c r="S24" s="277"/>
      <c r="T24" s="278" t="str">
        <f>IF(AND(R24="Preventivo",S24="Automático"),"50%",IF(AND(R24="Preventivo",S24="Manual"),"40%",IF(AND(R24="Detectivo",S24="Automático"),"40%",IF(AND(R24="Detectivo",S24="Manual"),"30%",IF(AND(R24="Correctivo",S24="Automático"),"35%",IF(AND(R24="Correctivo",S24="Manual"),"25%",""))))))</f>
        <v/>
      </c>
      <c r="U24" s="277"/>
      <c r="V24" s="277"/>
      <c r="W24" s="277"/>
      <c r="X24" s="279" t="str">
        <f>IFERROR(IF(Q24="Probabilidad",(I24-(+I24*T24)),IF(Q24="Impacto",I24,"")),"")</f>
        <v/>
      </c>
      <c r="Y24" s="280" t="str">
        <f>IFERROR(IF(X24="","",IF(X24&lt;=0.2,"Muy Baja",IF(X24&lt;=0.4,"Baja",IF(X24&lt;=0.6,"Media",IF(X24&lt;=0.8,"Alta","Muy Alta"))))),"")</f>
        <v/>
      </c>
      <c r="Z24" s="278" t="str">
        <f>+X24</f>
        <v/>
      </c>
      <c r="AA24" s="280" t="str">
        <f>IFERROR(IF(AB24="","",IF(AB24&lt;=0.2,"Leve",IF(AB24&lt;=0.4,"Menor",IF(AB24&lt;=0.6,"Moderado",IF(AB24&lt;=0.8,"Mayor","Catastrófico"))))),"")</f>
        <v/>
      </c>
      <c r="AB24" s="278" t="str">
        <f>IFERROR(IF(Q24="Impacto",(M24-(+M24*T24)),IF(Q24="Probabilidad",M24,"")),"")</f>
        <v/>
      </c>
      <c r="AC24" s="281" t="str">
        <f>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7"/>
      <c r="AE24" s="282"/>
      <c r="AF24" s="282"/>
      <c r="AG24" s="283"/>
      <c r="AH24" s="284"/>
      <c r="AI24" s="284"/>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c r="EP24" s="270"/>
      <c r="EQ24" s="270"/>
      <c r="ER24" s="270"/>
      <c r="ES24" s="270"/>
      <c r="ET24" s="270"/>
      <c r="EU24" s="270"/>
      <c r="EV24" s="270"/>
      <c r="EW24" s="270"/>
      <c r="EX24" s="270"/>
      <c r="EY24" s="270"/>
      <c r="EZ24" s="270"/>
      <c r="FA24" s="270"/>
      <c r="FB24" s="270"/>
      <c r="FC24" s="270"/>
      <c r="FD24" s="270"/>
      <c r="FE24" s="270"/>
      <c r="FF24" s="270"/>
      <c r="FG24" s="270"/>
      <c r="FH24" s="270"/>
      <c r="FI24" s="270"/>
      <c r="FJ24" s="270"/>
      <c r="FK24" s="270"/>
      <c r="FL24" s="270"/>
      <c r="FM24" s="270"/>
      <c r="FN24" s="270"/>
      <c r="FO24" s="270"/>
      <c r="FP24" s="270"/>
      <c r="FQ24" s="270"/>
      <c r="FR24" s="270"/>
      <c r="FS24" s="270"/>
      <c r="FT24" s="270"/>
      <c r="FU24" s="270"/>
      <c r="FV24" s="270"/>
      <c r="FW24" s="270"/>
      <c r="FX24" s="270"/>
      <c r="FY24" s="270"/>
      <c r="FZ24" s="270"/>
      <c r="GA24" s="270"/>
      <c r="GB24" s="270"/>
      <c r="GC24" s="270"/>
      <c r="GD24" s="270"/>
      <c r="GE24" s="270"/>
      <c r="GF24" s="270"/>
      <c r="GG24" s="270"/>
      <c r="GH24" s="270"/>
      <c r="GI24" s="270"/>
      <c r="GJ24" s="270"/>
      <c r="GK24" s="270"/>
      <c r="GL24" s="270"/>
      <c r="GM24" s="270"/>
      <c r="GN24" s="270"/>
      <c r="GO24" s="270"/>
      <c r="GP24" s="270"/>
      <c r="GQ24" s="270"/>
      <c r="GR24" s="270"/>
      <c r="GS24" s="270"/>
      <c r="GT24" s="270"/>
      <c r="GU24" s="270"/>
      <c r="GV24" s="270"/>
      <c r="GW24" s="270"/>
      <c r="GX24" s="270"/>
      <c r="GY24" s="270"/>
      <c r="GZ24" s="270"/>
      <c r="HA24" s="270"/>
      <c r="HB24" s="270"/>
      <c r="HC24" s="270"/>
      <c r="HD24" s="270"/>
      <c r="HE24" s="270"/>
      <c r="HF24" s="270"/>
      <c r="HG24" s="270"/>
      <c r="HH24" s="270"/>
      <c r="HI24" s="270"/>
      <c r="HJ24" s="270"/>
      <c r="HK24" s="270"/>
      <c r="HL24" s="270"/>
      <c r="HM24" s="270"/>
      <c r="HN24" s="270"/>
      <c r="HO24" s="270"/>
      <c r="HP24" s="270"/>
      <c r="HQ24" s="270"/>
      <c r="HR24" s="270"/>
      <c r="HS24" s="270"/>
      <c r="HT24" s="270"/>
      <c r="HU24" s="270"/>
      <c r="HV24" s="270"/>
      <c r="HW24" s="270"/>
      <c r="HX24" s="270"/>
      <c r="HY24" s="270"/>
      <c r="HZ24" s="270"/>
      <c r="IA24" s="270"/>
      <c r="IB24" s="270"/>
      <c r="IC24" s="270"/>
      <c r="ID24" s="270"/>
      <c r="IE24" s="270"/>
      <c r="IF24" s="270"/>
      <c r="IG24" s="270"/>
      <c r="IH24" s="270"/>
      <c r="II24" s="270"/>
      <c r="IJ24" s="270"/>
      <c r="IK24" s="270"/>
      <c r="IL24" s="270"/>
      <c r="IM24" s="270"/>
      <c r="IN24" s="270"/>
      <c r="IO24" s="270"/>
      <c r="IP24" s="270"/>
      <c r="IQ24" s="270"/>
      <c r="IR24" s="270"/>
      <c r="IS24" s="270"/>
      <c r="IT24" s="270"/>
      <c r="IU24" s="270"/>
      <c r="IV24" s="270"/>
      <c r="IW24" s="270"/>
      <c r="IX24" s="270"/>
      <c r="IY24" s="270"/>
      <c r="IZ24" s="270"/>
      <c r="JA24" s="270"/>
      <c r="JB24" s="270"/>
      <c r="JC24" s="270"/>
      <c r="JD24" s="270"/>
      <c r="JE24" s="270"/>
      <c r="JF24" s="270"/>
      <c r="JG24" s="270"/>
      <c r="JH24" s="270"/>
      <c r="JI24" s="270"/>
      <c r="JJ24" s="270"/>
      <c r="JK24" s="270"/>
      <c r="JL24" s="270"/>
      <c r="JM24" s="270"/>
      <c r="JN24" s="270"/>
      <c r="JO24" s="270"/>
      <c r="JP24" s="270"/>
      <c r="JQ24" s="270"/>
      <c r="JR24" s="270"/>
      <c r="JS24" s="270"/>
      <c r="JT24" s="270"/>
      <c r="JU24" s="270"/>
      <c r="JV24" s="270"/>
      <c r="JW24" s="270"/>
      <c r="JX24" s="270"/>
      <c r="JY24" s="270"/>
      <c r="JZ24" s="270"/>
      <c r="KA24" s="270"/>
      <c r="KB24" s="270"/>
      <c r="KC24" s="270"/>
      <c r="KD24" s="270"/>
      <c r="KE24" s="270"/>
      <c r="KF24" s="270"/>
      <c r="KG24" s="270"/>
      <c r="KH24" s="270"/>
      <c r="KI24" s="270"/>
      <c r="KJ24" s="270"/>
      <c r="KK24" s="270"/>
      <c r="KL24" s="270"/>
      <c r="KM24" s="270"/>
      <c r="KN24" s="270"/>
      <c r="KO24" s="270"/>
      <c r="KP24" s="270"/>
      <c r="KQ24" s="270"/>
      <c r="KR24" s="270"/>
      <c r="KS24" s="270"/>
      <c r="KT24" s="270"/>
      <c r="KU24" s="270"/>
      <c r="KV24" s="270"/>
      <c r="KW24" s="270"/>
      <c r="KX24" s="270"/>
      <c r="KY24" s="270"/>
      <c r="KZ24" s="270"/>
      <c r="LA24" s="270"/>
      <c r="LB24" s="270"/>
      <c r="LC24" s="270"/>
      <c r="LD24" s="270"/>
      <c r="LE24" s="270"/>
      <c r="LF24" s="270"/>
      <c r="LG24" s="270"/>
      <c r="LH24" s="270"/>
      <c r="LI24" s="270"/>
      <c r="LJ24" s="270"/>
      <c r="LK24" s="270"/>
      <c r="LL24" s="270"/>
      <c r="LM24" s="270"/>
      <c r="LN24" s="270"/>
      <c r="LO24" s="270"/>
      <c r="LP24" s="270"/>
      <c r="LQ24" s="270"/>
      <c r="LR24" s="270"/>
      <c r="LS24" s="270"/>
      <c r="LT24" s="270"/>
      <c r="LU24" s="270"/>
      <c r="LV24" s="270"/>
      <c r="LW24" s="270"/>
      <c r="LX24" s="270"/>
      <c r="LY24" s="270"/>
      <c r="LZ24" s="270"/>
      <c r="MA24" s="270"/>
      <c r="MB24" s="270"/>
      <c r="MC24" s="270"/>
      <c r="MD24" s="270"/>
      <c r="ME24" s="270"/>
      <c r="MF24" s="270"/>
      <c r="MG24" s="270"/>
      <c r="MH24" s="270"/>
      <c r="MI24" s="270"/>
      <c r="MJ24" s="270"/>
      <c r="MK24" s="270"/>
      <c r="ML24" s="270"/>
      <c r="MM24" s="270"/>
      <c r="MN24" s="270"/>
      <c r="MO24" s="270"/>
      <c r="MP24" s="270"/>
      <c r="MQ24" s="270"/>
      <c r="MR24" s="270"/>
      <c r="MS24" s="270"/>
      <c r="MT24" s="270"/>
      <c r="MU24" s="270"/>
      <c r="MV24" s="270"/>
      <c r="MW24" s="270"/>
      <c r="MX24" s="270"/>
      <c r="MY24" s="270"/>
      <c r="MZ24" s="270"/>
      <c r="NA24" s="270"/>
      <c r="NB24" s="270"/>
      <c r="NC24" s="270"/>
      <c r="ND24" s="270"/>
      <c r="NE24" s="270"/>
      <c r="NF24" s="270"/>
      <c r="NG24" s="270"/>
      <c r="NH24" s="270"/>
      <c r="NI24" s="270"/>
      <c r="NJ24" s="270"/>
      <c r="NK24" s="270"/>
      <c r="NL24" s="270"/>
      <c r="NM24" s="270"/>
      <c r="NN24" s="270"/>
      <c r="NO24" s="270"/>
      <c r="NP24" s="270"/>
      <c r="NQ24" s="270"/>
      <c r="NR24" s="270"/>
      <c r="NS24" s="270"/>
      <c r="NT24" s="270"/>
      <c r="NU24" s="270"/>
      <c r="NV24" s="270"/>
      <c r="NW24" s="270"/>
      <c r="NX24" s="270"/>
      <c r="NY24" s="270"/>
      <c r="NZ24" s="270"/>
      <c r="OA24" s="270"/>
      <c r="OB24" s="270"/>
      <c r="OC24" s="270"/>
      <c r="OD24" s="270"/>
      <c r="OE24" s="270"/>
      <c r="OF24" s="270"/>
      <c r="OG24" s="270"/>
      <c r="OH24" s="270"/>
      <c r="OI24" s="270"/>
      <c r="OJ24" s="270"/>
      <c r="OK24" s="270"/>
      <c r="OL24" s="270"/>
      <c r="OM24" s="270"/>
      <c r="ON24" s="270"/>
      <c r="OO24" s="270"/>
      <c r="OP24" s="270"/>
      <c r="OQ24" s="270"/>
      <c r="OR24" s="270"/>
      <c r="OS24" s="270"/>
      <c r="OT24" s="270"/>
      <c r="OU24" s="270"/>
      <c r="OV24" s="270"/>
      <c r="OW24" s="270"/>
      <c r="OX24" s="270"/>
      <c r="OY24" s="270"/>
      <c r="OZ24" s="270"/>
      <c r="PA24" s="270"/>
      <c r="PB24" s="270"/>
      <c r="PC24" s="270"/>
      <c r="PD24" s="270"/>
      <c r="PE24" s="270"/>
      <c r="PF24" s="270"/>
      <c r="PG24" s="270"/>
      <c r="PH24" s="270"/>
      <c r="PI24" s="270"/>
      <c r="PJ24" s="270"/>
      <c r="PK24" s="270"/>
      <c r="PL24" s="270"/>
      <c r="PM24" s="270"/>
      <c r="PN24" s="270"/>
      <c r="PO24" s="270"/>
      <c r="PP24" s="270"/>
      <c r="PQ24" s="270"/>
      <c r="PR24" s="270"/>
      <c r="PS24" s="270"/>
      <c r="PT24" s="270"/>
      <c r="PU24" s="270"/>
      <c r="PV24" s="270"/>
      <c r="PW24" s="270"/>
      <c r="PX24" s="270"/>
      <c r="PY24" s="270"/>
      <c r="PZ24" s="270"/>
      <c r="QA24" s="270"/>
      <c r="QB24" s="270"/>
      <c r="QC24" s="270"/>
      <c r="QD24" s="270"/>
      <c r="QE24" s="270"/>
      <c r="QF24" s="270"/>
      <c r="QG24" s="270"/>
      <c r="QH24" s="270"/>
      <c r="QI24" s="270"/>
      <c r="QJ24" s="270"/>
      <c r="QK24" s="270"/>
      <c r="QL24" s="270"/>
      <c r="QM24" s="270"/>
      <c r="QN24" s="270"/>
      <c r="QO24" s="270"/>
      <c r="QP24" s="270"/>
      <c r="QQ24" s="270"/>
      <c r="QR24" s="270"/>
      <c r="QS24" s="270"/>
      <c r="QT24" s="270"/>
      <c r="QU24" s="270"/>
      <c r="QV24" s="270"/>
      <c r="QW24" s="270"/>
      <c r="QX24" s="270"/>
      <c r="QY24" s="270"/>
      <c r="QZ24" s="302"/>
    </row>
    <row r="25" spans="1:468" s="289" customFormat="1" ht="69" customHeight="1" x14ac:dyDescent="0.2">
      <c r="A25" s="559"/>
      <c r="B25" s="558"/>
      <c r="C25" s="558"/>
      <c r="D25" s="558"/>
      <c r="E25" s="560"/>
      <c r="F25" s="558"/>
      <c r="G25" s="556"/>
      <c r="H25" s="557"/>
      <c r="I25" s="554"/>
      <c r="J25" s="558"/>
      <c r="K25" s="554">
        <f ca="1">IF(NOT(ISERROR(MATCH(J25,_xlfn.ANCHORARRAY(E28),0))),#REF!&amp;"Por favor no seleccionar los criterios de impacto",J25)</f>
        <v>0</v>
      </c>
      <c r="L25" s="557"/>
      <c r="M25" s="554"/>
      <c r="N25" s="555"/>
      <c r="O25" s="274">
        <v>2</v>
      </c>
      <c r="P25" s="275"/>
      <c r="Q25" s="276" t="str">
        <f t="shared" si="7"/>
        <v/>
      </c>
      <c r="R25" s="277"/>
      <c r="S25" s="277"/>
      <c r="T25" s="278" t="str">
        <f t="shared" ref="T25" si="40">IF(AND(R25="Preventivo",S25="Automático"),"50%",IF(AND(R25="Preventivo",S25="Manual"),"40%",IF(AND(R25="Detectivo",S25="Automático"),"40%",IF(AND(R25="Detectivo",S25="Manual"),"30%",IF(AND(R25="Correctivo",S25="Automático"),"35%",IF(AND(R25="Correctivo",S25="Manual"),"25%",""))))))</f>
        <v/>
      </c>
      <c r="U25" s="277"/>
      <c r="V25" s="277"/>
      <c r="W25" s="277"/>
      <c r="X25" s="279" t="str">
        <f>IFERROR(IF(AND(Q24="Probabilidad",Q25="Probabilidad"),(Z24-(+Z24*T25)),IF(Q25="Probabilidad",(I24-(+I24*T25)),IF(Q25="Impacto",Z24,""))),"")</f>
        <v/>
      </c>
      <c r="Y25" s="280" t="str">
        <f t="shared" si="18"/>
        <v/>
      </c>
      <c r="Z25" s="278" t="str">
        <f t="shared" ref="Z25" si="41">+X25</f>
        <v/>
      </c>
      <c r="AA25" s="280" t="str">
        <f t="shared" si="9"/>
        <v/>
      </c>
      <c r="AB25" s="278" t="str">
        <f>IFERROR(IF(AND(Q24="Impacto",Q25="Impacto"),(AB23-(+AB23*T25)),IF(Q25="Impacto",($M$24-(+$M$24*T25)),IF(Q25="Probabilidad",AB23,""))),"")</f>
        <v/>
      </c>
      <c r="AC25" s="281" t="str">
        <f t="shared" ref="AC25" si="42">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7"/>
      <c r="AE25" s="282"/>
      <c r="AF25" s="282"/>
      <c r="AG25" s="283"/>
      <c r="AH25" s="284"/>
      <c r="AI25" s="284"/>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c r="CJ25" s="270"/>
      <c r="CK25" s="270"/>
      <c r="CL25" s="270"/>
      <c r="CM25" s="270"/>
      <c r="CN25" s="270"/>
      <c r="CO25" s="270"/>
      <c r="CP25" s="270"/>
      <c r="CQ25" s="270"/>
      <c r="CR25" s="270"/>
      <c r="CS25" s="270"/>
      <c r="CT25" s="270"/>
      <c r="CU25" s="270"/>
      <c r="CV25" s="270"/>
      <c r="CW25" s="270"/>
      <c r="CX25" s="270"/>
      <c r="CY25" s="270"/>
      <c r="CZ25" s="270"/>
      <c r="DA25" s="270"/>
      <c r="DB25" s="270"/>
      <c r="DC25" s="270"/>
      <c r="DD25" s="270"/>
      <c r="DE25" s="270"/>
      <c r="DF25" s="270"/>
      <c r="DG25" s="270"/>
      <c r="DH25" s="270"/>
      <c r="DI25" s="270"/>
      <c r="DJ25" s="270"/>
      <c r="DK25" s="270"/>
      <c r="DL25" s="270"/>
      <c r="DM25" s="270"/>
      <c r="DN25" s="270"/>
      <c r="DO25" s="270"/>
      <c r="DP25" s="270"/>
      <c r="DQ25" s="270"/>
      <c r="DR25" s="270"/>
      <c r="DS25" s="270"/>
      <c r="DT25" s="270"/>
      <c r="DU25" s="270"/>
      <c r="DV25" s="270"/>
      <c r="DW25" s="270"/>
      <c r="DX25" s="270"/>
      <c r="DY25" s="270"/>
      <c r="DZ25" s="270"/>
      <c r="EA25" s="270"/>
      <c r="EB25" s="270"/>
      <c r="EC25" s="270"/>
      <c r="ED25" s="270"/>
      <c r="EE25" s="270"/>
      <c r="EF25" s="270"/>
      <c r="EG25" s="270"/>
      <c r="EH25" s="270"/>
      <c r="EI25" s="270"/>
      <c r="EJ25" s="270"/>
      <c r="EK25" s="270"/>
      <c r="EL25" s="270"/>
      <c r="EM25" s="270"/>
      <c r="EN25" s="270"/>
      <c r="EO25" s="270"/>
      <c r="EP25" s="270"/>
      <c r="EQ25" s="270"/>
      <c r="ER25" s="270"/>
      <c r="ES25" s="270"/>
      <c r="ET25" s="270"/>
      <c r="EU25" s="270"/>
      <c r="EV25" s="270"/>
      <c r="EW25" s="270"/>
      <c r="EX25" s="270"/>
      <c r="EY25" s="270"/>
      <c r="EZ25" s="270"/>
      <c r="FA25" s="270"/>
      <c r="FB25" s="270"/>
      <c r="FC25" s="270"/>
      <c r="FD25" s="270"/>
      <c r="FE25" s="270"/>
      <c r="FF25" s="270"/>
      <c r="FG25" s="270"/>
      <c r="FH25" s="270"/>
      <c r="FI25" s="270"/>
      <c r="FJ25" s="270"/>
      <c r="FK25" s="270"/>
      <c r="FL25" s="270"/>
      <c r="FM25" s="270"/>
      <c r="FN25" s="270"/>
      <c r="FO25" s="270"/>
      <c r="FP25" s="270"/>
      <c r="FQ25" s="270"/>
      <c r="FR25" s="270"/>
      <c r="FS25" s="270"/>
      <c r="FT25" s="270"/>
      <c r="FU25" s="270"/>
      <c r="FV25" s="270"/>
      <c r="FW25" s="270"/>
      <c r="FX25" s="270"/>
      <c r="FY25" s="270"/>
      <c r="FZ25" s="270"/>
      <c r="GA25" s="270"/>
      <c r="GB25" s="270"/>
      <c r="GC25" s="270"/>
      <c r="GD25" s="270"/>
      <c r="GE25" s="270"/>
      <c r="GF25" s="270"/>
      <c r="GG25" s="270"/>
      <c r="GH25" s="270"/>
      <c r="GI25" s="270"/>
      <c r="GJ25" s="270"/>
      <c r="GK25" s="270"/>
      <c r="GL25" s="270"/>
      <c r="GM25" s="270"/>
      <c r="GN25" s="270"/>
      <c r="GO25" s="270"/>
      <c r="GP25" s="270"/>
      <c r="GQ25" s="270"/>
      <c r="GR25" s="270"/>
      <c r="GS25" s="270"/>
      <c r="GT25" s="270"/>
      <c r="GU25" s="270"/>
      <c r="GV25" s="270"/>
      <c r="GW25" s="270"/>
      <c r="GX25" s="270"/>
      <c r="GY25" s="270"/>
      <c r="GZ25" s="270"/>
      <c r="HA25" s="270"/>
      <c r="HB25" s="270"/>
      <c r="HC25" s="270"/>
      <c r="HD25" s="270"/>
      <c r="HE25" s="270"/>
      <c r="HF25" s="270"/>
      <c r="HG25" s="270"/>
      <c r="HH25" s="270"/>
      <c r="HI25" s="270"/>
      <c r="HJ25" s="270"/>
      <c r="HK25" s="270"/>
      <c r="HL25" s="270"/>
      <c r="HM25" s="270"/>
      <c r="HN25" s="270"/>
      <c r="HO25" s="270"/>
      <c r="HP25" s="270"/>
      <c r="HQ25" s="270"/>
      <c r="HR25" s="270"/>
      <c r="HS25" s="270"/>
      <c r="HT25" s="270"/>
      <c r="HU25" s="270"/>
      <c r="HV25" s="270"/>
      <c r="HW25" s="270"/>
      <c r="HX25" s="270"/>
      <c r="HY25" s="270"/>
      <c r="HZ25" s="270"/>
      <c r="IA25" s="270"/>
      <c r="IB25" s="270"/>
      <c r="IC25" s="270"/>
      <c r="ID25" s="270"/>
      <c r="IE25" s="270"/>
      <c r="IF25" s="270"/>
      <c r="IG25" s="270"/>
      <c r="IH25" s="270"/>
      <c r="II25" s="270"/>
      <c r="IJ25" s="270"/>
      <c r="IK25" s="270"/>
      <c r="IL25" s="270"/>
      <c r="IM25" s="270"/>
      <c r="IN25" s="270"/>
      <c r="IO25" s="270"/>
      <c r="IP25" s="270"/>
      <c r="IQ25" s="270"/>
      <c r="IR25" s="270"/>
      <c r="IS25" s="270"/>
      <c r="IT25" s="270"/>
      <c r="IU25" s="270"/>
      <c r="IV25" s="270"/>
      <c r="IW25" s="270"/>
      <c r="IX25" s="270"/>
      <c r="IY25" s="270"/>
      <c r="IZ25" s="270"/>
      <c r="JA25" s="270"/>
      <c r="JB25" s="270"/>
      <c r="JC25" s="270"/>
      <c r="JD25" s="270"/>
      <c r="JE25" s="270"/>
      <c r="JF25" s="270"/>
      <c r="JG25" s="270"/>
      <c r="JH25" s="270"/>
      <c r="JI25" s="270"/>
      <c r="JJ25" s="270"/>
      <c r="JK25" s="270"/>
      <c r="JL25" s="270"/>
      <c r="JM25" s="270"/>
      <c r="JN25" s="270"/>
      <c r="JO25" s="270"/>
      <c r="JP25" s="270"/>
      <c r="JQ25" s="270"/>
      <c r="JR25" s="270"/>
      <c r="JS25" s="270"/>
      <c r="JT25" s="270"/>
      <c r="JU25" s="270"/>
      <c r="JV25" s="270"/>
      <c r="JW25" s="270"/>
      <c r="JX25" s="270"/>
      <c r="JY25" s="270"/>
      <c r="JZ25" s="270"/>
      <c r="KA25" s="270"/>
      <c r="KB25" s="270"/>
      <c r="KC25" s="270"/>
      <c r="KD25" s="270"/>
      <c r="KE25" s="270"/>
      <c r="KF25" s="270"/>
      <c r="KG25" s="270"/>
      <c r="KH25" s="270"/>
      <c r="KI25" s="270"/>
      <c r="KJ25" s="270"/>
      <c r="KK25" s="270"/>
      <c r="KL25" s="270"/>
      <c r="KM25" s="270"/>
      <c r="KN25" s="270"/>
      <c r="KO25" s="270"/>
      <c r="KP25" s="270"/>
      <c r="KQ25" s="270"/>
      <c r="KR25" s="270"/>
      <c r="KS25" s="270"/>
      <c r="KT25" s="270"/>
      <c r="KU25" s="270"/>
      <c r="KV25" s="270"/>
      <c r="KW25" s="270"/>
      <c r="KX25" s="270"/>
      <c r="KY25" s="270"/>
      <c r="KZ25" s="270"/>
      <c r="LA25" s="270"/>
      <c r="LB25" s="270"/>
      <c r="LC25" s="270"/>
      <c r="LD25" s="270"/>
      <c r="LE25" s="270"/>
      <c r="LF25" s="270"/>
      <c r="LG25" s="270"/>
      <c r="LH25" s="270"/>
      <c r="LI25" s="270"/>
      <c r="LJ25" s="270"/>
      <c r="LK25" s="270"/>
      <c r="LL25" s="270"/>
      <c r="LM25" s="270"/>
      <c r="LN25" s="270"/>
      <c r="LO25" s="270"/>
      <c r="LP25" s="270"/>
      <c r="LQ25" s="270"/>
      <c r="LR25" s="270"/>
      <c r="LS25" s="270"/>
      <c r="LT25" s="270"/>
      <c r="LU25" s="270"/>
      <c r="LV25" s="270"/>
      <c r="LW25" s="270"/>
      <c r="LX25" s="270"/>
      <c r="LY25" s="270"/>
      <c r="LZ25" s="270"/>
      <c r="MA25" s="270"/>
      <c r="MB25" s="270"/>
      <c r="MC25" s="270"/>
      <c r="MD25" s="270"/>
      <c r="ME25" s="270"/>
      <c r="MF25" s="270"/>
      <c r="MG25" s="270"/>
      <c r="MH25" s="270"/>
      <c r="MI25" s="270"/>
      <c r="MJ25" s="270"/>
      <c r="MK25" s="270"/>
      <c r="ML25" s="270"/>
      <c r="MM25" s="270"/>
      <c r="MN25" s="270"/>
      <c r="MO25" s="270"/>
      <c r="MP25" s="270"/>
      <c r="MQ25" s="270"/>
      <c r="MR25" s="270"/>
      <c r="MS25" s="270"/>
      <c r="MT25" s="270"/>
      <c r="MU25" s="270"/>
      <c r="MV25" s="270"/>
      <c r="MW25" s="270"/>
      <c r="MX25" s="270"/>
      <c r="MY25" s="270"/>
      <c r="MZ25" s="270"/>
      <c r="NA25" s="270"/>
      <c r="NB25" s="270"/>
      <c r="NC25" s="270"/>
      <c r="ND25" s="270"/>
      <c r="NE25" s="270"/>
      <c r="NF25" s="270"/>
      <c r="NG25" s="270"/>
      <c r="NH25" s="270"/>
      <c r="NI25" s="270"/>
      <c r="NJ25" s="270"/>
      <c r="NK25" s="270"/>
      <c r="NL25" s="270"/>
      <c r="NM25" s="270"/>
      <c r="NN25" s="270"/>
      <c r="NO25" s="270"/>
      <c r="NP25" s="270"/>
      <c r="NQ25" s="270"/>
      <c r="NR25" s="270"/>
      <c r="NS25" s="270"/>
      <c r="NT25" s="270"/>
      <c r="NU25" s="270"/>
      <c r="NV25" s="270"/>
      <c r="NW25" s="270"/>
      <c r="NX25" s="270"/>
      <c r="NY25" s="270"/>
      <c r="NZ25" s="270"/>
      <c r="OA25" s="270"/>
      <c r="OB25" s="270"/>
      <c r="OC25" s="270"/>
      <c r="OD25" s="270"/>
      <c r="OE25" s="270"/>
      <c r="OF25" s="270"/>
      <c r="OG25" s="270"/>
      <c r="OH25" s="270"/>
      <c r="OI25" s="270"/>
      <c r="OJ25" s="270"/>
      <c r="OK25" s="270"/>
      <c r="OL25" s="270"/>
      <c r="OM25" s="270"/>
      <c r="ON25" s="270"/>
      <c r="OO25" s="270"/>
      <c r="OP25" s="270"/>
      <c r="OQ25" s="270"/>
      <c r="OR25" s="270"/>
      <c r="OS25" s="270"/>
      <c r="OT25" s="270"/>
      <c r="OU25" s="270"/>
      <c r="OV25" s="270"/>
      <c r="OW25" s="270"/>
      <c r="OX25" s="270"/>
      <c r="OY25" s="270"/>
      <c r="OZ25" s="270"/>
      <c r="PA25" s="270"/>
      <c r="PB25" s="270"/>
      <c r="PC25" s="270"/>
      <c r="PD25" s="270"/>
      <c r="PE25" s="270"/>
      <c r="PF25" s="270"/>
      <c r="PG25" s="270"/>
      <c r="PH25" s="270"/>
      <c r="PI25" s="270"/>
      <c r="PJ25" s="270"/>
      <c r="PK25" s="270"/>
      <c r="PL25" s="270"/>
      <c r="PM25" s="270"/>
      <c r="PN25" s="270"/>
      <c r="PO25" s="270"/>
      <c r="PP25" s="270"/>
      <c r="PQ25" s="270"/>
      <c r="PR25" s="270"/>
      <c r="PS25" s="270"/>
      <c r="PT25" s="270"/>
      <c r="PU25" s="270"/>
      <c r="PV25" s="270"/>
      <c r="PW25" s="270"/>
      <c r="PX25" s="270"/>
      <c r="PY25" s="270"/>
      <c r="PZ25" s="270"/>
      <c r="QA25" s="270"/>
      <c r="QB25" s="270"/>
      <c r="QC25" s="270"/>
      <c r="QD25" s="270"/>
      <c r="QE25" s="270"/>
      <c r="QF25" s="270"/>
      <c r="QG25" s="270"/>
      <c r="QH25" s="270"/>
      <c r="QI25" s="270"/>
      <c r="QJ25" s="270"/>
      <c r="QK25" s="270"/>
      <c r="QL25" s="270"/>
      <c r="QM25" s="270"/>
      <c r="QN25" s="270"/>
      <c r="QO25" s="270"/>
      <c r="QP25" s="270"/>
      <c r="QQ25" s="270"/>
      <c r="QR25" s="270"/>
      <c r="QS25" s="270"/>
      <c r="QT25" s="270"/>
      <c r="QU25" s="270"/>
      <c r="QV25" s="270"/>
      <c r="QW25" s="270"/>
      <c r="QX25" s="270"/>
      <c r="QY25" s="270"/>
      <c r="QZ25" s="302"/>
    </row>
    <row r="26" spans="1:468" s="289" customFormat="1" ht="69" customHeight="1" x14ac:dyDescent="0.2">
      <c r="A26" s="559">
        <v>7</v>
      </c>
      <c r="B26" s="558"/>
      <c r="C26" s="558"/>
      <c r="D26" s="558"/>
      <c r="E26" s="560"/>
      <c r="F26" s="558"/>
      <c r="G26" s="556"/>
      <c r="H26" s="557" t="str">
        <f t="shared" ref="H26" si="43">IF(G26&lt;=0,"",IF(G26&lt;=2,"Muy Baja",IF(G26&lt;=24,"Baja",IF(G26&lt;=500,"Media",IF(G26&lt;=5000,"Alta","Muy Alta")))))</f>
        <v/>
      </c>
      <c r="I26" s="554" t="str">
        <f t="shared" ref="I26" si="44">IF(H26="","",IF(H26="Muy Baja",0.2,IF(H26="Baja",0.4,IF(H26="Media",0.6,IF(H26="Alta",0.8,IF(H26="Muy Alta",1,))))))</f>
        <v/>
      </c>
      <c r="J26" s="558"/>
      <c r="K26" s="554">
        <f>IF(NOT(ISERROR(MATCH(J26,'[2]Tabla Impacto'!$B$221:$B$223,0))),'[2]Tabla Impacto'!$F$223&amp;"Por favor no seleccionar los criterios de impacto(Afectación Económica o presupuestal y Pérdida Reputacional)",J26)</f>
        <v>0</v>
      </c>
      <c r="L26" s="557" t="str">
        <f t="shared" ref="L26" si="45">IF(J26&lt;=0,"",IF(J26&lt;=10,"Leve",IF(J26&lt;=50,"Menor",IF(J26&lt;=100,"Moderado",IF(J26&lt;=500,"Mayor","Catastrófico")))))</f>
        <v/>
      </c>
      <c r="M26" s="554" t="str">
        <f t="shared" ref="M26" si="46">IF(L26="","",IF(L26="Leve",0.2,IF(L26="Menor",0.4,IF(L26="Moderado",0.6,IF(L26="Mayor",0.8,IF(L26="Catastrófico",1,))))))</f>
        <v/>
      </c>
      <c r="N26" s="555" t="str">
        <f t="shared" ref="N26" si="47">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274">
        <v>1</v>
      </c>
      <c r="P26" s="275"/>
      <c r="Q26" s="276" t="str">
        <f t="shared" si="7"/>
        <v/>
      </c>
      <c r="R26" s="277"/>
      <c r="S26" s="277"/>
      <c r="T26" s="278" t="str">
        <f>IF(AND(R26="Preventivo",S26="Automático"),"50%",IF(AND(R26="Preventivo",S26="Manual"),"40%",IF(AND(R26="Detectivo",S26="Automático"),"40%",IF(AND(R26="Detectivo",S26="Manual"),"30%",IF(AND(R26="Correctivo",S26="Automático"),"35%",IF(AND(R26="Correctivo",S26="Manual"),"25%",""))))))</f>
        <v/>
      </c>
      <c r="U26" s="277"/>
      <c r="V26" s="277"/>
      <c r="W26" s="277"/>
      <c r="X26" s="279" t="str">
        <f>IFERROR(IF(Q26="Probabilidad",(I26-(+I26*T26)),IF(Q26="Impacto",I26,"")),"")</f>
        <v/>
      </c>
      <c r="Y26" s="280" t="str">
        <f>IFERROR(IF(X26="","",IF(X26&lt;=0.2,"Muy Baja",IF(X26&lt;=0.4,"Baja",IF(X26&lt;=0.6,"Media",IF(X26&lt;=0.8,"Alta","Muy Alta"))))),"")</f>
        <v/>
      </c>
      <c r="Z26" s="278" t="str">
        <f>+X26</f>
        <v/>
      </c>
      <c r="AA26" s="280" t="str">
        <f>IFERROR(IF(AB26="","",IF(AB26&lt;=0.2,"Leve",IF(AB26&lt;=0.4,"Menor",IF(AB26&lt;=0.6,"Moderado",IF(AB26&lt;=0.8,"Mayor","Catastrófico"))))),"")</f>
        <v/>
      </c>
      <c r="AB26" s="278" t="str">
        <f>IFERROR(IF(Q26="Impacto",(M26-(+M26*T26)),IF(Q26="Probabilidad",M26,"")),"")</f>
        <v/>
      </c>
      <c r="AC26" s="281" t="str">
        <f>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7"/>
      <c r="AE26" s="282"/>
      <c r="AF26" s="282"/>
      <c r="AG26" s="283"/>
      <c r="AH26" s="284"/>
      <c r="AI26" s="284"/>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c r="DR26" s="270"/>
      <c r="DS26" s="270"/>
      <c r="DT26" s="270"/>
      <c r="DU26" s="270"/>
      <c r="DV26" s="270"/>
      <c r="DW26" s="270"/>
      <c r="DX26" s="270"/>
      <c r="DY26" s="270"/>
      <c r="DZ26" s="270"/>
      <c r="EA26" s="270"/>
      <c r="EB26" s="270"/>
      <c r="EC26" s="270"/>
      <c r="ED26" s="270"/>
      <c r="EE26" s="270"/>
      <c r="EF26" s="270"/>
      <c r="EG26" s="270"/>
      <c r="EH26" s="270"/>
      <c r="EI26" s="270"/>
      <c r="EJ26" s="270"/>
      <c r="EK26" s="270"/>
      <c r="EL26" s="270"/>
      <c r="EM26" s="270"/>
      <c r="EN26" s="270"/>
      <c r="EO26" s="270"/>
      <c r="EP26" s="270"/>
      <c r="EQ26" s="270"/>
      <c r="ER26" s="270"/>
      <c r="ES26" s="270"/>
      <c r="ET26" s="270"/>
      <c r="EU26" s="270"/>
      <c r="EV26" s="270"/>
      <c r="EW26" s="270"/>
      <c r="EX26" s="270"/>
      <c r="EY26" s="270"/>
      <c r="EZ26" s="270"/>
      <c r="FA26" s="270"/>
      <c r="FB26" s="270"/>
      <c r="FC26" s="270"/>
      <c r="FD26" s="270"/>
      <c r="FE26" s="270"/>
      <c r="FF26" s="270"/>
      <c r="FG26" s="270"/>
      <c r="FH26" s="270"/>
      <c r="FI26" s="270"/>
      <c r="FJ26" s="270"/>
      <c r="FK26" s="270"/>
      <c r="FL26" s="270"/>
      <c r="FM26" s="270"/>
      <c r="FN26" s="270"/>
      <c r="FO26" s="270"/>
      <c r="FP26" s="270"/>
      <c r="FQ26" s="270"/>
      <c r="FR26" s="270"/>
      <c r="FS26" s="270"/>
      <c r="FT26" s="270"/>
      <c r="FU26" s="270"/>
      <c r="FV26" s="270"/>
      <c r="FW26" s="270"/>
      <c r="FX26" s="270"/>
      <c r="FY26" s="270"/>
      <c r="FZ26" s="270"/>
      <c r="GA26" s="270"/>
      <c r="GB26" s="270"/>
      <c r="GC26" s="270"/>
      <c r="GD26" s="270"/>
      <c r="GE26" s="270"/>
      <c r="GF26" s="270"/>
      <c r="GG26" s="270"/>
      <c r="GH26" s="270"/>
      <c r="GI26" s="270"/>
      <c r="GJ26" s="270"/>
      <c r="GK26" s="270"/>
      <c r="GL26" s="270"/>
      <c r="GM26" s="270"/>
      <c r="GN26" s="270"/>
      <c r="GO26" s="270"/>
      <c r="GP26" s="270"/>
      <c r="GQ26" s="270"/>
      <c r="GR26" s="270"/>
      <c r="GS26" s="270"/>
      <c r="GT26" s="270"/>
      <c r="GU26" s="270"/>
      <c r="GV26" s="270"/>
      <c r="GW26" s="270"/>
      <c r="GX26" s="270"/>
      <c r="GY26" s="270"/>
      <c r="GZ26" s="270"/>
      <c r="HA26" s="270"/>
      <c r="HB26" s="270"/>
      <c r="HC26" s="270"/>
      <c r="HD26" s="270"/>
      <c r="HE26" s="270"/>
      <c r="HF26" s="270"/>
      <c r="HG26" s="270"/>
      <c r="HH26" s="270"/>
      <c r="HI26" s="270"/>
      <c r="HJ26" s="270"/>
      <c r="HK26" s="270"/>
      <c r="HL26" s="270"/>
      <c r="HM26" s="270"/>
      <c r="HN26" s="270"/>
      <c r="HO26" s="270"/>
      <c r="HP26" s="270"/>
      <c r="HQ26" s="270"/>
      <c r="HR26" s="270"/>
      <c r="HS26" s="270"/>
      <c r="HT26" s="270"/>
      <c r="HU26" s="270"/>
      <c r="HV26" s="270"/>
      <c r="HW26" s="270"/>
      <c r="HX26" s="270"/>
      <c r="HY26" s="270"/>
      <c r="HZ26" s="270"/>
      <c r="IA26" s="270"/>
      <c r="IB26" s="270"/>
      <c r="IC26" s="270"/>
      <c r="ID26" s="270"/>
      <c r="IE26" s="270"/>
      <c r="IF26" s="270"/>
      <c r="IG26" s="270"/>
      <c r="IH26" s="270"/>
      <c r="II26" s="270"/>
      <c r="IJ26" s="270"/>
      <c r="IK26" s="270"/>
      <c r="IL26" s="270"/>
      <c r="IM26" s="270"/>
      <c r="IN26" s="270"/>
      <c r="IO26" s="270"/>
      <c r="IP26" s="270"/>
      <c r="IQ26" s="270"/>
      <c r="IR26" s="270"/>
      <c r="IS26" s="270"/>
      <c r="IT26" s="270"/>
      <c r="IU26" s="270"/>
      <c r="IV26" s="270"/>
      <c r="IW26" s="270"/>
      <c r="IX26" s="270"/>
      <c r="IY26" s="270"/>
      <c r="IZ26" s="270"/>
      <c r="JA26" s="270"/>
      <c r="JB26" s="270"/>
      <c r="JC26" s="270"/>
      <c r="JD26" s="270"/>
      <c r="JE26" s="270"/>
      <c r="JF26" s="270"/>
      <c r="JG26" s="270"/>
      <c r="JH26" s="270"/>
      <c r="JI26" s="270"/>
      <c r="JJ26" s="270"/>
      <c r="JK26" s="270"/>
      <c r="JL26" s="270"/>
      <c r="JM26" s="270"/>
      <c r="JN26" s="270"/>
      <c r="JO26" s="270"/>
      <c r="JP26" s="270"/>
      <c r="JQ26" s="270"/>
      <c r="JR26" s="270"/>
      <c r="JS26" s="270"/>
      <c r="JT26" s="270"/>
      <c r="JU26" s="270"/>
      <c r="JV26" s="270"/>
      <c r="JW26" s="270"/>
      <c r="JX26" s="270"/>
      <c r="JY26" s="270"/>
      <c r="JZ26" s="270"/>
      <c r="KA26" s="270"/>
      <c r="KB26" s="270"/>
      <c r="KC26" s="270"/>
      <c r="KD26" s="270"/>
      <c r="KE26" s="270"/>
      <c r="KF26" s="270"/>
      <c r="KG26" s="270"/>
      <c r="KH26" s="270"/>
      <c r="KI26" s="270"/>
      <c r="KJ26" s="270"/>
      <c r="KK26" s="270"/>
      <c r="KL26" s="270"/>
      <c r="KM26" s="270"/>
      <c r="KN26" s="270"/>
      <c r="KO26" s="270"/>
      <c r="KP26" s="270"/>
      <c r="KQ26" s="270"/>
      <c r="KR26" s="270"/>
      <c r="KS26" s="270"/>
      <c r="KT26" s="270"/>
      <c r="KU26" s="270"/>
      <c r="KV26" s="270"/>
      <c r="KW26" s="270"/>
      <c r="KX26" s="270"/>
      <c r="KY26" s="270"/>
      <c r="KZ26" s="270"/>
      <c r="LA26" s="270"/>
      <c r="LB26" s="270"/>
      <c r="LC26" s="270"/>
      <c r="LD26" s="270"/>
      <c r="LE26" s="270"/>
      <c r="LF26" s="270"/>
      <c r="LG26" s="270"/>
      <c r="LH26" s="270"/>
      <c r="LI26" s="270"/>
      <c r="LJ26" s="270"/>
      <c r="LK26" s="270"/>
      <c r="LL26" s="270"/>
      <c r="LM26" s="270"/>
      <c r="LN26" s="270"/>
      <c r="LO26" s="270"/>
      <c r="LP26" s="270"/>
      <c r="LQ26" s="270"/>
      <c r="LR26" s="270"/>
      <c r="LS26" s="270"/>
      <c r="LT26" s="270"/>
      <c r="LU26" s="270"/>
      <c r="LV26" s="270"/>
      <c r="LW26" s="270"/>
      <c r="LX26" s="270"/>
      <c r="LY26" s="270"/>
      <c r="LZ26" s="270"/>
      <c r="MA26" s="270"/>
      <c r="MB26" s="270"/>
      <c r="MC26" s="270"/>
      <c r="MD26" s="270"/>
      <c r="ME26" s="270"/>
      <c r="MF26" s="270"/>
      <c r="MG26" s="270"/>
      <c r="MH26" s="270"/>
      <c r="MI26" s="270"/>
      <c r="MJ26" s="270"/>
      <c r="MK26" s="270"/>
      <c r="ML26" s="270"/>
      <c r="MM26" s="270"/>
      <c r="MN26" s="270"/>
      <c r="MO26" s="270"/>
      <c r="MP26" s="270"/>
      <c r="MQ26" s="270"/>
      <c r="MR26" s="270"/>
      <c r="MS26" s="270"/>
      <c r="MT26" s="270"/>
      <c r="MU26" s="270"/>
      <c r="MV26" s="270"/>
      <c r="MW26" s="270"/>
      <c r="MX26" s="270"/>
      <c r="MY26" s="270"/>
      <c r="MZ26" s="270"/>
      <c r="NA26" s="270"/>
      <c r="NB26" s="270"/>
      <c r="NC26" s="270"/>
      <c r="ND26" s="270"/>
      <c r="NE26" s="270"/>
      <c r="NF26" s="270"/>
      <c r="NG26" s="270"/>
      <c r="NH26" s="270"/>
      <c r="NI26" s="270"/>
      <c r="NJ26" s="270"/>
      <c r="NK26" s="270"/>
      <c r="NL26" s="270"/>
      <c r="NM26" s="270"/>
      <c r="NN26" s="270"/>
      <c r="NO26" s="270"/>
      <c r="NP26" s="270"/>
      <c r="NQ26" s="270"/>
      <c r="NR26" s="270"/>
      <c r="NS26" s="270"/>
      <c r="NT26" s="270"/>
      <c r="NU26" s="270"/>
      <c r="NV26" s="270"/>
      <c r="NW26" s="270"/>
      <c r="NX26" s="270"/>
      <c r="NY26" s="270"/>
      <c r="NZ26" s="270"/>
      <c r="OA26" s="270"/>
      <c r="OB26" s="270"/>
      <c r="OC26" s="270"/>
      <c r="OD26" s="270"/>
      <c r="OE26" s="270"/>
      <c r="OF26" s="270"/>
      <c r="OG26" s="270"/>
      <c r="OH26" s="270"/>
      <c r="OI26" s="270"/>
      <c r="OJ26" s="270"/>
      <c r="OK26" s="270"/>
      <c r="OL26" s="270"/>
      <c r="OM26" s="270"/>
      <c r="ON26" s="270"/>
      <c r="OO26" s="270"/>
      <c r="OP26" s="270"/>
      <c r="OQ26" s="270"/>
      <c r="OR26" s="270"/>
      <c r="OS26" s="270"/>
      <c r="OT26" s="270"/>
      <c r="OU26" s="270"/>
      <c r="OV26" s="270"/>
      <c r="OW26" s="270"/>
      <c r="OX26" s="270"/>
      <c r="OY26" s="270"/>
      <c r="OZ26" s="270"/>
      <c r="PA26" s="270"/>
      <c r="PB26" s="270"/>
      <c r="PC26" s="270"/>
      <c r="PD26" s="270"/>
      <c r="PE26" s="270"/>
      <c r="PF26" s="270"/>
      <c r="PG26" s="270"/>
      <c r="PH26" s="270"/>
      <c r="PI26" s="270"/>
      <c r="PJ26" s="270"/>
      <c r="PK26" s="270"/>
      <c r="PL26" s="270"/>
      <c r="PM26" s="270"/>
      <c r="PN26" s="270"/>
      <c r="PO26" s="270"/>
      <c r="PP26" s="270"/>
      <c r="PQ26" s="270"/>
      <c r="PR26" s="270"/>
      <c r="PS26" s="270"/>
      <c r="PT26" s="270"/>
      <c r="PU26" s="270"/>
      <c r="PV26" s="270"/>
      <c r="PW26" s="270"/>
      <c r="PX26" s="270"/>
      <c r="PY26" s="270"/>
      <c r="PZ26" s="270"/>
      <c r="QA26" s="270"/>
      <c r="QB26" s="270"/>
      <c r="QC26" s="270"/>
      <c r="QD26" s="270"/>
      <c r="QE26" s="270"/>
      <c r="QF26" s="270"/>
      <c r="QG26" s="270"/>
      <c r="QH26" s="270"/>
      <c r="QI26" s="270"/>
      <c r="QJ26" s="270"/>
      <c r="QK26" s="270"/>
      <c r="QL26" s="270"/>
      <c r="QM26" s="270"/>
      <c r="QN26" s="270"/>
      <c r="QO26" s="270"/>
      <c r="QP26" s="270"/>
      <c r="QQ26" s="270"/>
      <c r="QR26" s="270"/>
      <c r="QS26" s="270"/>
      <c r="QT26" s="270"/>
      <c r="QU26" s="270"/>
      <c r="QV26" s="270"/>
      <c r="QW26" s="270"/>
      <c r="QX26" s="270"/>
      <c r="QY26" s="270"/>
      <c r="QZ26" s="302"/>
    </row>
    <row r="27" spans="1:468" s="289" customFormat="1" ht="69" customHeight="1" x14ac:dyDescent="0.2">
      <c r="A27" s="559"/>
      <c r="B27" s="558"/>
      <c r="C27" s="558"/>
      <c r="D27" s="558"/>
      <c r="E27" s="560"/>
      <c r="F27" s="558"/>
      <c r="G27" s="556"/>
      <c r="H27" s="557"/>
      <c r="I27" s="554"/>
      <c r="J27" s="558"/>
      <c r="K27" s="554">
        <f ca="1">IF(NOT(ISERROR(MATCH(J27,_xlfn.ANCHORARRAY(E30),0))),#REF!&amp;"Por favor no seleccionar los criterios de impacto",J27)</f>
        <v>0</v>
      </c>
      <c r="L27" s="557"/>
      <c r="M27" s="554"/>
      <c r="N27" s="555"/>
      <c r="O27" s="274">
        <v>2</v>
      </c>
      <c r="P27" s="275"/>
      <c r="Q27" s="276" t="str">
        <f t="shared" si="7"/>
        <v/>
      </c>
      <c r="R27" s="277"/>
      <c r="S27" s="277"/>
      <c r="T27" s="278" t="str">
        <f t="shared" ref="T27" si="48">IF(AND(R27="Preventivo",S27="Automático"),"50%",IF(AND(R27="Preventivo",S27="Manual"),"40%",IF(AND(R27="Detectivo",S27="Automático"),"40%",IF(AND(R27="Detectivo",S27="Manual"),"30%",IF(AND(R27="Correctivo",S27="Automático"),"35%",IF(AND(R27="Correctivo",S27="Manual"),"25%",""))))))</f>
        <v/>
      </c>
      <c r="U27" s="277"/>
      <c r="V27" s="277"/>
      <c r="W27" s="277"/>
      <c r="X27" s="279" t="str">
        <f>IFERROR(IF(AND(Q26="Probabilidad",Q27="Probabilidad"),(Z26-(+Z26*T27)),IF(Q27="Probabilidad",(I26-(+I26*T27)),IF(Q27="Impacto",Z26,""))),"")</f>
        <v/>
      </c>
      <c r="Y27" s="280" t="str">
        <f t="shared" si="18"/>
        <v/>
      </c>
      <c r="Z27" s="278" t="str">
        <f t="shared" ref="Z27" si="49">+X27</f>
        <v/>
      </c>
      <c r="AA27" s="280" t="str">
        <f t="shared" si="9"/>
        <v/>
      </c>
      <c r="AB27" s="278" t="str">
        <f>IFERROR(IF(AND(Q26="Impacto",Q27="Impacto"),(AB24-(+AB24*T27)),IF(Q27="Impacto",($M$26-(+$M$26*T27)),IF(Q27="Probabilidad",AB24,""))),"")</f>
        <v/>
      </c>
      <c r="AC27" s="281" t="str">
        <f t="shared" ref="AC27" si="50">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7"/>
      <c r="AE27" s="282"/>
      <c r="AF27" s="282"/>
      <c r="AG27" s="283"/>
      <c r="AH27" s="284"/>
      <c r="AI27" s="284"/>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c r="DP27" s="270"/>
      <c r="DQ27" s="270"/>
      <c r="DR27" s="270"/>
      <c r="DS27" s="270"/>
      <c r="DT27" s="270"/>
      <c r="DU27" s="270"/>
      <c r="DV27" s="270"/>
      <c r="DW27" s="270"/>
      <c r="DX27" s="270"/>
      <c r="DY27" s="270"/>
      <c r="DZ27" s="270"/>
      <c r="EA27" s="270"/>
      <c r="EB27" s="270"/>
      <c r="EC27" s="270"/>
      <c r="ED27" s="270"/>
      <c r="EE27" s="270"/>
      <c r="EF27" s="270"/>
      <c r="EG27" s="270"/>
      <c r="EH27" s="270"/>
      <c r="EI27" s="270"/>
      <c r="EJ27" s="270"/>
      <c r="EK27" s="270"/>
      <c r="EL27" s="270"/>
      <c r="EM27" s="270"/>
      <c r="EN27" s="270"/>
      <c r="EO27" s="270"/>
      <c r="EP27" s="270"/>
      <c r="EQ27" s="270"/>
      <c r="ER27" s="270"/>
      <c r="ES27" s="270"/>
      <c r="ET27" s="270"/>
      <c r="EU27" s="270"/>
      <c r="EV27" s="270"/>
      <c r="EW27" s="270"/>
      <c r="EX27" s="270"/>
      <c r="EY27" s="270"/>
      <c r="EZ27" s="270"/>
      <c r="FA27" s="270"/>
      <c r="FB27" s="270"/>
      <c r="FC27" s="270"/>
      <c r="FD27" s="270"/>
      <c r="FE27" s="270"/>
      <c r="FF27" s="270"/>
      <c r="FG27" s="270"/>
      <c r="FH27" s="270"/>
      <c r="FI27" s="270"/>
      <c r="FJ27" s="270"/>
      <c r="FK27" s="270"/>
      <c r="FL27" s="270"/>
      <c r="FM27" s="270"/>
      <c r="FN27" s="270"/>
      <c r="FO27" s="270"/>
      <c r="FP27" s="270"/>
      <c r="FQ27" s="270"/>
      <c r="FR27" s="270"/>
      <c r="FS27" s="270"/>
      <c r="FT27" s="270"/>
      <c r="FU27" s="270"/>
      <c r="FV27" s="270"/>
      <c r="FW27" s="270"/>
      <c r="FX27" s="270"/>
      <c r="FY27" s="270"/>
      <c r="FZ27" s="270"/>
      <c r="GA27" s="270"/>
      <c r="GB27" s="270"/>
      <c r="GC27" s="270"/>
      <c r="GD27" s="270"/>
      <c r="GE27" s="270"/>
      <c r="GF27" s="270"/>
      <c r="GG27" s="270"/>
      <c r="GH27" s="270"/>
      <c r="GI27" s="270"/>
      <c r="GJ27" s="270"/>
      <c r="GK27" s="270"/>
      <c r="GL27" s="270"/>
      <c r="GM27" s="270"/>
      <c r="GN27" s="270"/>
      <c r="GO27" s="270"/>
      <c r="GP27" s="270"/>
      <c r="GQ27" s="270"/>
      <c r="GR27" s="270"/>
      <c r="GS27" s="270"/>
      <c r="GT27" s="270"/>
      <c r="GU27" s="270"/>
      <c r="GV27" s="270"/>
      <c r="GW27" s="270"/>
      <c r="GX27" s="270"/>
      <c r="GY27" s="270"/>
      <c r="GZ27" s="270"/>
      <c r="HA27" s="270"/>
      <c r="HB27" s="270"/>
      <c r="HC27" s="270"/>
      <c r="HD27" s="270"/>
      <c r="HE27" s="270"/>
      <c r="HF27" s="270"/>
      <c r="HG27" s="270"/>
      <c r="HH27" s="270"/>
      <c r="HI27" s="270"/>
      <c r="HJ27" s="270"/>
      <c r="HK27" s="270"/>
      <c r="HL27" s="270"/>
      <c r="HM27" s="270"/>
      <c r="HN27" s="270"/>
      <c r="HO27" s="270"/>
      <c r="HP27" s="270"/>
      <c r="HQ27" s="270"/>
      <c r="HR27" s="270"/>
      <c r="HS27" s="270"/>
      <c r="HT27" s="270"/>
      <c r="HU27" s="270"/>
      <c r="HV27" s="270"/>
      <c r="HW27" s="270"/>
      <c r="HX27" s="270"/>
      <c r="HY27" s="270"/>
      <c r="HZ27" s="270"/>
      <c r="IA27" s="270"/>
      <c r="IB27" s="270"/>
      <c r="IC27" s="270"/>
      <c r="ID27" s="270"/>
      <c r="IE27" s="270"/>
      <c r="IF27" s="270"/>
      <c r="IG27" s="270"/>
      <c r="IH27" s="270"/>
      <c r="II27" s="270"/>
      <c r="IJ27" s="270"/>
      <c r="IK27" s="270"/>
      <c r="IL27" s="270"/>
      <c r="IM27" s="270"/>
      <c r="IN27" s="270"/>
      <c r="IO27" s="270"/>
      <c r="IP27" s="270"/>
      <c r="IQ27" s="270"/>
      <c r="IR27" s="270"/>
      <c r="IS27" s="270"/>
      <c r="IT27" s="270"/>
      <c r="IU27" s="270"/>
      <c r="IV27" s="270"/>
      <c r="IW27" s="270"/>
      <c r="IX27" s="270"/>
      <c r="IY27" s="270"/>
      <c r="IZ27" s="270"/>
      <c r="JA27" s="270"/>
      <c r="JB27" s="270"/>
      <c r="JC27" s="270"/>
      <c r="JD27" s="270"/>
      <c r="JE27" s="270"/>
      <c r="JF27" s="270"/>
      <c r="JG27" s="270"/>
      <c r="JH27" s="270"/>
      <c r="JI27" s="270"/>
      <c r="JJ27" s="270"/>
      <c r="JK27" s="270"/>
      <c r="JL27" s="270"/>
      <c r="JM27" s="270"/>
      <c r="JN27" s="270"/>
      <c r="JO27" s="270"/>
      <c r="JP27" s="270"/>
      <c r="JQ27" s="270"/>
      <c r="JR27" s="270"/>
      <c r="JS27" s="270"/>
      <c r="JT27" s="270"/>
      <c r="JU27" s="270"/>
      <c r="JV27" s="270"/>
      <c r="JW27" s="270"/>
      <c r="JX27" s="270"/>
      <c r="JY27" s="270"/>
      <c r="JZ27" s="270"/>
      <c r="KA27" s="270"/>
      <c r="KB27" s="270"/>
      <c r="KC27" s="270"/>
      <c r="KD27" s="270"/>
      <c r="KE27" s="270"/>
      <c r="KF27" s="270"/>
      <c r="KG27" s="270"/>
      <c r="KH27" s="270"/>
      <c r="KI27" s="270"/>
      <c r="KJ27" s="270"/>
      <c r="KK27" s="270"/>
      <c r="KL27" s="270"/>
      <c r="KM27" s="270"/>
      <c r="KN27" s="270"/>
      <c r="KO27" s="270"/>
      <c r="KP27" s="270"/>
      <c r="KQ27" s="270"/>
      <c r="KR27" s="270"/>
      <c r="KS27" s="270"/>
      <c r="KT27" s="270"/>
      <c r="KU27" s="270"/>
      <c r="KV27" s="270"/>
      <c r="KW27" s="270"/>
      <c r="KX27" s="270"/>
      <c r="KY27" s="270"/>
      <c r="KZ27" s="270"/>
      <c r="LA27" s="270"/>
      <c r="LB27" s="270"/>
      <c r="LC27" s="270"/>
      <c r="LD27" s="270"/>
      <c r="LE27" s="270"/>
      <c r="LF27" s="270"/>
      <c r="LG27" s="270"/>
      <c r="LH27" s="270"/>
      <c r="LI27" s="270"/>
      <c r="LJ27" s="270"/>
      <c r="LK27" s="270"/>
      <c r="LL27" s="270"/>
      <c r="LM27" s="270"/>
      <c r="LN27" s="270"/>
      <c r="LO27" s="270"/>
      <c r="LP27" s="270"/>
      <c r="LQ27" s="270"/>
      <c r="LR27" s="270"/>
      <c r="LS27" s="270"/>
      <c r="LT27" s="270"/>
      <c r="LU27" s="270"/>
      <c r="LV27" s="270"/>
      <c r="LW27" s="270"/>
      <c r="LX27" s="270"/>
      <c r="LY27" s="270"/>
      <c r="LZ27" s="270"/>
      <c r="MA27" s="270"/>
      <c r="MB27" s="270"/>
      <c r="MC27" s="270"/>
      <c r="MD27" s="270"/>
      <c r="ME27" s="270"/>
      <c r="MF27" s="270"/>
      <c r="MG27" s="270"/>
      <c r="MH27" s="270"/>
      <c r="MI27" s="270"/>
      <c r="MJ27" s="270"/>
      <c r="MK27" s="270"/>
      <c r="ML27" s="270"/>
      <c r="MM27" s="270"/>
      <c r="MN27" s="270"/>
      <c r="MO27" s="270"/>
      <c r="MP27" s="270"/>
      <c r="MQ27" s="270"/>
      <c r="MR27" s="270"/>
      <c r="MS27" s="270"/>
      <c r="MT27" s="270"/>
      <c r="MU27" s="270"/>
      <c r="MV27" s="270"/>
      <c r="MW27" s="270"/>
      <c r="MX27" s="270"/>
      <c r="MY27" s="270"/>
      <c r="MZ27" s="270"/>
      <c r="NA27" s="270"/>
      <c r="NB27" s="270"/>
      <c r="NC27" s="270"/>
      <c r="ND27" s="270"/>
      <c r="NE27" s="270"/>
      <c r="NF27" s="270"/>
      <c r="NG27" s="270"/>
      <c r="NH27" s="270"/>
      <c r="NI27" s="270"/>
      <c r="NJ27" s="270"/>
      <c r="NK27" s="270"/>
      <c r="NL27" s="270"/>
      <c r="NM27" s="270"/>
      <c r="NN27" s="270"/>
      <c r="NO27" s="270"/>
      <c r="NP27" s="270"/>
      <c r="NQ27" s="270"/>
      <c r="NR27" s="270"/>
      <c r="NS27" s="270"/>
      <c r="NT27" s="270"/>
      <c r="NU27" s="270"/>
      <c r="NV27" s="270"/>
      <c r="NW27" s="270"/>
      <c r="NX27" s="270"/>
      <c r="NY27" s="270"/>
      <c r="NZ27" s="270"/>
      <c r="OA27" s="270"/>
      <c r="OB27" s="270"/>
      <c r="OC27" s="270"/>
      <c r="OD27" s="270"/>
      <c r="OE27" s="270"/>
      <c r="OF27" s="270"/>
      <c r="OG27" s="270"/>
      <c r="OH27" s="270"/>
      <c r="OI27" s="270"/>
      <c r="OJ27" s="270"/>
      <c r="OK27" s="270"/>
      <c r="OL27" s="270"/>
      <c r="OM27" s="270"/>
      <c r="ON27" s="270"/>
      <c r="OO27" s="270"/>
      <c r="OP27" s="270"/>
      <c r="OQ27" s="270"/>
      <c r="OR27" s="270"/>
      <c r="OS27" s="270"/>
      <c r="OT27" s="270"/>
      <c r="OU27" s="270"/>
      <c r="OV27" s="270"/>
      <c r="OW27" s="270"/>
      <c r="OX27" s="270"/>
      <c r="OY27" s="270"/>
      <c r="OZ27" s="270"/>
      <c r="PA27" s="270"/>
      <c r="PB27" s="270"/>
      <c r="PC27" s="270"/>
      <c r="PD27" s="270"/>
      <c r="PE27" s="270"/>
      <c r="PF27" s="270"/>
      <c r="PG27" s="270"/>
      <c r="PH27" s="270"/>
      <c r="PI27" s="270"/>
      <c r="PJ27" s="270"/>
      <c r="PK27" s="270"/>
      <c r="PL27" s="270"/>
      <c r="PM27" s="270"/>
      <c r="PN27" s="270"/>
      <c r="PO27" s="270"/>
      <c r="PP27" s="270"/>
      <c r="PQ27" s="270"/>
      <c r="PR27" s="270"/>
      <c r="PS27" s="270"/>
      <c r="PT27" s="270"/>
      <c r="PU27" s="270"/>
      <c r="PV27" s="270"/>
      <c r="PW27" s="270"/>
      <c r="PX27" s="270"/>
      <c r="PY27" s="270"/>
      <c r="PZ27" s="270"/>
      <c r="QA27" s="270"/>
      <c r="QB27" s="270"/>
      <c r="QC27" s="270"/>
      <c r="QD27" s="270"/>
      <c r="QE27" s="270"/>
      <c r="QF27" s="270"/>
      <c r="QG27" s="270"/>
      <c r="QH27" s="270"/>
      <c r="QI27" s="270"/>
      <c r="QJ27" s="270"/>
      <c r="QK27" s="270"/>
      <c r="QL27" s="270"/>
      <c r="QM27" s="270"/>
      <c r="QN27" s="270"/>
      <c r="QO27" s="270"/>
      <c r="QP27" s="270"/>
      <c r="QQ27" s="270"/>
      <c r="QR27" s="270"/>
      <c r="QS27" s="270"/>
      <c r="QT27" s="270"/>
      <c r="QU27" s="270"/>
      <c r="QV27" s="270"/>
      <c r="QW27" s="270"/>
      <c r="QX27" s="270"/>
      <c r="QY27" s="270"/>
      <c r="QZ27" s="302"/>
    </row>
    <row r="28" spans="1:468" s="289" customFormat="1" ht="69" customHeight="1" x14ac:dyDescent="0.2">
      <c r="A28" s="559">
        <v>8</v>
      </c>
      <c r="B28" s="558"/>
      <c r="C28" s="558"/>
      <c r="D28" s="558"/>
      <c r="E28" s="560"/>
      <c r="F28" s="558"/>
      <c r="G28" s="556"/>
      <c r="H28" s="557" t="str">
        <f t="shared" ref="H28" si="51">IF(G28&lt;=0,"",IF(G28&lt;=2,"Muy Baja",IF(G28&lt;=24,"Baja",IF(G28&lt;=500,"Media",IF(G28&lt;=5000,"Alta","Muy Alta")))))</f>
        <v/>
      </c>
      <c r="I28" s="554" t="str">
        <f t="shared" ref="I28" si="52">IF(H28="","",IF(H28="Muy Baja",0.2,IF(H28="Baja",0.4,IF(H28="Media",0.6,IF(H28="Alta",0.8,IF(H28="Muy Alta",1,))))))</f>
        <v/>
      </c>
      <c r="J28" s="558"/>
      <c r="K28" s="554">
        <f>IF(NOT(ISERROR(MATCH(J28,'[2]Tabla Impacto'!$B$221:$B$223,0))),'[2]Tabla Impacto'!$F$223&amp;"Por favor no seleccionar los criterios de impacto(Afectación Económica o presupuestal y Pérdida Reputacional)",J28)</f>
        <v>0</v>
      </c>
      <c r="L28" s="557" t="str">
        <f t="shared" ref="L28" si="53">IF(J28&lt;=0,"",IF(J28&lt;=10,"Leve",IF(J28&lt;=50,"Menor",IF(J28&lt;=100,"Moderado",IF(J28&lt;=500,"Mayor","Catastrófico")))))</f>
        <v/>
      </c>
      <c r="M28" s="554" t="str">
        <f t="shared" ref="M28" si="54">IF(L28="","",IF(L28="Leve",0.2,IF(L28="Menor",0.4,IF(L28="Moderado",0.6,IF(L28="Mayor",0.8,IF(L28="Catastrófico",1,))))))</f>
        <v/>
      </c>
      <c r="N28" s="555" t="str">
        <f t="shared" ref="N28" si="55">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74">
        <v>1</v>
      </c>
      <c r="P28" s="275"/>
      <c r="Q28" s="276" t="str">
        <f t="shared" si="7"/>
        <v/>
      </c>
      <c r="R28" s="277"/>
      <c r="S28" s="277"/>
      <c r="T28" s="278" t="str">
        <f>IF(AND(R28="Preventivo",S28="Automático"),"50%",IF(AND(R28="Preventivo",S28="Manual"),"40%",IF(AND(R28="Detectivo",S28="Automático"),"40%",IF(AND(R28="Detectivo",S28="Manual"),"30%",IF(AND(R28="Correctivo",S28="Automático"),"35%",IF(AND(R28="Correctivo",S28="Manual"),"25%",""))))))</f>
        <v/>
      </c>
      <c r="U28" s="277"/>
      <c r="V28" s="277"/>
      <c r="W28" s="277"/>
      <c r="X28" s="279" t="str">
        <f>IFERROR(IF(Q28="Probabilidad",(I28-(+I28*T28)),IF(Q28="Impacto",I28,"")),"")</f>
        <v/>
      </c>
      <c r="Y28" s="280" t="str">
        <f>IFERROR(IF(X28="","",IF(X28&lt;=0.2,"Muy Baja",IF(X28&lt;=0.4,"Baja",IF(X28&lt;=0.6,"Media",IF(X28&lt;=0.8,"Alta","Muy Alta"))))),"")</f>
        <v/>
      </c>
      <c r="Z28" s="278" t="str">
        <f>+X28</f>
        <v/>
      </c>
      <c r="AA28" s="280" t="str">
        <f>IFERROR(IF(AB28="","",IF(AB28&lt;=0.2,"Leve",IF(AB28&lt;=0.4,"Menor",IF(AB28&lt;=0.6,"Moderado",IF(AB28&lt;=0.8,"Mayor","Catastrófico"))))),"")</f>
        <v/>
      </c>
      <c r="AB28" s="278" t="str">
        <f>IFERROR(IF(Q28="Impacto",(M28-(+M28*T28)),IF(Q28="Probabilidad",M28,"")),"")</f>
        <v/>
      </c>
      <c r="AC28" s="28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7"/>
      <c r="AE28" s="282"/>
      <c r="AF28" s="282"/>
      <c r="AG28" s="283"/>
      <c r="AH28" s="284"/>
      <c r="AI28" s="284"/>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302"/>
    </row>
    <row r="29" spans="1:468" s="289" customFormat="1" ht="69" customHeight="1" x14ac:dyDescent="0.2">
      <c r="A29" s="559"/>
      <c r="B29" s="558"/>
      <c r="C29" s="558"/>
      <c r="D29" s="558"/>
      <c r="E29" s="560"/>
      <c r="F29" s="558"/>
      <c r="G29" s="556"/>
      <c r="H29" s="557"/>
      <c r="I29" s="554"/>
      <c r="J29" s="558"/>
      <c r="K29" s="554">
        <f ca="1">IF(NOT(ISERROR(MATCH(J29,_xlfn.ANCHORARRAY(E32),0))),#REF!&amp;"Por favor no seleccionar los criterios de impacto",J29)</f>
        <v>0</v>
      </c>
      <c r="L29" s="557"/>
      <c r="M29" s="554"/>
      <c r="N29" s="555"/>
      <c r="O29" s="274">
        <v>2</v>
      </c>
      <c r="P29" s="275"/>
      <c r="Q29" s="276" t="str">
        <f t="shared" si="7"/>
        <v/>
      </c>
      <c r="R29" s="277"/>
      <c r="S29" s="277"/>
      <c r="T29" s="278" t="str">
        <f t="shared" ref="T29" si="56">IF(AND(R29="Preventivo",S29="Automático"),"50%",IF(AND(R29="Preventivo",S29="Manual"),"40%",IF(AND(R29="Detectivo",S29="Automático"),"40%",IF(AND(R29="Detectivo",S29="Manual"),"30%",IF(AND(R29="Correctivo",S29="Automático"),"35%",IF(AND(R29="Correctivo",S29="Manual"),"25%",""))))))</f>
        <v/>
      </c>
      <c r="U29" s="277"/>
      <c r="V29" s="277"/>
      <c r="W29" s="277"/>
      <c r="X29" s="279" t="str">
        <f>IFERROR(IF(AND(Q28="Probabilidad",Q29="Probabilidad"),(Z28-(+Z28*T29)),IF(Q29="Probabilidad",(I28-(+I28*T29)),IF(Q29="Impacto",Z28,""))),"")</f>
        <v/>
      </c>
      <c r="Y29" s="280" t="str">
        <f t="shared" si="18"/>
        <v/>
      </c>
      <c r="Z29" s="278" t="str">
        <f t="shared" ref="Z29" si="57">+X29</f>
        <v/>
      </c>
      <c r="AA29" s="280" t="str">
        <f t="shared" si="9"/>
        <v/>
      </c>
      <c r="AB29" s="278" t="str">
        <f>IFERROR(IF(AND(Q28="Impacto",Q29="Impacto"),(AB26-(+AB26*T29)),IF(Q29="Impacto",($M$28-(+$M$28*T29)),IF(Q29="Probabilidad",AB26,""))),"")</f>
        <v/>
      </c>
      <c r="AC29" s="281" t="str">
        <f t="shared" ref="AC29" si="58">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7"/>
      <c r="AE29" s="282"/>
      <c r="AF29" s="282"/>
      <c r="AG29" s="283"/>
      <c r="AH29" s="284"/>
      <c r="AI29" s="284"/>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c r="PD29" s="270"/>
      <c r="PE29" s="270"/>
      <c r="PF29" s="270"/>
      <c r="PG29" s="270"/>
      <c r="PH29" s="270"/>
      <c r="PI29" s="270"/>
      <c r="PJ29" s="270"/>
      <c r="PK29" s="270"/>
      <c r="PL29" s="270"/>
      <c r="PM29" s="270"/>
      <c r="PN29" s="270"/>
      <c r="PO29" s="270"/>
      <c r="PP29" s="270"/>
      <c r="PQ29" s="270"/>
      <c r="PR29" s="270"/>
      <c r="PS29" s="270"/>
      <c r="PT29" s="270"/>
      <c r="PU29" s="270"/>
      <c r="PV29" s="270"/>
      <c r="PW29" s="270"/>
      <c r="PX29" s="270"/>
      <c r="PY29" s="270"/>
      <c r="PZ29" s="270"/>
      <c r="QA29" s="270"/>
      <c r="QB29" s="270"/>
      <c r="QC29" s="270"/>
      <c r="QD29" s="270"/>
      <c r="QE29" s="270"/>
      <c r="QF29" s="270"/>
      <c r="QG29" s="270"/>
      <c r="QH29" s="270"/>
      <c r="QI29" s="270"/>
      <c r="QJ29" s="270"/>
      <c r="QK29" s="270"/>
      <c r="QL29" s="270"/>
      <c r="QM29" s="270"/>
      <c r="QN29" s="270"/>
      <c r="QO29" s="270"/>
      <c r="QP29" s="270"/>
      <c r="QQ29" s="270"/>
      <c r="QR29" s="270"/>
      <c r="QS29" s="270"/>
      <c r="QT29" s="270"/>
      <c r="QU29" s="270"/>
      <c r="QV29" s="270"/>
      <c r="QW29" s="270"/>
      <c r="QX29" s="270"/>
      <c r="QY29" s="270"/>
      <c r="QZ29" s="302"/>
    </row>
    <row r="30" spans="1:468" s="289" customFormat="1" ht="69" customHeight="1" x14ac:dyDescent="0.2">
      <c r="A30" s="559">
        <v>9</v>
      </c>
      <c r="B30" s="558"/>
      <c r="C30" s="558"/>
      <c r="D30" s="558"/>
      <c r="E30" s="560"/>
      <c r="F30" s="558"/>
      <c r="G30" s="556"/>
      <c r="H30" s="557" t="str">
        <f t="shared" ref="H30" si="59">IF(G30&lt;=0,"",IF(G30&lt;=2,"Muy Baja",IF(G30&lt;=24,"Baja",IF(G30&lt;=500,"Media",IF(G30&lt;=5000,"Alta","Muy Alta")))))</f>
        <v/>
      </c>
      <c r="I30" s="554" t="str">
        <f t="shared" ref="I30" si="60">IF(H30="","",IF(H30="Muy Baja",0.2,IF(H30="Baja",0.4,IF(H30="Media",0.6,IF(H30="Alta",0.8,IF(H30="Muy Alta",1,))))))</f>
        <v/>
      </c>
      <c r="J30" s="558"/>
      <c r="K30" s="554">
        <f>IF(NOT(ISERROR(MATCH(J30,'[2]Tabla Impacto'!$B$221:$B$223,0))),'[2]Tabla Impacto'!$F$223&amp;"Por favor no seleccionar los criterios de impacto(Afectación Económica o presupuestal y Pérdida Reputacional)",J30)</f>
        <v>0</v>
      </c>
      <c r="L30" s="557" t="str">
        <f t="shared" ref="L30" si="61">IF(J30&lt;=0,"",IF(J30&lt;=10,"Leve",IF(J30&lt;=50,"Menor",IF(J30&lt;=100,"Moderado",IF(J30&lt;=500,"Mayor","Catastrófico")))))</f>
        <v/>
      </c>
      <c r="M30" s="554" t="str">
        <f t="shared" ref="M30" si="62">IF(L30="","",IF(L30="Leve",0.2,IF(L30="Menor",0.4,IF(L30="Moderado",0.6,IF(L30="Mayor",0.8,IF(L30="Catastrófico",1,))))))</f>
        <v/>
      </c>
      <c r="N30" s="555" t="str">
        <f t="shared" ref="N30" si="63">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274">
        <v>1</v>
      </c>
      <c r="P30" s="275"/>
      <c r="Q30" s="276" t="str">
        <f t="shared" si="7"/>
        <v/>
      </c>
      <c r="R30" s="277"/>
      <c r="S30" s="277"/>
      <c r="T30" s="278" t="str">
        <f>IF(AND(R30="Preventivo",S30="Automático"),"50%",IF(AND(R30="Preventivo",S30="Manual"),"40%",IF(AND(R30="Detectivo",S30="Automático"),"40%",IF(AND(R30="Detectivo",S30="Manual"),"30%",IF(AND(R30="Correctivo",S30="Automático"),"35%",IF(AND(R30="Correctivo",S30="Manual"),"25%",""))))))</f>
        <v/>
      </c>
      <c r="U30" s="277"/>
      <c r="V30" s="277"/>
      <c r="W30" s="277"/>
      <c r="X30" s="279" t="str">
        <f>IFERROR(IF(Q30="Probabilidad",(I30-(+I30*T30)),IF(Q30="Impacto",I30,"")),"")</f>
        <v/>
      </c>
      <c r="Y30" s="280" t="str">
        <f>IFERROR(IF(X30="","",IF(X30&lt;=0.2,"Muy Baja",IF(X30&lt;=0.4,"Baja",IF(X30&lt;=0.6,"Media",IF(X30&lt;=0.8,"Alta","Muy Alta"))))),"")</f>
        <v/>
      </c>
      <c r="Z30" s="278" t="str">
        <f>+X30</f>
        <v/>
      </c>
      <c r="AA30" s="280" t="str">
        <f>IFERROR(IF(AB30="","",IF(AB30&lt;=0.2,"Leve",IF(AB30&lt;=0.4,"Menor",IF(AB30&lt;=0.6,"Moderado",IF(AB30&lt;=0.8,"Mayor","Catastrófico"))))),"")</f>
        <v/>
      </c>
      <c r="AB30" s="278" t="str">
        <f>IFERROR(IF(Q30="Impacto",(M30-(+M30*T30)),IF(Q30="Probabilidad",M30,"")),"")</f>
        <v/>
      </c>
      <c r="AC30" s="281"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7"/>
      <c r="AE30" s="282"/>
      <c r="AF30" s="282"/>
      <c r="AG30" s="283"/>
      <c r="AH30" s="284"/>
      <c r="AI30" s="284"/>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c r="PD30" s="270"/>
      <c r="PE30" s="270"/>
      <c r="PF30" s="270"/>
      <c r="PG30" s="270"/>
      <c r="PH30" s="270"/>
      <c r="PI30" s="270"/>
      <c r="PJ30" s="270"/>
      <c r="PK30" s="270"/>
      <c r="PL30" s="270"/>
      <c r="PM30" s="270"/>
      <c r="PN30" s="270"/>
      <c r="PO30" s="270"/>
      <c r="PP30" s="270"/>
      <c r="PQ30" s="270"/>
      <c r="PR30" s="270"/>
      <c r="PS30" s="270"/>
      <c r="PT30" s="270"/>
      <c r="PU30" s="270"/>
      <c r="PV30" s="270"/>
      <c r="PW30" s="270"/>
      <c r="PX30" s="270"/>
      <c r="PY30" s="270"/>
      <c r="PZ30" s="270"/>
      <c r="QA30" s="270"/>
      <c r="QB30" s="270"/>
      <c r="QC30" s="270"/>
      <c r="QD30" s="270"/>
      <c r="QE30" s="270"/>
      <c r="QF30" s="270"/>
      <c r="QG30" s="270"/>
      <c r="QH30" s="270"/>
      <c r="QI30" s="270"/>
      <c r="QJ30" s="270"/>
      <c r="QK30" s="270"/>
      <c r="QL30" s="270"/>
      <c r="QM30" s="270"/>
      <c r="QN30" s="270"/>
      <c r="QO30" s="270"/>
      <c r="QP30" s="270"/>
      <c r="QQ30" s="270"/>
      <c r="QR30" s="270"/>
      <c r="QS30" s="270"/>
      <c r="QT30" s="270"/>
      <c r="QU30" s="270"/>
      <c r="QV30" s="270"/>
      <c r="QW30" s="270"/>
      <c r="QX30" s="270"/>
      <c r="QY30" s="270"/>
      <c r="QZ30" s="302"/>
    </row>
    <row r="31" spans="1:468" s="289" customFormat="1" ht="69" customHeight="1" x14ac:dyDescent="0.2">
      <c r="A31" s="559"/>
      <c r="B31" s="558"/>
      <c r="C31" s="558"/>
      <c r="D31" s="558"/>
      <c r="E31" s="560"/>
      <c r="F31" s="558"/>
      <c r="G31" s="556"/>
      <c r="H31" s="557"/>
      <c r="I31" s="554"/>
      <c r="J31" s="558"/>
      <c r="K31" s="554">
        <f ca="1">IF(NOT(ISERROR(MATCH(J31,_xlfn.ANCHORARRAY(E34),0))),#REF!&amp;"Por favor no seleccionar los criterios de impacto",J31)</f>
        <v>0</v>
      </c>
      <c r="L31" s="557"/>
      <c r="M31" s="554"/>
      <c r="N31" s="555"/>
      <c r="O31" s="274">
        <v>2</v>
      </c>
      <c r="P31" s="275"/>
      <c r="Q31" s="276" t="str">
        <f t="shared" si="7"/>
        <v/>
      </c>
      <c r="R31" s="277"/>
      <c r="S31" s="277"/>
      <c r="T31" s="278" t="str">
        <f t="shared" ref="T31" si="64">IF(AND(R31="Preventivo",S31="Automático"),"50%",IF(AND(R31="Preventivo",S31="Manual"),"40%",IF(AND(R31="Detectivo",S31="Automático"),"40%",IF(AND(R31="Detectivo",S31="Manual"),"30%",IF(AND(R31="Correctivo",S31="Automático"),"35%",IF(AND(R31="Correctivo",S31="Manual"),"25%",""))))))</f>
        <v/>
      </c>
      <c r="U31" s="277"/>
      <c r="V31" s="277"/>
      <c r="W31" s="277"/>
      <c r="X31" s="279" t="str">
        <f>IFERROR(IF(AND(Q30="Probabilidad",Q31="Probabilidad"),(Z30-(+Z30*T31)),IF(Q31="Probabilidad",(I30-(+I30*T31)),IF(Q31="Impacto",Z30,""))),"")</f>
        <v/>
      </c>
      <c r="Y31" s="280" t="str">
        <f t="shared" si="18"/>
        <v/>
      </c>
      <c r="Z31" s="278" t="str">
        <f t="shared" ref="Z31" si="65">+X31</f>
        <v/>
      </c>
      <c r="AA31" s="280" t="str">
        <f t="shared" si="9"/>
        <v/>
      </c>
      <c r="AB31" s="278" t="str">
        <f>IFERROR(IF(AND(Q30="Impacto",Q31="Impacto"),(AB28-(+AB28*T31)),IF(Q31="Impacto",($M$30-(+$M$30*T31)),IF(Q31="Probabilidad",AB28,""))),"")</f>
        <v/>
      </c>
      <c r="AC31" s="281" t="str">
        <f t="shared" ref="AC31" si="66">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77"/>
      <c r="AE31" s="282"/>
      <c r="AF31" s="282"/>
      <c r="AG31" s="283"/>
      <c r="AH31" s="284"/>
      <c r="AI31" s="284"/>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c r="PD31" s="270"/>
      <c r="PE31" s="270"/>
      <c r="PF31" s="270"/>
      <c r="PG31" s="270"/>
      <c r="PH31" s="270"/>
      <c r="PI31" s="270"/>
      <c r="PJ31" s="270"/>
      <c r="PK31" s="270"/>
      <c r="PL31" s="270"/>
      <c r="PM31" s="270"/>
      <c r="PN31" s="270"/>
      <c r="PO31" s="270"/>
      <c r="PP31" s="270"/>
      <c r="PQ31" s="270"/>
      <c r="PR31" s="270"/>
      <c r="PS31" s="270"/>
      <c r="PT31" s="270"/>
      <c r="PU31" s="270"/>
      <c r="PV31" s="270"/>
      <c r="PW31" s="270"/>
      <c r="PX31" s="270"/>
      <c r="PY31" s="270"/>
      <c r="PZ31" s="270"/>
      <c r="QA31" s="270"/>
      <c r="QB31" s="270"/>
      <c r="QC31" s="270"/>
      <c r="QD31" s="270"/>
      <c r="QE31" s="270"/>
      <c r="QF31" s="270"/>
      <c r="QG31" s="270"/>
      <c r="QH31" s="270"/>
      <c r="QI31" s="270"/>
      <c r="QJ31" s="270"/>
      <c r="QK31" s="270"/>
      <c r="QL31" s="270"/>
      <c r="QM31" s="270"/>
      <c r="QN31" s="270"/>
      <c r="QO31" s="270"/>
      <c r="QP31" s="270"/>
      <c r="QQ31" s="270"/>
      <c r="QR31" s="270"/>
      <c r="QS31" s="270"/>
      <c r="QT31" s="270"/>
      <c r="QU31" s="270"/>
      <c r="QV31" s="270"/>
      <c r="QW31" s="270"/>
      <c r="QX31" s="270"/>
      <c r="QY31" s="270"/>
      <c r="QZ31" s="302"/>
    </row>
    <row r="32" spans="1:468" x14ac:dyDescent="0.3">
      <c r="P32" s="1"/>
    </row>
    <row r="33" spans="1:16" x14ac:dyDescent="0.3">
      <c r="A33" s="1"/>
      <c r="B33" s="24"/>
      <c r="C33" s="1"/>
      <c r="D33" s="1"/>
      <c r="F33" s="1"/>
      <c r="P33" s="1"/>
    </row>
    <row r="34" spans="1:16" x14ac:dyDescent="0.3">
      <c r="P34" s="1"/>
    </row>
    <row r="35" spans="1:16" x14ac:dyDescent="0.3">
      <c r="P35" s="1"/>
    </row>
    <row r="36" spans="1:16" x14ac:dyDescent="0.3">
      <c r="P36" s="1"/>
    </row>
    <row r="37" spans="1:16" x14ac:dyDescent="0.3">
      <c r="P37" s="1"/>
    </row>
    <row r="38" spans="1:16" x14ac:dyDescent="0.3">
      <c r="P38" s="1"/>
    </row>
    <row r="39" spans="1:16" x14ac:dyDescent="0.3">
      <c r="P39" s="1"/>
    </row>
    <row r="40" spans="1:16" x14ac:dyDescent="0.3">
      <c r="P40" s="1"/>
    </row>
    <row r="41" spans="1:16" x14ac:dyDescent="0.3">
      <c r="P41" s="1"/>
    </row>
    <row r="42" spans="1:16" x14ac:dyDescent="0.3">
      <c r="P42" s="1"/>
    </row>
    <row r="43" spans="1:16" x14ac:dyDescent="0.3">
      <c r="P43" s="1"/>
    </row>
    <row r="44" spans="1:16" x14ac:dyDescent="0.3">
      <c r="P44" s="1"/>
    </row>
    <row r="45" spans="1:16" x14ac:dyDescent="0.3">
      <c r="P45" s="1"/>
    </row>
    <row r="46" spans="1:16" x14ac:dyDescent="0.3">
      <c r="P46" s="1"/>
    </row>
    <row r="47" spans="1:16" x14ac:dyDescent="0.3">
      <c r="P47" s="1"/>
    </row>
    <row r="48" spans="1:16" x14ac:dyDescent="0.3">
      <c r="P48" s="1"/>
    </row>
    <row r="49" spans="16:16" x14ac:dyDescent="0.3">
      <c r="P49" s="1"/>
    </row>
    <row r="50" spans="16:16" x14ac:dyDescent="0.3">
      <c r="P50" s="1"/>
    </row>
    <row r="51" spans="16:16" x14ac:dyDescent="0.3">
      <c r="P51" s="1"/>
    </row>
    <row r="52" spans="16:16" x14ac:dyDescent="0.3">
      <c r="P52" s="1"/>
    </row>
    <row r="53" spans="16:16" x14ac:dyDescent="0.3">
      <c r="P53" s="1"/>
    </row>
    <row r="54" spans="16:16" x14ac:dyDescent="0.3">
      <c r="P54" s="1"/>
    </row>
    <row r="55" spans="16:16" x14ac:dyDescent="0.3">
      <c r="P55" s="1"/>
    </row>
    <row r="56" spans="16:16" x14ac:dyDescent="0.3">
      <c r="P56" s="1"/>
    </row>
    <row r="57" spans="16:16" x14ac:dyDescent="0.3">
      <c r="P57" s="1"/>
    </row>
    <row r="58" spans="16:16" x14ac:dyDescent="0.3">
      <c r="P58" s="1"/>
    </row>
    <row r="59" spans="16:16" x14ac:dyDescent="0.3">
      <c r="P59" s="1"/>
    </row>
    <row r="60" spans="16:16" x14ac:dyDescent="0.3">
      <c r="P60" s="1"/>
    </row>
    <row r="61" spans="16:16" x14ac:dyDescent="0.3">
      <c r="P61" s="1"/>
    </row>
    <row r="62" spans="16:16" x14ac:dyDescent="0.3">
      <c r="P62" s="1"/>
    </row>
    <row r="63" spans="16:16" x14ac:dyDescent="0.3">
      <c r="P63" s="1"/>
    </row>
    <row r="64" spans="16:16" x14ac:dyDescent="0.3">
      <c r="P64" s="1"/>
    </row>
    <row r="65" spans="16:16" x14ac:dyDescent="0.3">
      <c r="P65" s="1"/>
    </row>
    <row r="66" spans="16:16" x14ac:dyDescent="0.3">
      <c r="P66" s="1"/>
    </row>
    <row r="67" spans="16:16" x14ac:dyDescent="0.3">
      <c r="P67" s="1"/>
    </row>
    <row r="68" spans="16:16" x14ac:dyDescent="0.3">
      <c r="P68" s="1"/>
    </row>
    <row r="69" spans="16:16" x14ac:dyDescent="0.3">
      <c r="P69" s="1"/>
    </row>
    <row r="70" spans="16:16" x14ac:dyDescent="0.3">
      <c r="P70" s="1"/>
    </row>
    <row r="71" spans="16:16" x14ac:dyDescent="0.3">
      <c r="P71" s="1"/>
    </row>
    <row r="72" spans="16:16" x14ac:dyDescent="0.3">
      <c r="P72" s="1"/>
    </row>
    <row r="73" spans="16:16" x14ac:dyDescent="0.3">
      <c r="P73" s="1"/>
    </row>
    <row r="74" spans="16:16" x14ac:dyDescent="0.3">
      <c r="P74" s="1"/>
    </row>
    <row r="75" spans="16:16" x14ac:dyDescent="0.3">
      <c r="P75" s="1"/>
    </row>
    <row r="76" spans="16:16" x14ac:dyDescent="0.3">
      <c r="P76" s="1"/>
    </row>
    <row r="77" spans="16:16" x14ac:dyDescent="0.3">
      <c r="P77" s="1"/>
    </row>
    <row r="78" spans="16:16" x14ac:dyDescent="0.3">
      <c r="P78" s="1"/>
    </row>
    <row r="79" spans="16:16" x14ac:dyDescent="0.3">
      <c r="P79" s="1"/>
    </row>
    <row r="80" spans="16:16" x14ac:dyDescent="0.3">
      <c r="P80" s="1"/>
    </row>
    <row r="81" spans="16:16" x14ac:dyDescent="0.3">
      <c r="P81" s="1"/>
    </row>
    <row r="82" spans="16:16" x14ac:dyDescent="0.3">
      <c r="P82" s="1"/>
    </row>
    <row r="83" spans="16:16" x14ac:dyDescent="0.3">
      <c r="P83" s="1"/>
    </row>
    <row r="84" spans="16:16" x14ac:dyDescent="0.3">
      <c r="P84" s="1"/>
    </row>
    <row r="85" spans="16:16" x14ac:dyDescent="0.3">
      <c r="P85" s="1"/>
    </row>
    <row r="86" spans="16:16" x14ac:dyDescent="0.3">
      <c r="P86" s="1"/>
    </row>
    <row r="87" spans="16:16" x14ac:dyDescent="0.3">
      <c r="P87" s="1"/>
    </row>
    <row r="88" spans="16:16" x14ac:dyDescent="0.3">
      <c r="P88" s="1"/>
    </row>
    <row r="89" spans="16:16" x14ac:dyDescent="0.3">
      <c r="P89" s="1"/>
    </row>
    <row r="90" spans="16:16" x14ac:dyDescent="0.3">
      <c r="P90" s="1"/>
    </row>
    <row r="91" spans="16:16" x14ac:dyDescent="0.3">
      <c r="P91" s="1"/>
    </row>
    <row r="92" spans="16:16" x14ac:dyDescent="0.3">
      <c r="P92" s="1"/>
    </row>
    <row r="93" spans="16:16" x14ac:dyDescent="0.3">
      <c r="P93" s="1"/>
    </row>
    <row r="94" spans="16:16" x14ac:dyDescent="0.3">
      <c r="P94" s="1"/>
    </row>
    <row r="95" spans="16:16" x14ac:dyDescent="0.3">
      <c r="P95" s="1"/>
    </row>
    <row r="96" spans="16:16" x14ac:dyDescent="0.3">
      <c r="P96" s="1"/>
    </row>
    <row r="97" spans="5:16" x14ac:dyDescent="0.3">
      <c r="P97" s="1"/>
    </row>
    <row r="98" spans="5:16" x14ac:dyDescent="0.3">
      <c r="P98" s="1"/>
    </row>
    <row r="99" spans="5:16" x14ac:dyDescent="0.3">
      <c r="P99" s="1"/>
    </row>
    <row r="100" spans="5:16" x14ac:dyDescent="0.3">
      <c r="P100" s="1"/>
    </row>
    <row r="101" spans="5:16" x14ac:dyDescent="0.3">
      <c r="E101" s="548" t="s">
        <v>469</v>
      </c>
      <c r="F101" s="548"/>
      <c r="G101" s="548"/>
      <c r="H101" s="548"/>
      <c r="I101" s="548"/>
    </row>
    <row r="102" spans="5:16" x14ac:dyDescent="0.3">
      <c r="G102" s="291" t="s">
        <v>13</v>
      </c>
      <c r="H102" s="291" t="s">
        <v>498</v>
      </c>
    </row>
    <row r="103" spans="5:16" x14ac:dyDescent="0.3">
      <c r="E103" s="1" t="s">
        <v>470</v>
      </c>
      <c r="G103" s="1" t="s">
        <v>14</v>
      </c>
      <c r="H103" s="1" t="s">
        <v>613</v>
      </c>
    </row>
    <row r="104" spans="5:16" x14ac:dyDescent="0.3">
      <c r="E104" t="s">
        <v>471</v>
      </c>
      <c r="G104" s="1" t="s">
        <v>15</v>
      </c>
      <c r="H104" s="1" t="s">
        <v>9</v>
      </c>
    </row>
    <row r="105" spans="5:16" x14ac:dyDescent="0.3">
      <c r="E105" s="1" t="s">
        <v>472</v>
      </c>
      <c r="G105" s="1" t="s">
        <v>16</v>
      </c>
    </row>
    <row r="106" spans="5:16" x14ac:dyDescent="0.3">
      <c r="E106" s="1" t="s">
        <v>473</v>
      </c>
    </row>
    <row r="107" spans="5:16" x14ac:dyDescent="0.3">
      <c r="E107" s="1" t="s">
        <v>474</v>
      </c>
      <c r="G107" s="291" t="s">
        <v>18</v>
      </c>
      <c r="H107" s="291" t="s">
        <v>21</v>
      </c>
    </row>
    <row r="108" spans="5:16" x14ac:dyDescent="0.3">
      <c r="E108" s="1" t="s">
        <v>475</v>
      </c>
      <c r="G108" s="1" t="s">
        <v>493</v>
      </c>
      <c r="H108" s="1" t="s">
        <v>22</v>
      </c>
    </row>
    <row r="109" spans="5:16" x14ac:dyDescent="0.3">
      <c r="E109" s="1" t="s">
        <v>476</v>
      </c>
      <c r="G109" s="1" t="s">
        <v>494</v>
      </c>
      <c r="H109" s="1" t="s">
        <v>23</v>
      </c>
    </row>
    <row r="112" spans="5:16" x14ac:dyDescent="0.3">
      <c r="E112" s="291" t="s">
        <v>39</v>
      </c>
      <c r="G112" s="291" t="s">
        <v>496</v>
      </c>
      <c r="H112" s="291" t="s">
        <v>29</v>
      </c>
    </row>
    <row r="113" spans="5:8" x14ac:dyDescent="0.3">
      <c r="E113" s="1" t="s">
        <v>40</v>
      </c>
      <c r="G113" s="1" t="s">
        <v>497</v>
      </c>
      <c r="H113" s="1" t="s">
        <v>30</v>
      </c>
    </row>
    <row r="114" spans="5:8" x14ac:dyDescent="0.3">
      <c r="E114" s="140" t="s">
        <v>41</v>
      </c>
      <c r="G114" s="1" t="s">
        <v>27</v>
      </c>
      <c r="H114" s="1" t="s">
        <v>32</v>
      </c>
    </row>
    <row r="115" spans="5:8" x14ac:dyDescent="0.3">
      <c r="H115" s="1" t="s">
        <v>31</v>
      </c>
    </row>
    <row r="120" spans="5:8" x14ac:dyDescent="0.3">
      <c r="E120" s="311">
        <v>0.2</v>
      </c>
    </row>
    <row r="121" spans="5:8" x14ac:dyDescent="0.3">
      <c r="E121" s="311">
        <v>0.4</v>
      </c>
    </row>
    <row r="122" spans="5:8" x14ac:dyDescent="0.3">
      <c r="E122" s="311">
        <v>0.6</v>
      </c>
    </row>
    <row r="123" spans="5:8" x14ac:dyDescent="0.3">
      <c r="E123" s="311">
        <v>0.8</v>
      </c>
    </row>
    <row r="124" spans="5:8" x14ac:dyDescent="0.3">
      <c r="E124" s="311">
        <v>1</v>
      </c>
    </row>
  </sheetData>
  <dataConsolidate/>
  <mergeCells count="191">
    <mergeCell ref="N14:N16"/>
    <mergeCell ref="M14:M16"/>
    <mergeCell ref="L14:L16"/>
    <mergeCell ref="J14:J16"/>
    <mergeCell ref="AH12:AH13"/>
    <mergeCell ref="AI12:AI13"/>
    <mergeCell ref="A12:A13"/>
    <mergeCell ref="B12:B13"/>
    <mergeCell ref="C12:C13"/>
    <mergeCell ref="D12:D13"/>
    <mergeCell ref="E12:E13"/>
    <mergeCell ref="F12:F13"/>
    <mergeCell ref="G12:G13"/>
    <mergeCell ref="H12:H13"/>
    <mergeCell ref="I12:I13"/>
    <mergeCell ref="N12:N13"/>
    <mergeCell ref="E14:E16"/>
    <mergeCell ref="D14:D16"/>
    <mergeCell ref="L12:L13"/>
    <mergeCell ref="M12:M13"/>
    <mergeCell ref="H14:H16"/>
    <mergeCell ref="AH9:AI9"/>
    <mergeCell ref="AB10:AB11"/>
    <mergeCell ref="AC10:AC11"/>
    <mergeCell ref="AD10:AD11"/>
    <mergeCell ref="E101:I101"/>
    <mergeCell ref="A9:G9"/>
    <mergeCell ref="H9:N9"/>
    <mergeCell ref="I19:I20"/>
    <mergeCell ref="K19:K20"/>
    <mergeCell ref="L19:L20"/>
    <mergeCell ref="M19:M20"/>
    <mergeCell ref="N19:N20"/>
    <mergeCell ref="K17:K18"/>
    <mergeCell ref="A19:A20"/>
    <mergeCell ref="B19:B20"/>
    <mergeCell ref="C19:C20"/>
    <mergeCell ref="D19:D20"/>
    <mergeCell ref="E19:E20"/>
    <mergeCell ref="F19:F20"/>
    <mergeCell ref="B14:B16"/>
    <mergeCell ref="C14:C16"/>
    <mergeCell ref="A14:A16"/>
    <mergeCell ref="H10:H11"/>
    <mergeCell ref="I10:I11"/>
    <mergeCell ref="AF10:AF11"/>
    <mergeCell ref="Y10:Y11"/>
    <mergeCell ref="Z10:Z11"/>
    <mergeCell ref="AI10:AI11"/>
    <mergeCell ref="A5:AI6"/>
    <mergeCell ref="A7:B7"/>
    <mergeCell ref="C7:N7"/>
    <mergeCell ref="O7:Q7"/>
    <mergeCell ref="A8:B8"/>
    <mergeCell ref="C8:N8"/>
    <mergeCell ref="L10:L11"/>
    <mergeCell ref="M10:M11"/>
    <mergeCell ref="N10:N11"/>
    <mergeCell ref="O10:O11"/>
    <mergeCell ref="A10:A11"/>
    <mergeCell ref="B10:B11"/>
    <mergeCell ref="C10:C11"/>
    <mergeCell ref="D10:D11"/>
    <mergeCell ref="E10:E11"/>
    <mergeCell ref="F10:F11"/>
    <mergeCell ref="G10:G11"/>
    <mergeCell ref="O9:W9"/>
    <mergeCell ref="X9:AD9"/>
    <mergeCell ref="AE9:AG9"/>
    <mergeCell ref="H17:H18"/>
    <mergeCell ref="G17:G18"/>
    <mergeCell ref="F17:F18"/>
    <mergeCell ref="E17:E18"/>
    <mergeCell ref="D17:D18"/>
    <mergeCell ref="I21:I22"/>
    <mergeCell ref="K10:K11"/>
    <mergeCell ref="I14:I16"/>
    <mergeCell ref="J10:J11"/>
    <mergeCell ref="K14:K16"/>
    <mergeCell ref="G14:G16"/>
    <mergeCell ref="F14:F16"/>
    <mergeCell ref="J12:J13"/>
    <mergeCell ref="A26:A27"/>
    <mergeCell ref="B26:B27"/>
    <mergeCell ref="C26:C27"/>
    <mergeCell ref="C17:C18"/>
    <mergeCell ref="B17:B18"/>
    <mergeCell ref="A17:A18"/>
    <mergeCell ref="F24:F25"/>
    <mergeCell ref="D26:D27"/>
    <mergeCell ref="E26:E27"/>
    <mergeCell ref="F26:F27"/>
    <mergeCell ref="A24:A25"/>
    <mergeCell ref="B24:B25"/>
    <mergeCell ref="C24:C25"/>
    <mergeCell ref="D24:D25"/>
    <mergeCell ref="E24:E25"/>
    <mergeCell ref="A21:A22"/>
    <mergeCell ref="B21:B22"/>
    <mergeCell ref="C21:C22"/>
    <mergeCell ref="D21:D22"/>
    <mergeCell ref="E21:E22"/>
    <mergeCell ref="G26:G27"/>
    <mergeCell ref="H26:H27"/>
    <mergeCell ref="G24:G25"/>
    <mergeCell ref="H24:H25"/>
    <mergeCell ref="G21:G22"/>
    <mergeCell ref="H21:H22"/>
    <mergeCell ref="K24:K25"/>
    <mergeCell ref="I24:I25"/>
    <mergeCell ref="J24:J25"/>
    <mergeCell ref="I26:I27"/>
    <mergeCell ref="J26:J27"/>
    <mergeCell ref="K26:K27"/>
    <mergeCell ref="J21:J22"/>
    <mergeCell ref="A30:A31"/>
    <mergeCell ref="B30:B31"/>
    <mergeCell ref="C30:C31"/>
    <mergeCell ref="D30:D31"/>
    <mergeCell ref="E30:E31"/>
    <mergeCell ref="F30:F31"/>
    <mergeCell ref="G30:G31"/>
    <mergeCell ref="H30:H31"/>
    <mergeCell ref="G28:G29"/>
    <mergeCell ref="H28:H29"/>
    <mergeCell ref="A28:A29"/>
    <mergeCell ref="B28:B29"/>
    <mergeCell ref="C28:C29"/>
    <mergeCell ref="D28:D29"/>
    <mergeCell ref="E28:E29"/>
    <mergeCell ref="F28:F29"/>
    <mergeCell ref="I30:I31"/>
    <mergeCell ref="J30:J31"/>
    <mergeCell ref="K30:K31"/>
    <mergeCell ref="L30:L31"/>
    <mergeCell ref="M30:M31"/>
    <mergeCell ref="N30:N31"/>
    <mergeCell ref="M28:M29"/>
    <mergeCell ref="N28:N29"/>
    <mergeCell ref="I28:I29"/>
    <mergeCell ref="J28:J29"/>
    <mergeCell ref="K28:K29"/>
    <mergeCell ref="L28:L29"/>
    <mergeCell ref="L26:L27"/>
    <mergeCell ref="M26:M27"/>
    <mergeCell ref="N26:N27"/>
    <mergeCell ref="AH10:AH11"/>
    <mergeCell ref="AE10:AE11"/>
    <mergeCell ref="X10:X11"/>
    <mergeCell ref="AE19:AE20"/>
    <mergeCell ref="AF19:AF20"/>
    <mergeCell ref="AG19:AG20"/>
    <mergeCell ref="AH19:AH20"/>
    <mergeCell ref="P19:P20"/>
    <mergeCell ref="O19:O20"/>
    <mergeCell ref="L24:L25"/>
    <mergeCell ref="M24:M25"/>
    <mergeCell ref="N24:N25"/>
    <mergeCell ref="U19:U20"/>
    <mergeCell ref="V19:V20"/>
    <mergeCell ref="W19:W20"/>
    <mergeCell ref="Y19:Y20"/>
    <mergeCell ref="AA10:AA11"/>
    <mergeCell ref="AG10:AG11"/>
    <mergeCell ref="P10:P11"/>
    <mergeCell ref="Q10:Q11"/>
    <mergeCell ref="R10:W10"/>
    <mergeCell ref="M21:M22"/>
    <mergeCell ref="X19:X20"/>
    <mergeCell ref="J17:J18"/>
    <mergeCell ref="N17:N18"/>
    <mergeCell ref="M17:M18"/>
    <mergeCell ref="L17:L18"/>
    <mergeCell ref="AI19:AI20"/>
    <mergeCell ref="F21:F22"/>
    <mergeCell ref="G19:G20"/>
    <mergeCell ref="H19:H20"/>
    <mergeCell ref="J19:J20"/>
    <mergeCell ref="N21:N22"/>
    <mergeCell ref="K21:K22"/>
    <mergeCell ref="L21:L22"/>
    <mergeCell ref="Z19:Z20"/>
    <mergeCell ref="AA19:AA20"/>
    <mergeCell ref="AB19:AB20"/>
    <mergeCell ref="AC19:AC20"/>
    <mergeCell ref="AD19:AD20"/>
    <mergeCell ref="Q19:Q20"/>
    <mergeCell ref="R19:R20"/>
    <mergeCell ref="S19:S20"/>
    <mergeCell ref="T19:T20"/>
    <mergeCell ref="I17:I18"/>
  </mergeCells>
  <conditionalFormatting sqref="H12 H14 H17 H19 H21 H23:H24 H26 H28 H30 Y12:Y19">
    <cfRule type="cellIs" dxfId="119" priority="264" operator="equal">
      <formula>"Muy Alta"</formula>
    </cfRule>
    <cfRule type="cellIs" dxfId="118" priority="265" operator="equal">
      <formula>"Alta"</formula>
    </cfRule>
    <cfRule type="cellIs" dxfId="117" priority="266" operator="equal">
      <formula>"Media"</formula>
    </cfRule>
    <cfRule type="cellIs" dxfId="116" priority="267" operator="equal">
      <formula>"Baja"</formula>
    </cfRule>
    <cfRule type="cellIs" dxfId="115" priority="268" operator="equal">
      <formula>"Muy Baja"</formula>
    </cfRule>
  </conditionalFormatting>
  <conditionalFormatting sqref="K17:K31 K12:K14">
    <cfRule type="containsText" dxfId="114" priority="38" operator="containsText" text="❌">
      <formula>NOT(ISERROR(SEARCH("❌",K12)))</formula>
    </cfRule>
  </conditionalFormatting>
  <conditionalFormatting sqref="L12 L14 L17 L19 L21 L23:L24 L26 L28 L30 AA12:AA19">
    <cfRule type="cellIs" dxfId="113" priority="259" operator="equal">
      <formula>"Catastrófico"</formula>
    </cfRule>
    <cfRule type="cellIs" dxfId="112" priority="260" operator="equal">
      <formula>"Mayor"</formula>
    </cfRule>
    <cfRule type="cellIs" dxfId="111" priority="261" operator="equal">
      <formula>"Moderado"</formula>
    </cfRule>
    <cfRule type="cellIs" dxfId="110" priority="262" operator="equal">
      <formula>"Menor"</formula>
    </cfRule>
    <cfRule type="cellIs" dxfId="109" priority="263" operator="equal">
      <formula>"Leve"</formula>
    </cfRule>
  </conditionalFormatting>
  <conditionalFormatting sqref="N12 N14 N17 N19 N21 N23:N24 N26 N28 N30 AC12:AC19">
    <cfRule type="cellIs" dxfId="108" priority="255" operator="equal">
      <formula>"Extremo"</formula>
    </cfRule>
    <cfRule type="cellIs" dxfId="107" priority="256" operator="equal">
      <formula>"Alto"</formula>
    </cfRule>
    <cfRule type="cellIs" dxfId="106" priority="257" operator="equal">
      <formula>"Moderado"</formula>
    </cfRule>
    <cfRule type="cellIs" dxfId="105" priority="258" operator="equal">
      <formula>"Bajo"</formula>
    </cfRule>
  </conditionalFormatting>
  <conditionalFormatting sqref="Y21:Y31">
    <cfRule type="cellIs" dxfId="104" priority="48" operator="equal">
      <formula>"Muy Alta"</formula>
    </cfRule>
    <cfRule type="cellIs" dxfId="103" priority="49" operator="equal">
      <formula>"Alta"</formula>
    </cfRule>
    <cfRule type="cellIs" dxfId="102" priority="50" operator="equal">
      <formula>"Media"</formula>
    </cfRule>
    <cfRule type="cellIs" dxfId="101" priority="51" operator="equal">
      <formula>"Baja"</formula>
    </cfRule>
    <cfRule type="cellIs" dxfId="100" priority="52" operator="equal">
      <formula>"Muy Baja"</formula>
    </cfRule>
  </conditionalFormatting>
  <conditionalFormatting sqref="AA21:AA31">
    <cfRule type="cellIs" dxfId="99" priority="43" operator="equal">
      <formula>"Catastrófico"</formula>
    </cfRule>
    <cfRule type="cellIs" dxfId="98" priority="44" operator="equal">
      <formula>"Mayor"</formula>
    </cfRule>
    <cfRule type="cellIs" dxfId="97" priority="45" operator="equal">
      <formula>"Moderado"</formula>
    </cfRule>
    <cfRule type="cellIs" dxfId="96" priority="46" operator="equal">
      <formula>"Menor"</formula>
    </cfRule>
    <cfRule type="cellIs" dxfId="95" priority="47" operator="equal">
      <formula>"Leve"</formula>
    </cfRule>
  </conditionalFormatting>
  <conditionalFormatting sqref="AC21:AC31">
    <cfRule type="cellIs" dxfId="94" priority="39" operator="equal">
      <formula>"Extremo"</formula>
    </cfRule>
    <cfRule type="cellIs" dxfId="93" priority="40" operator="equal">
      <formula>"Alto"</formula>
    </cfRule>
    <cfRule type="cellIs" dxfId="92" priority="41" operator="equal">
      <formula>"Moderado"</formula>
    </cfRule>
    <cfRule type="cellIs" dxfId="91" priority="42" operator="equal">
      <formula>"Bajo"</formula>
    </cfRule>
  </conditionalFormatting>
  <dataValidations count="15">
    <dataValidation type="list" allowBlank="1" showInputMessage="1" showErrorMessage="1" sqref="F19:F31 F17 F14" xr:uid="{F945A0BB-1439-4C4C-83CC-101C749B4F09}">
      <formula1>$E$103:$E$109</formula1>
    </dataValidation>
    <dataValidation type="list" allowBlank="1" showInputMessage="1" showErrorMessage="1" sqref="J23 J12" xr:uid="{29EF57DE-69F1-4A69-8CE2-BD7A0CF5DEE1}">
      <formula1>$E$120:$E$124</formula1>
    </dataValidation>
    <dataValidation type="list" allowBlank="1" showInputMessage="1" showErrorMessage="1" sqref="AD17:AD19 AD21:AD31" xr:uid="{CFB6B5C3-1C18-4CC0-A565-6F2F53107BAF}">
      <formula1>$H$113:$H$117</formula1>
    </dataValidation>
    <dataValidation type="list" allowBlank="1" showInputMessage="1" showErrorMessage="1" sqref="R21:R31 R14:R19 R12" xr:uid="{5238F813-F181-46AB-97D8-2D23943123D0}">
      <formula1>$G$103:$G$105</formula1>
    </dataValidation>
    <dataValidation type="list" allowBlank="1" showInputMessage="1" showErrorMessage="1" sqref="S21:S31 S14:S19 S12" xr:uid="{09C3A630-8469-44A0-8AE1-349719692903}">
      <formula1>$H$103:$H$104</formula1>
    </dataValidation>
    <dataValidation type="list" allowBlank="1" showInputMessage="1" showErrorMessage="1" sqref="U21:U31 U14:U19 U12" xr:uid="{B056BDCF-B14A-4653-B972-5E6589ED96DF}">
      <formula1>$G$108:$G$109</formula1>
    </dataValidation>
    <dataValidation type="list" allowBlank="1" showInputMessage="1" showErrorMessage="1" sqref="V21:V31 V14:V19 V12" xr:uid="{83134365-4E4D-4D1F-85DE-C54C27FC0A34}">
      <formula1>$H$108:$H$109</formula1>
    </dataValidation>
    <dataValidation type="list" allowBlank="1" showInputMessage="1" showErrorMessage="1" sqref="W21:W31 W14:W19 W12" xr:uid="{ADD1DA7C-008F-4861-8DAA-59B3EA41944F}">
      <formula1>$G$113:$G$114</formula1>
    </dataValidation>
    <dataValidation type="list" allowBlank="1" showInputMessage="1" showErrorMessage="1" sqref="F12:F13" xr:uid="{3A008BDD-1CF8-4831-9788-E4BA6C6F0171}">
      <formula1>$E$101:$E$107</formula1>
    </dataValidation>
    <dataValidation type="list" allowBlank="1" showInputMessage="1" showErrorMessage="1" sqref="W13" xr:uid="{6803588D-8D09-4589-9E41-90DB0D30558B}">
      <formula1>$G$112:$G$113</formula1>
    </dataValidation>
    <dataValidation type="list" allowBlank="1" showInputMessage="1" showErrorMessage="1" sqref="V13" xr:uid="{33B2E694-9A85-43E0-AF63-DE31B47720AF}">
      <formula1>$H$107:$H$108</formula1>
    </dataValidation>
    <dataValidation type="list" allowBlank="1" showInputMessage="1" showErrorMessage="1" sqref="U13" xr:uid="{270E5D31-81E8-49ED-9056-DF5349E27A8B}">
      <formula1>$G$107:$G$108</formula1>
    </dataValidation>
    <dataValidation type="list" allowBlank="1" showInputMessage="1" showErrorMessage="1" sqref="S13" xr:uid="{B841878D-439A-4C4F-A166-99B7A340E00A}">
      <formula1>$H$102:$H$103</formula1>
    </dataValidation>
    <dataValidation type="list" allowBlank="1" showInputMessage="1" showErrorMessage="1" sqref="R13" xr:uid="{39746FD9-2532-49B3-AA5D-9D8C6398139E}">
      <formula1>$G$102:$G$104</formula1>
    </dataValidation>
    <dataValidation type="list" allowBlank="1" showInputMessage="1" showErrorMessage="1" sqref="AD12:AD16" xr:uid="{3A15CD01-5B38-47A1-A208-B4560E241C1A}">
      <formula1>$H$113:$H$115</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DF5E-709B-4B1E-BC2E-F4F13A9BAD3B}">
  <sheetPr>
    <tabColor rgb="FFFF0000"/>
  </sheetPr>
  <dimension ref="B1:CS300"/>
  <sheetViews>
    <sheetView topLeftCell="T16" zoomScale="85" zoomScaleNormal="85" workbookViewId="0">
      <selection activeCell="Z22" sqref="Z22"/>
    </sheetView>
  </sheetViews>
  <sheetFormatPr baseColWidth="10" defaultColWidth="11.42578125" defaultRowHeight="15" x14ac:dyDescent="0.25"/>
  <cols>
    <col min="1" max="1" width="6.28515625" style="335" customWidth="1"/>
    <col min="2" max="2" width="5" style="335" customWidth="1"/>
    <col min="3" max="3" width="25.85546875" style="335" customWidth="1"/>
    <col min="4" max="4" width="22.5703125" style="335" customWidth="1"/>
    <col min="5" max="5" width="15.42578125" style="335" customWidth="1"/>
    <col min="6" max="6" width="40.140625" style="335" customWidth="1"/>
    <col min="7" max="7" width="19.28515625" style="335" customWidth="1"/>
    <col min="8" max="8" width="33.7109375" style="335" customWidth="1"/>
    <col min="9" max="9" width="28.7109375" style="335" customWidth="1"/>
    <col min="10" max="10" width="15.7109375" style="335" customWidth="1"/>
    <col min="11" max="11" width="48.7109375" style="335" customWidth="1"/>
    <col min="12" max="12" width="34.5703125" style="335" customWidth="1"/>
    <col min="13" max="13" width="19.7109375" style="335" customWidth="1"/>
    <col min="14" max="14" width="31.85546875" style="335" customWidth="1"/>
    <col min="15" max="15" width="27.28515625" style="335" customWidth="1"/>
    <col min="16" max="16" width="17.5703125" style="335" customWidth="1"/>
    <col min="17" max="17" width="21.7109375" style="335" customWidth="1"/>
    <col min="18" max="18" width="13.5703125" style="335" customWidth="1"/>
    <col min="19" max="19" width="20.85546875" style="335" customWidth="1"/>
    <col min="20" max="20" width="18.42578125" style="335" customWidth="1"/>
    <col min="21" max="21" width="18.5703125" style="335" customWidth="1"/>
    <col min="22" max="22" width="19.28515625" style="335" customWidth="1"/>
    <col min="23" max="23" width="17.85546875" style="335" customWidth="1"/>
    <col min="24" max="24" width="18" style="335" customWidth="1"/>
    <col min="25" max="25" width="18.5703125" style="335" customWidth="1"/>
    <col min="26" max="26" width="25.140625" style="335" customWidth="1"/>
    <col min="27" max="27" width="17.42578125" style="335" customWidth="1"/>
    <col min="28" max="28" width="18.85546875" style="335" customWidth="1"/>
    <col min="29" max="29" width="12.85546875" style="335" customWidth="1"/>
    <col min="30" max="30" width="14" style="335" customWidth="1"/>
    <col min="31" max="31" width="19.7109375" style="335" customWidth="1"/>
    <col min="32" max="32" width="18.28515625" style="335" customWidth="1"/>
    <col min="33" max="33" width="14.85546875" style="335" customWidth="1"/>
    <col min="34" max="34" width="8.42578125" style="335" customWidth="1"/>
    <col min="35" max="35" width="13.85546875" style="335" customWidth="1"/>
    <col min="36" max="37" width="9" style="335" customWidth="1"/>
    <col min="38" max="38" width="24.5703125" style="335" customWidth="1"/>
    <col min="39" max="39" width="13.85546875" style="335" customWidth="1"/>
    <col min="40" max="40" width="12.5703125" style="335" customWidth="1"/>
    <col min="41" max="41" width="5.5703125" style="335" customWidth="1"/>
    <col min="42" max="47" width="15.5703125" style="335" customWidth="1"/>
    <col min="48" max="88" width="5.5703125" style="335" customWidth="1"/>
    <col min="89" max="89" width="11.5703125" style="335" customWidth="1"/>
    <col min="90" max="90" width="8.42578125" style="335" customWidth="1"/>
    <col min="91" max="91" width="8.7109375" style="335" customWidth="1"/>
    <col min="92" max="92" width="11.42578125" style="335"/>
    <col min="93" max="93" width="7.140625" style="335" customWidth="1"/>
    <col min="94" max="94" width="119.140625" style="335" bestFit="1" customWidth="1"/>
    <col min="95" max="97" width="11.42578125" style="335"/>
    <col min="98" max="98" width="43.7109375" style="335" customWidth="1"/>
    <col min="99" max="99" width="67.85546875" style="335" customWidth="1"/>
    <col min="100" max="100" width="18.140625" style="335" customWidth="1"/>
    <col min="101" max="101" width="11.42578125" style="335"/>
    <col min="102" max="102" width="17.140625" style="335" customWidth="1"/>
    <col min="103" max="106" width="11.42578125" style="335"/>
    <col min="107" max="107" width="12.85546875" style="335" customWidth="1"/>
    <col min="108" max="108" width="16.85546875" style="335" customWidth="1"/>
    <col min="109" max="109" width="19.28515625" style="335" customWidth="1"/>
    <col min="110" max="110" width="23.140625" style="335" customWidth="1"/>
    <col min="111" max="111" width="18" style="335" customWidth="1"/>
    <col min="112" max="16384" width="11.42578125" style="335"/>
  </cols>
  <sheetData>
    <row r="1" spans="2:97" ht="139.5" customHeight="1" x14ac:dyDescent="0.25"/>
    <row r="2" spans="2:97" ht="54.75" customHeight="1" x14ac:dyDescent="0.25"/>
    <row r="3" spans="2:97" ht="68.25" customHeight="1" x14ac:dyDescent="0.25">
      <c r="B3" s="336"/>
    </row>
    <row r="4" spans="2:97" x14ac:dyDescent="0.25">
      <c r="D4" s="338"/>
      <c r="E4" s="338"/>
      <c r="F4" s="338"/>
      <c r="G4" s="338"/>
      <c r="H4" s="338"/>
      <c r="I4" s="710"/>
      <c r="J4" s="710"/>
      <c r="K4" s="710"/>
      <c r="L4" s="710"/>
      <c r="M4" s="710"/>
      <c r="N4" s="710"/>
      <c r="O4" s="710"/>
      <c r="P4" s="710"/>
      <c r="Q4" s="710"/>
      <c r="R4" s="710"/>
      <c r="S4" s="710"/>
      <c r="T4" s="710"/>
      <c r="U4" s="710"/>
      <c r="V4" s="710"/>
      <c r="W4" s="710"/>
      <c r="X4" s="710"/>
      <c r="Y4" s="710"/>
      <c r="Z4" s="710"/>
      <c r="AA4" s="710"/>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c r="CK4" s="337"/>
      <c r="CL4" s="337"/>
      <c r="CM4" s="337"/>
      <c r="CN4" s="337"/>
      <c r="CO4" s="337"/>
      <c r="CP4" s="337"/>
      <c r="CQ4" s="337"/>
      <c r="CR4" s="337"/>
      <c r="CS4" s="337"/>
    </row>
    <row r="5" spans="2:97" ht="6.75" customHeight="1" thickBot="1" x14ac:dyDescent="0.3">
      <c r="D5" s="339"/>
      <c r="E5" s="339"/>
      <c r="F5" s="339"/>
      <c r="G5" s="339"/>
      <c r="H5" s="339"/>
      <c r="I5" s="339"/>
      <c r="J5" s="339"/>
      <c r="K5" s="339"/>
      <c r="L5" s="339"/>
      <c r="M5" s="339"/>
      <c r="N5" s="339"/>
      <c r="O5" s="339"/>
      <c r="P5" s="340"/>
      <c r="Q5" s="340"/>
      <c r="R5" s="340"/>
      <c r="S5" s="340"/>
      <c r="T5" s="339"/>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7"/>
      <c r="CE5" s="337"/>
      <c r="CF5" s="337"/>
      <c r="CG5" s="337"/>
      <c r="CH5" s="337"/>
      <c r="CI5" s="337"/>
      <c r="CJ5" s="337"/>
      <c r="CK5" s="337"/>
      <c r="CL5" s="337"/>
      <c r="CM5" s="337"/>
      <c r="CN5" s="337"/>
      <c r="CO5" s="337"/>
      <c r="CP5" s="337"/>
      <c r="CQ5" s="337"/>
      <c r="CR5" s="337"/>
      <c r="CS5" s="337"/>
    </row>
    <row r="6" spans="2:97" ht="18.75" customHeight="1" x14ac:dyDescent="0.25">
      <c r="C6" s="711" t="s">
        <v>507</v>
      </c>
      <c r="D6" s="712"/>
      <c r="E6" s="712"/>
      <c r="F6" s="712"/>
      <c r="G6" s="712"/>
      <c r="H6" s="712"/>
      <c r="I6" s="712"/>
      <c r="J6" s="712"/>
      <c r="K6" s="712"/>
      <c r="L6" s="712"/>
      <c r="M6" s="712"/>
      <c r="N6" s="712"/>
      <c r="O6" s="712"/>
      <c r="P6" s="712"/>
      <c r="Q6" s="712"/>
      <c r="R6" s="712"/>
      <c r="S6" s="712"/>
      <c r="T6" s="712"/>
      <c r="U6" s="712"/>
      <c r="V6" s="712"/>
      <c r="W6" s="712"/>
      <c r="X6" s="712"/>
      <c r="Y6" s="712"/>
      <c r="Z6" s="712"/>
      <c r="AA6" s="712"/>
      <c r="AB6" s="712"/>
      <c r="AC6" s="712"/>
      <c r="AD6" s="712"/>
      <c r="AE6" s="712"/>
      <c r="AF6" s="712"/>
      <c r="AG6" s="712"/>
      <c r="AH6" s="712"/>
      <c r="AI6" s="712"/>
      <c r="AJ6" s="712"/>
      <c r="AK6" s="712"/>
      <c r="AL6" s="712"/>
      <c r="AM6" s="712"/>
      <c r="AN6" s="712"/>
      <c r="AO6" s="712"/>
      <c r="AP6" s="712"/>
      <c r="AQ6" s="713"/>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row>
    <row r="7" spans="2:97" ht="7.5" customHeight="1" thickBot="1" x14ac:dyDescent="0.3">
      <c r="C7" s="714"/>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715"/>
      <c r="AF7" s="715"/>
      <c r="AG7" s="715"/>
      <c r="AH7" s="715"/>
      <c r="AI7" s="715"/>
      <c r="AJ7" s="715"/>
      <c r="AK7" s="715"/>
      <c r="AL7" s="715"/>
      <c r="AM7" s="715"/>
      <c r="AN7" s="715"/>
      <c r="AO7" s="715"/>
      <c r="AP7" s="715"/>
      <c r="AQ7" s="716"/>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row>
    <row r="8" spans="2:97" ht="20.25" customHeight="1" thickBot="1" x14ac:dyDescent="0.3">
      <c r="C8" s="717" t="s">
        <v>43</v>
      </c>
      <c r="D8" s="718"/>
      <c r="E8" s="719"/>
      <c r="F8" s="720"/>
      <c r="G8" s="721" t="str">
        <f>'[3]Datos del proceso'!A9</f>
        <v>PROCESO</v>
      </c>
      <c r="H8" s="722"/>
      <c r="I8" s="722"/>
      <c r="J8" s="722"/>
      <c r="K8" s="722"/>
      <c r="L8" s="722"/>
      <c r="M8" s="722"/>
      <c r="N8" s="722"/>
      <c r="O8" s="722"/>
      <c r="P8" s="722"/>
      <c r="Q8" s="722"/>
      <c r="R8" s="722"/>
      <c r="S8" s="723"/>
      <c r="T8" s="724"/>
      <c r="U8" s="725"/>
      <c r="V8" s="725"/>
      <c r="W8" s="341"/>
      <c r="X8" s="341"/>
      <c r="Y8" s="341"/>
      <c r="Z8" s="341"/>
      <c r="AA8" s="341"/>
      <c r="AB8" s="341"/>
      <c r="AC8" s="341"/>
      <c r="AD8" s="341"/>
      <c r="AE8" s="341"/>
      <c r="AF8" s="341"/>
      <c r="AG8" s="341"/>
      <c r="AH8" s="341"/>
      <c r="AI8" s="341"/>
      <c r="AJ8" s="341"/>
      <c r="AK8" s="341"/>
      <c r="AL8" s="341"/>
      <c r="AM8" s="341"/>
      <c r="AN8" s="341"/>
      <c r="AO8" s="341"/>
      <c r="AP8" s="341"/>
      <c r="AQ8" s="341"/>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row>
    <row r="9" spans="2:97" ht="24.75" customHeight="1" thickBot="1" x14ac:dyDescent="0.3">
      <c r="C9" s="717" t="s">
        <v>130</v>
      </c>
      <c r="D9" s="718"/>
      <c r="E9" s="719"/>
      <c r="F9" s="720"/>
      <c r="G9" s="721" t="str">
        <f>'[3]Datos del proceso'!I9</f>
        <v>Objetivo</v>
      </c>
      <c r="H9" s="722"/>
      <c r="I9" s="722"/>
      <c r="J9" s="722"/>
      <c r="K9" s="722"/>
      <c r="L9" s="722"/>
      <c r="M9" s="722"/>
      <c r="N9" s="722"/>
      <c r="O9" s="722"/>
      <c r="P9" s="722"/>
      <c r="Q9" s="722"/>
      <c r="R9" s="722"/>
      <c r="S9" s="723"/>
      <c r="T9" s="342"/>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row>
    <row r="10" spans="2:97" ht="1.5" customHeight="1" x14ac:dyDescent="0.25">
      <c r="C10" s="344"/>
      <c r="D10" s="726"/>
      <c r="E10" s="726"/>
      <c r="F10" s="726"/>
      <c r="G10" s="345"/>
      <c r="I10" s="727"/>
      <c r="J10" s="727"/>
      <c r="K10" s="727"/>
      <c r="L10" s="727"/>
      <c r="M10" s="727"/>
      <c r="N10" s="727"/>
      <c r="O10" s="727"/>
      <c r="P10" s="727"/>
      <c r="Q10" s="727"/>
      <c r="R10" s="727"/>
      <c r="S10" s="727"/>
      <c r="T10" s="727"/>
      <c r="U10" s="727"/>
      <c r="V10" s="727"/>
      <c r="W10" s="727"/>
      <c r="X10" s="727"/>
      <c r="Y10" s="727"/>
      <c r="Z10" s="727"/>
      <c r="AA10" s="72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row>
    <row r="11" spans="2:97" ht="7.5" customHeight="1" x14ac:dyDescent="0.25">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row>
    <row r="12" spans="2:97" ht="27.75" x14ac:dyDescent="0.25">
      <c r="C12" s="728" t="s">
        <v>508</v>
      </c>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9"/>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row>
    <row r="13" spans="2:97" ht="5.25" customHeight="1" x14ac:dyDescent="0.25">
      <c r="D13" s="346"/>
      <c r="E13" s="346"/>
      <c r="F13" s="346"/>
      <c r="G13" s="346"/>
      <c r="H13" s="346"/>
      <c r="I13" s="346"/>
      <c r="J13" s="346"/>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row>
    <row r="14" spans="2:97" ht="45" customHeight="1" x14ac:dyDescent="0.25">
      <c r="C14" s="730" t="s">
        <v>338</v>
      </c>
      <c r="D14" s="730"/>
      <c r="E14" s="731" t="s">
        <v>339</v>
      </c>
      <c r="F14" s="732"/>
      <c r="G14" s="731" t="s">
        <v>340</v>
      </c>
      <c r="H14" s="732"/>
      <c r="I14" s="731" t="s">
        <v>341</v>
      </c>
      <c r="J14" s="732"/>
      <c r="K14" s="347" t="s">
        <v>218</v>
      </c>
      <c r="L14" s="348" t="s">
        <v>1</v>
      </c>
      <c r="M14" s="347" t="s">
        <v>13</v>
      </c>
      <c r="N14" s="347" t="s">
        <v>342</v>
      </c>
      <c r="O14" s="347" t="s">
        <v>343</v>
      </c>
      <c r="P14" s="349"/>
      <c r="Q14" s="349"/>
      <c r="S14" s="350"/>
      <c r="T14" s="350"/>
      <c r="U14" s="350"/>
      <c r="V14" s="350"/>
      <c r="W14" s="350"/>
      <c r="X14" s="350"/>
      <c r="Y14" s="350"/>
      <c r="Z14" s="350"/>
      <c r="AA14" s="350"/>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row>
    <row r="15" spans="2:97" ht="180.75" customHeight="1" x14ac:dyDescent="0.25">
      <c r="C15" s="733" t="s">
        <v>571</v>
      </c>
      <c r="D15" s="734"/>
      <c r="E15" s="735" t="s">
        <v>572</v>
      </c>
      <c r="F15" s="736"/>
      <c r="G15" s="735" t="s">
        <v>573</v>
      </c>
      <c r="H15" s="736"/>
      <c r="I15" s="735" t="s">
        <v>567</v>
      </c>
      <c r="J15" s="737"/>
      <c r="K15" s="167" t="s">
        <v>576</v>
      </c>
      <c r="L15" s="422" t="s">
        <v>574</v>
      </c>
      <c r="M15" s="420" t="s">
        <v>555</v>
      </c>
      <c r="N15" s="169" t="s">
        <v>566</v>
      </c>
      <c r="O15" s="421" t="s">
        <v>567</v>
      </c>
      <c r="P15" s="351"/>
      <c r="Q15" s="351"/>
      <c r="S15" s="351"/>
      <c r="T15" s="350"/>
      <c r="U15" s="350"/>
      <c r="V15" s="351"/>
      <c r="W15" s="350"/>
      <c r="X15" s="350"/>
      <c r="Y15" s="350"/>
      <c r="Z15" s="350"/>
      <c r="AA15" s="350"/>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row>
    <row r="16" spans="2:97" x14ac:dyDescent="0.25">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row>
    <row r="17" spans="3:97" ht="27.75" x14ac:dyDescent="0.25">
      <c r="C17" s="738" t="s">
        <v>510</v>
      </c>
      <c r="D17" s="728"/>
      <c r="E17" s="728"/>
      <c r="F17" s="728"/>
      <c r="G17" s="728"/>
      <c r="H17" s="728"/>
      <c r="I17" s="728"/>
      <c r="J17" s="728"/>
      <c r="K17" s="728"/>
      <c r="L17" s="728"/>
      <c r="M17" s="728"/>
      <c r="N17" s="728"/>
      <c r="O17" s="728"/>
      <c r="P17" s="728"/>
      <c r="Q17" s="728"/>
      <c r="R17" s="728"/>
      <c r="S17" s="728"/>
      <c r="T17" s="728"/>
      <c r="U17" s="728"/>
      <c r="V17" s="728"/>
      <c r="W17" s="728"/>
      <c r="X17" s="728"/>
      <c r="Y17" s="728"/>
      <c r="Z17" s="728"/>
      <c r="AA17" s="728"/>
      <c r="AB17" s="728"/>
      <c r="AC17" s="728"/>
      <c r="AD17" s="728"/>
      <c r="AE17" s="728"/>
      <c r="AF17" s="728"/>
      <c r="AG17" s="728"/>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R17" s="337"/>
      <c r="CS17" s="337"/>
    </row>
    <row r="18" spans="3:97" ht="6" customHeight="1" x14ac:dyDescent="0.25">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R18" s="337"/>
      <c r="CS18" s="337"/>
    </row>
    <row r="19" spans="3:97" ht="41.25" customHeight="1" x14ac:dyDescent="0.25">
      <c r="C19" s="739" t="s">
        <v>222</v>
      </c>
      <c r="D19" s="739"/>
      <c r="E19" s="739"/>
      <c r="F19" s="739"/>
      <c r="G19" s="739"/>
      <c r="H19" s="739"/>
      <c r="I19" s="739"/>
      <c r="J19" s="740" t="s">
        <v>141</v>
      </c>
      <c r="K19" s="741"/>
      <c r="L19" s="741"/>
      <c r="M19" s="741"/>
      <c r="N19" s="741"/>
      <c r="O19" s="741"/>
      <c r="P19" s="741"/>
      <c r="Q19" s="741"/>
      <c r="R19" s="742"/>
      <c r="S19" s="740" t="s">
        <v>142</v>
      </c>
      <c r="T19" s="741"/>
      <c r="U19" s="741"/>
      <c r="V19" s="741"/>
      <c r="W19" s="741"/>
      <c r="X19" s="741"/>
      <c r="Y19" s="742"/>
      <c r="Z19" s="743" t="s">
        <v>34</v>
      </c>
      <c r="AA19" s="743"/>
      <c r="AB19" s="743"/>
      <c r="AC19" s="743"/>
      <c r="AD19" s="743"/>
      <c r="AE19" s="743"/>
      <c r="AF19" s="743"/>
      <c r="AG19" s="743"/>
      <c r="AH19" s="337"/>
      <c r="AI19" s="352"/>
      <c r="AJ19" s="352"/>
      <c r="AK19" s="352"/>
      <c r="AL19" s="352"/>
      <c r="AM19" s="352"/>
      <c r="AN19" s="352"/>
      <c r="AO19" s="337"/>
      <c r="AP19" s="337"/>
      <c r="AQ19" s="349"/>
      <c r="AR19" s="349"/>
      <c r="AS19" s="349"/>
      <c r="AT19" s="349"/>
      <c r="AU19" s="349"/>
      <c r="AV19" s="349"/>
      <c r="AW19" s="349"/>
      <c r="AX19" s="349"/>
      <c r="AY19" s="349"/>
      <c r="AZ19" s="349"/>
      <c r="BA19" s="349"/>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K19" s="337"/>
      <c r="CL19" s="337"/>
    </row>
    <row r="20" spans="3:97" ht="25.5" customHeight="1" x14ac:dyDescent="0.25">
      <c r="C20" s="739"/>
      <c r="D20" s="739"/>
      <c r="E20" s="739"/>
      <c r="F20" s="739"/>
      <c r="G20" s="739"/>
      <c r="H20" s="739"/>
      <c r="I20" s="739"/>
      <c r="J20" s="744" t="s">
        <v>11</v>
      </c>
      <c r="K20" s="730" t="s">
        <v>163</v>
      </c>
      <c r="L20" s="730" t="s">
        <v>503</v>
      </c>
      <c r="M20" s="730" t="s">
        <v>8</v>
      </c>
      <c r="N20" s="730"/>
      <c r="O20" s="730"/>
      <c r="P20" s="730"/>
      <c r="Q20" s="730"/>
      <c r="R20" s="730"/>
      <c r="S20" s="744" t="s">
        <v>502</v>
      </c>
      <c r="T20" s="744" t="s">
        <v>485</v>
      </c>
      <c r="U20" s="744" t="s">
        <v>488</v>
      </c>
      <c r="V20" s="744" t="s">
        <v>486</v>
      </c>
      <c r="W20" s="744" t="s">
        <v>481</v>
      </c>
      <c r="X20" s="744" t="s">
        <v>489</v>
      </c>
      <c r="Y20" s="744" t="s">
        <v>29</v>
      </c>
      <c r="Z20" s="730" t="s">
        <v>34</v>
      </c>
      <c r="AA20" s="745" t="s">
        <v>496</v>
      </c>
      <c r="AB20" s="730" t="s">
        <v>35</v>
      </c>
      <c r="AC20" s="730" t="s">
        <v>236</v>
      </c>
      <c r="AD20" s="745" t="s">
        <v>506</v>
      </c>
      <c r="AE20" s="747" t="s">
        <v>38</v>
      </c>
      <c r="AF20" s="747" t="s">
        <v>37</v>
      </c>
      <c r="AG20" s="747" t="s">
        <v>39</v>
      </c>
      <c r="AH20" s="349"/>
      <c r="AI20" s="353"/>
      <c r="AJ20" s="353"/>
      <c r="AK20" s="353"/>
      <c r="AL20" s="353"/>
      <c r="AM20" s="353"/>
      <c r="AN20" s="353"/>
      <c r="AO20" s="349"/>
      <c r="AP20" s="349"/>
      <c r="AQ20" s="354"/>
      <c r="AR20" s="354"/>
      <c r="AS20" s="354"/>
      <c r="AT20" s="354"/>
      <c r="AU20" s="354"/>
      <c r="AV20" s="354"/>
      <c r="AW20" s="354"/>
      <c r="AX20" s="354"/>
      <c r="AY20" s="354"/>
      <c r="AZ20" s="354"/>
      <c r="BA20" s="354"/>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row>
    <row r="21" spans="3:97" ht="89.25" customHeight="1" x14ac:dyDescent="0.25">
      <c r="C21" s="355" t="s">
        <v>478</v>
      </c>
      <c r="D21" s="356" t="s">
        <v>480</v>
      </c>
      <c r="E21" s="357" t="s">
        <v>481</v>
      </c>
      <c r="F21" s="358" t="s">
        <v>238</v>
      </c>
      <c r="G21" s="357" t="s">
        <v>481</v>
      </c>
      <c r="H21" s="739" t="s">
        <v>239</v>
      </c>
      <c r="I21" s="739"/>
      <c r="J21" s="744"/>
      <c r="K21" s="730"/>
      <c r="L21" s="730"/>
      <c r="M21" s="359" t="s">
        <v>490</v>
      </c>
      <c r="N21" s="359" t="s">
        <v>492</v>
      </c>
      <c r="O21" s="359" t="s">
        <v>487</v>
      </c>
      <c r="P21" s="359" t="s">
        <v>499</v>
      </c>
      <c r="Q21" s="359" t="s">
        <v>500</v>
      </c>
      <c r="R21" s="359" t="s">
        <v>501</v>
      </c>
      <c r="S21" s="744"/>
      <c r="T21" s="744"/>
      <c r="U21" s="744"/>
      <c r="V21" s="744"/>
      <c r="W21" s="744"/>
      <c r="X21" s="744"/>
      <c r="Y21" s="744"/>
      <c r="Z21" s="745"/>
      <c r="AA21" s="746"/>
      <c r="AB21" s="745"/>
      <c r="AC21" s="745"/>
      <c r="AD21" s="746"/>
      <c r="AE21" s="747"/>
      <c r="AF21" s="747"/>
      <c r="AG21" s="747"/>
      <c r="AH21" s="349"/>
      <c r="AI21" s="350"/>
      <c r="AJ21" s="353"/>
      <c r="AK21" s="350"/>
      <c r="AL21" s="353"/>
      <c r="AM21" s="350"/>
      <c r="AN21" s="353"/>
      <c r="AO21" s="349"/>
      <c r="AP21" s="349"/>
      <c r="AQ21" s="354"/>
      <c r="AR21" s="354"/>
      <c r="AS21" s="354"/>
      <c r="AT21" s="354"/>
      <c r="AU21" s="354"/>
      <c r="AV21" s="354"/>
      <c r="AW21" s="354"/>
      <c r="AX21" s="354"/>
      <c r="AY21" s="354"/>
      <c r="AZ21" s="354"/>
      <c r="BA21" s="354"/>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row>
    <row r="22" spans="3:97" ht="206.25" customHeight="1" x14ac:dyDescent="0.25">
      <c r="C22" s="750">
        <v>240</v>
      </c>
      <c r="D22" s="752" t="str">
        <f>IF(C22&lt;=0,"",IF(C22&lt;=2,"Muy Baja",IF(C22&lt;=24,"Baja",IF(C22&lt;=500,"Media",IF(C22&lt;=5000,"Alta","Muy Alta")))))</f>
        <v>Media</v>
      </c>
      <c r="E22" s="754">
        <f>IF(D22="","",IF(D22="Muy Baja",0.2,IF(D22="Baja",0.4,IF(D22="Media",0.6,IF(D22="Alta",0.8,IF(D22="Muy Alta",1,))))))</f>
        <v>0.6</v>
      </c>
      <c r="F22" s="757" t="str">
        <f>IF(H56="Si","Catastrófico",IF(H60&lt;=5,"Moderado",IF(H60&lt;=11,"Mayor","Catastrófico")))</f>
        <v>Mayor</v>
      </c>
      <c r="G22" s="758">
        <f>IF(F22="","",IF(F22="Leve",0.2,IF(F22="Menor",0.4,IF(F22="Moderado",0.6,IF(F22="Mayor",0.8,IF(F22="Catastrófico",1,))))))</f>
        <v>0.8</v>
      </c>
      <c r="H22" s="757"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757"/>
      <c r="J22" s="360">
        <v>1</v>
      </c>
      <c r="K22" s="435" t="s">
        <v>565</v>
      </c>
      <c r="L22" s="361" t="str">
        <f>IF(OR(M22="Preventivo",M22="Detectivo"),"Probabilidad",IF(M22="Correctivo","Impacto",""))</f>
        <v>Probabilidad</v>
      </c>
      <c r="M22" s="362" t="s">
        <v>14</v>
      </c>
      <c r="N22" s="362" t="s">
        <v>9</v>
      </c>
      <c r="O22" s="363" t="str">
        <f>IF(AND(M22="Preventivo",N22="Automático"),"50%",IF(AND(M22="Preventivo",N22="Manual"),"40%",IF(AND(M22="Detectivo",N22="Automático"),"40%",IF(AND(M22="Detectivo",N22="Manual"),"30%",IF(AND(M22="Correctivo",N22="Automático"),"35%",IF(AND(M22="Correctivo",N22="Manual"),"25%",""))))))</f>
        <v>40%</v>
      </c>
      <c r="P22" s="362" t="s">
        <v>493</v>
      </c>
      <c r="Q22" s="362" t="s">
        <v>22</v>
      </c>
      <c r="R22" s="362" t="s">
        <v>497</v>
      </c>
      <c r="S22" s="364">
        <f>IFERROR(IF(L22="Probabilidad",(E22-(+E22*O22)),IF(L22="Impacto",E22,"")),"")</f>
        <v>0.36</v>
      </c>
      <c r="T22" s="365" t="str">
        <f>IFERROR(IF(S22="","",IF(S22&lt;=0.2,"Muy Baja",IF(S22&lt;=0.4,"Baja",IF(S22&lt;=0.6,"Media",IF(S22&lt;=0.8,"Alta","Muy Alta"))))),"")</f>
        <v>Baja</v>
      </c>
      <c r="U22" s="363">
        <f>+S22</f>
        <v>0.36</v>
      </c>
      <c r="V22" s="365" t="str">
        <f>IFERROR(IF(W22="","",IF(W22&lt;=0.2,"Leve",IF(W22&lt;=0.4,"Menor",IF(W22&lt;=0.6,"Moderado",IF(W22&lt;=0.8,"Mayor","Catastrófico"))))),"")</f>
        <v>Mayor</v>
      </c>
      <c r="W22" s="363">
        <f>IFERROR(IF(L22="Impacto",(G22-(+G22*O22)),IF(L22="Probabilidad",G22,"")),"")</f>
        <v>0.8</v>
      </c>
      <c r="X22" s="366" t="str">
        <f>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362" t="s">
        <v>30</v>
      </c>
      <c r="Z22" s="436" t="s">
        <v>634</v>
      </c>
      <c r="AA22" s="428"/>
      <c r="AB22" s="429"/>
      <c r="AC22" s="430"/>
      <c r="AD22" s="430"/>
      <c r="AE22" s="367"/>
      <c r="AF22" s="368"/>
      <c r="AG22" s="369"/>
      <c r="AH22" s="349"/>
      <c r="AO22" s="349"/>
      <c r="AP22" s="349"/>
      <c r="AQ22" s="354"/>
      <c r="AR22" s="354"/>
      <c r="AS22" s="354"/>
      <c r="AT22" s="354"/>
      <c r="AU22" s="354"/>
      <c r="AV22" s="354"/>
      <c r="AW22" s="354"/>
      <c r="AX22" s="354"/>
      <c r="AY22" s="354"/>
      <c r="AZ22" s="354"/>
      <c r="BA22" s="354"/>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row>
    <row r="23" spans="3:97" ht="108" customHeight="1" x14ac:dyDescent="0.25">
      <c r="C23" s="751"/>
      <c r="D23" s="753"/>
      <c r="E23" s="755"/>
      <c r="F23" s="757"/>
      <c r="G23" s="759"/>
      <c r="H23" s="757"/>
      <c r="I23" s="757"/>
      <c r="J23" s="360">
        <v>2</v>
      </c>
      <c r="K23" s="432"/>
      <c r="L23" s="361" t="str">
        <f>IF(OR(M23="Preventivo",M23="Detectivo"),"Probabilidad",IF(M23="Correctivo","Impacto",""))</f>
        <v/>
      </c>
      <c r="M23" s="362"/>
      <c r="N23" s="362"/>
      <c r="O23" s="363" t="str">
        <f>IF(AND(M23="Preventivo",N23="Automático"),"50%",IF(AND(M23="Preventivo",N23="Manual"),"40%",IF(AND(M23="Detectivo",N23="Automático"),"40%",IF(AND(M23="Detectivo",N23="Manual"),"30%",IF(AND(M23="Correctivo",N23="Automático"),"35%",IF(AND(M23="Correctivo",N23="Manual"),"25%",""))))))</f>
        <v/>
      </c>
      <c r="P23" s="362"/>
      <c r="Q23" s="362"/>
      <c r="R23" s="362"/>
      <c r="S23" s="364" t="str">
        <f>IFERROR(IF(L23="Probabilidad",(E22-(+E22*O23)),IF(L23="Impacto",E22,"")),"")</f>
        <v/>
      </c>
      <c r="T23" s="365" t="str">
        <f>IFERROR(IF(S23="","",IF(S23&lt;=0.2,"Muy Baja",IF(S23&lt;=0.4,"Baja",IF(S23&lt;=0.6,"Media",IF(S23&lt;=0.8,"Alta","Muy Alta"))))),"")</f>
        <v/>
      </c>
      <c r="U23" s="363" t="str">
        <f>+S23</f>
        <v/>
      </c>
      <c r="V23" s="365" t="str">
        <f>IFERROR(IF(W23="","",IF(W23&lt;=0.2,"Leve",IF(W23&lt;=0.4,"Menor",IF(W23&lt;=0.6,"Moderado",IF(W23&lt;=0.8,"Mayor","Catastrófico"))))),"")</f>
        <v/>
      </c>
      <c r="W23" s="363" t="str">
        <f>IFERROR(IF(L23="Impacto",(G22-(+G22*O23)),IF(L23="Probabilidad",G22,"")),"")</f>
        <v/>
      </c>
      <c r="X23" s="366"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
      </c>
      <c r="Y23" s="362"/>
      <c r="Z23" s="282"/>
      <c r="AA23" s="282"/>
      <c r="AB23" s="429"/>
      <c r="AC23" s="430"/>
      <c r="AD23" s="430"/>
      <c r="AE23" s="367"/>
      <c r="AF23" s="368"/>
      <c r="AG23" s="369"/>
      <c r="AH23" s="349"/>
      <c r="AO23" s="349"/>
      <c r="AP23" s="349"/>
      <c r="AQ23" s="354"/>
      <c r="AR23" s="354"/>
      <c r="AS23" s="354"/>
      <c r="AT23" s="354"/>
      <c r="AU23" s="354"/>
      <c r="AV23" s="354"/>
      <c r="AW23" s="354"/>
      <c r="AX23" s="354"/>
      <c r="AY23" s="354"/>
      <c r="AZ23" s="354"/>
      <c r="BA23" s="354"/>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row>
    <row r="24" spans="3:97" ht="103.5" customHeight="1" x14ac:dyDescent="0.25">
      <c r="C24" s="751"/>
      <c r="D24" s="753"/>
      <c r="E24" s="756"/>
      <c r="F24" s="757"/>
      <c r="G24" s="760"/>
      <c r="H24" s="757"/>
      <c r="I24" s="761"/>
      <c r="J24" s="762" t="s">
        <v>569</v>
      </c>
      <c r="K24" s="431"/>
      <c r="L24" s="370"/>
      <c r="M24" s="370"/>
      <c r="N24" s="370"/>
      <c r="O24" s="370"/>
      <c r="P24" s="370"/>
      <c r="Q24" s="370"/>
      <c r="R24" s="371" t="s">
        <v>570</v>
      </c>
      <c r="S24" s="372" t="e">
        <f>(($S$22*$O$23))</f>
        <v>#VALUE!</v>
      </c>
      <c r="T24" s="365"/>
      <c r="U24" s="363"/>
      <c r="V24" s="365"/>
      <c r="W24" s="363"/>
      <c r="X24" s="366"/>
      <c r="Y24" s="362"/>
      <c r="Z24" s="168"/>
      <c r="AA24" s="282"/>
      <c r="AB24" s="429"/>
      <c r="AC24" s="430"/>
      <c r="AD24" s="430"/>
      <c r="AE24" s="373"/>
      <c r="AF24" s="373"/>
      <c r="AG24" s="373"/>
      <c r="AH24" s="349"/>
      <c r="AO24" s="349"/>
      <c r="AP24" s="349"/>
      <c r="AQ24" s="354"/>
      <c r="AR24" s="354"/>
      <c r="AS24" s="354"/>
      <c r="AT24" s="354"/>
      <c r="AU24" s="354"/>
      <c r="AV24" s="354"/>
      <c r="AW24" s="354"/>
      <c r="AX24" s="354"/>
      <c r="AY24" s="354"/>
      <c r="AZ24" s="354"/>
      <c r="BA24" s="354"/>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row>
    <row r="25" spans="3:97" ht="84" customHeight="1" x14ac:dyDescent="0.25">
      <c r="C25" s="374" t="s">
        <v>513</v>
      </c>
      <c r="D25" s="375">
        <f>VLOOKUP(D22,D79:F83,2,0)</f>
        <v>0</v>
      </c>
      <c r="E25" s="375"/>
      <c r="F25" s="375">
        <f>VLOOKUP(F22,D87:F91,2,0)</f>
        <v>0</v>
      </c>
      <c r="G25" s="376"/>
      <c r="J25" s="762"/>
      <c r="K25" s="370"/>
      <c r="L25" s="370"/>
      <c r="M25" s="370"/>
      <c r="N25" s="370"/>
      <c r="O25" s="370"/>
      <c r="P25" s="370"/>
      <c r="Q25" s="370"/>
      <c r="R25" s="371" t="s">
        <v>570</v>
      </c>
      <c r="S25" s="372" t="e">
        <f>(($S$22-$S$24))</f>
        <v>#VALUE!</v>
      </c>
      <c r="T25" s="365" t="str">
        <f>IFERROR(IF(S25="","",IF(S25&lt;=0.2,"Muy Baja",IF(S25&lt;=0.4,"Baja",IF(S25&lt;=0.6,"Media",IF(S25&lt;=0.8,"Alta","Muy Alta"))))),"")</f>
        <v/>
      </c>
      <c r="U25" s="363" t="e">
        <f t="shared" ref="U25" si="0">+S25</f>
        <v>#VALUE!</v>
      </c>
      <c r="V25" s="365" t="str">
        <f t="shared" ref="V25" si="1">IFERROR(IF(W25="","",IF(W25&lt;=0.2,"Leve",IF(W25&lt;=0.4,"Menor",IF(W25&lt;=0.6,"Moderado",IF(W25&lt;=0.8,"Mayor","Catastrófico"))))),"")</f>
        <v/>
      </c>
      <c r="W25" s="363" t="str">
        <f>IFERROR(IF(L23="Impacto",(G22-(+G22*O23)),IF(L23="Probabilidad",G22,"")),"")</f>
        <v/>
      </c>
      <c r="X25" s="366" t="str">
        <f t="shared" ref="X25" si="2">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337"/>
      <c r="Z25" s="337"/>
      <c r="AA25" s="337"/>
      <c r="AB25" s="427"/>
      <c r="AC25" s="427"/>
      <c r="AD25" s="427"/>
      <c r="AE25" s="377"/>
      <c r="AF25" s="373"/>
      <c r="AG25" s="373"/>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row>
    <row r="26" spans="3:97" ht="27.75" customHeight="1" x14ac:dyDescent="0.25">
      <c r="F26" s="378"/>
      <c r="G26" s="378"/>
      <c r="J26" s="354"/>
      <c r="K26" s="379"/>
      <c r="L26" s="379"/>
      <c r="M26" s="379"/>
      <c r="N26" s="379"/>
      <c r="O26" s="379"/>
      <c r="P26" s="379"/>
      <c r="Q26" s="379"/>
      <c r="R26" s="379"/>
      <c r="S26" s="338"/>
      <c r="T26" s="337"/>
      <c r="U26" s="337"/>
      <c r="V26" s="337"/>
      <c r="W26" s="337"/>
      <c r="X26" s="337"/>
      <c r="Y26" s="337"/>
      <c r="Z26" s="337"/>
      <c r="AA26" s="337"/>
      <c r="AB26" s="377"/>
      <c r="AC26" s="377"/>
      <c r="AD26" s="377"/>
      <c r="AE26" s="377"/>
      <c r="AF26" s="373"/>
      <c r="AG26" s="373"/>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row>
    <row r="27" spans="3:97" x14ac:dyDescent="0.25">
      <c r="F27" s="380"/>
      <c r="G27" s="380"/>
      <c r="J27" s="354"/>
      <c r="K27" s="379"/>
      <c r="L27" s="379"/>
      <c r="M27" s="379"/>
      <c r="N27" s="379"/>
      <c r="O27" s="379"/>
      <c r="P27" s="379"/>
      <c r="Q27" s="379"/>
      <c r="R27" s="379"/>
      <c r="S27" s="338"/>
      <c r="T27" s="337"/>
      <c r="U27" s="337"/>
      <c r="V27" s="337"/>
      <c r="W27" s="337"/>
      <c r="X27" s="337"/>
      <c r="Y27" s="337"/>
      <c r="Z27" s="337"/>
      <c r="AA27" s="337"/>
      <c r="AB27" s="377"/>
      <c r="AC27" s="377"/>
      <c r="AD27" s="377"/>
      <c r="AE27" s="377"/>
      <c r="AF27" s="373"/>
      <c r="AG27" s="373"/>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row>
    <row r="28" spans="3:97" x14ac:dyDescent="0.25">
      <c r="J28" s="354"/>
      <c r="K28" s="379"/>
      <c r="L28" s="379"/>
      <c r="M28" s="379"/>
      <c r="N28" s="379"/>
      <c r="O28" s="379"/>
      <c r="P28" s="379"/>
      <c r="Q28" s="379"/>
      <c r="R28" s="379"/>
      <c r="S28" s="338"/>
      <c r="AB28" s="377"/>
      <c r="AC28" s="377"/>
      <c r="AD28" s="377"/>
      <c r="AE28" s="377"/>
      <c r="AF28" s="373"/>
      <c r="AG28" s="373"/>
    </row>
    <row r="29" spans="3:97" x14ac:dyDescent="0.25">
      <c r="J29" s="749"/>
      <c r="K29" s="748"/>
      <c r="L29" s="748"/>
      <c r="M29" s="749"/>
      <c r="N29" s="749"/>
      <c r="O29" s="748"/>
      <c r="P29" s="748"/>
      <c r="Q29" s="748"/>
      <c r="R29" s="338"/>
      <c r="S29" s="338"/>
    </row>
    <row r="30" spans="3:97" ht="15" customHeight="1" x14ac:dyDescent="0.25">
      <c r="J30" s="749"/>
      <c r="K30" s="748"/>
      <c r="L30" s="748"/>
      <c r="M30" s="749"/>
      <c r="N30" s="749"/>
      <c r="O30" s="748"/>
      <c r="P30" s="748"/>
      <c r="Q30" s="748"/>
      <c r="R30" s="338"/>
      <c r="S30" s="338"/>
    </row>
    <row r="31" spans="3:97" ht="15" customHeight="1" x14ac:dyDescent="0.25">
      <c r="J31" s="749"/>
      <c r="K31" s="748"/>
      <c r="L31" s="748"/>
      <c r="M31" s="749"/>
      <c r="N31" s="749"/>
      <c r="O31" s="748"/>
      <c r="P31" s="748"/>
      <c r="Q31" s="748"/>
      <c r="R31" s="338"/>
      <c r="S31" s="338"/>
    </row>
    <row r="32" spans="3:97" x14ac:dyDescent="0.25">
      <c r="J32" s="749"/>
      <c r="K32" s="748"/>
      <c r="L32" s="748"/>
      <c r="M32" s="749"/>
      <c r="N32" s="749"/>
      <c r="O32" s="748"/>
      <c r="P32" s="748"/>
      <c r="Q32" s="748"/>
      <c r="R32" s="338"/>
      <c r="S32" s="338"/>
    </row>
    <row r="34" spans="4:23" ht="15" customHeight="1" x14ac:dyDescent="0.25"/>
    <row r="36" spans="4:23" ht="15" customHeight="1" x14ac:dyDescent="0.25">
      <c r="S36" s="763"/>
      <c r="T36" s="763"/>
      <c r="U36" s="763"/>
      <c r="V36" s="763"/>
      <c r="W36" s="763"/>
    </row>
    <row r="37" spans="4:23" ht="15" customHeight="1" x14ac:dyDescent="0.25">
      <c r="D37" s="764" t="s">
        <v>247</v>
      </c>
      <c r="E37" s="764"/>
      <c r="F37" s="764"/>
      <c r="G37" s="764"/>
      <c r="H37" s="764"/>
      <c r="J37" s="765"/>
      <c r="K37" s="765"/>
      <c r="L37" s="765"/>
      <c r="M37" s="765"/>
      <c r="N37" s="765"/>
      <c r="O37" s="765"/>
      <c r="P37" s="765"/>
      <c r="Q37" s="765"/>
      <c r="S37" s="763"/>
      <c r="T37" s="763"/>
      <c r="U37" s="763"/>
      <c r="V37" s="763"/>
      <c r="W37" s="763"/>
    </row>
    <row r="38" spans="4:23" x14ac:dyDescent="0.25">
      <c r="D38" s="337"/>
      <c r="E38" s="337"/>
      <c r="F38" s="337"/>
      <c r="G38" s="337"/>
      <c r="H38" s="337"/>
    </row>
    <row r="39" spans="4:23" ht="15" customHeight="1" x14ac:dyDescent="0.25">
      <c r="D39" s="766" t="s">
        <v>204</v>
      </c>
      <c r="E39" s="381"/>
      <c r="F39" s="768" t="s">
        <v>248</v>
      </c>
      <c r="G39" s="382"/>
      <c r="H39" s="383" t="s">
        <v>249</v>
      </c>
      <c r="L39" s="770"/>
      <c r="M39" s="770"/>
      <c r="N39" s="770"/>
      <c r="O39" s="770"/>
      <c r="P39" s="770"/>
      <c r="Q39" s="770"/>
      <c r="S39" s="771"/>
      <c r="T39" s="771"/>
      <c r="U39" s="771"/>
      <c r="V39" s="771"/>
      <c r="W39" s="771"/>
    </row>
    <row r="40" spans="4:23" x14ac:dyDescent="0.25">
      <c r="D40" s="767"/>
      <c r="E40" s="384"/>
      <c r="F40" s="769"/>
      <c r="G40" s="385"/>
      <c r="H40" s="386" t="s">
        <v>257</v>
      </c>
      <c r="J40" s="346"/>
      <c r="K40" s="346"/>
      <c r="L40" s="351"/>
      <c r="M40" s="351"/>
      <c r="N40" s="351"/>
      <c r="O40" s="351"/>
      <c r="P40" s="351"/>
      <c r="Q40" s="351"/>
      <c r="S40" s="771"/>
      <c r="T40" s="771"/>
      <c r="U40" s="771"/>
      <c r="V40" s="771"/>
      <c r="W40" s="771"/>
    </row>
    <row r="41" spans="4:23" ht="42.75" customHeight="1" x14ac:dyDescent="0.25">
      <c r="D41" s="387">
        <v>1</v>
      </c>
      <c r="E41" s="387"/>
      <c r="F41" s="388" t="s">
        <v>262</v>
      </c>
      <c r="G41" s="388"/>
      <c r="H41" s="334" t="s">
        <v>377</v>
      </c>
      <c r="J41" s="710"/>
      <c r="K41" s="772"/>
      <c r="L41" s="749"/>
      <c r="M41" s="748"/>
      <c r="N41" s="749"/>
      <c r="O41" s="748"/>
      <c r="P41" s="749"/>
      <c r="Q41" s="748"/>
      <c r="S41" s="771"/>
      <c r="T41" s="771"/>
      <c r="U41" s="771"/>
      <c r="V41" s="771"/>
      <c r="W41" s="771"/>
    </row>
    <row r="42" spans="4:23" ht="43.5" customHeight="1" x14ac:dyDescent="0.25">
      <c r="D42" s="387">
        <v>2</v>
      </c>
      <c r="E42" s="387"/>
      <c r="F42" s="388" t="s">
        <v>266</v>
      </c>
      <c r="G42" s="388"/>
      <c r="H42" s="334" t="s">
        <v>377</v>
      </c>
      <c r="J42" s="710"/>
      <c r="K42" s="772"/>
      <c r="L42" s="749"/>
      <c r="M42" s="748"/>
      <c r="N42" s="749"/>
      <c r="O42" s="748"/>
      <c r="P42" s="749"/>
      <c r="Q42" s="748"/>
      <c r="S42" s="339"/>
      <c r="T42" s="339"/>
      <c r="U42" s="339"/>
      <c r="V42" s="339"/>
      <c r="W42" s="339"/>
    </row>
    <row r="43" spans="4:23" ht="30" x14ac:dyDescent="0.25">
      <c r="D43" s="387">
        <v>3</v>
      </c>
      <c r="E43" s="387"/>
      <c r="F43" s="388" t="s">
        <v>269</v>
      </c>
      <c r="G43" s="388"/>
      <c r="H43" s="334" t="s">
        <v>377</v>
      </c>
      <c r="J43" s="710"/>
      <c r="K43" s="423"/>
      <c r="L43" s="395"/>
      <c r="M43" s="424"/>
      <c r="N43" s="395"/>
      <c r="O43" s="424"/>
      <c r="P43" s="395"/>
      <c r="Q43" s="424"/>
      <c r="S43" s="339"/>
      <c r="T43" s="339"/>
      <c r="U43" s="339"/>
      <c r="V43" s="339"/>
      <c r="W43" s="339"/>
    </row>
    <row r="44" spans="4:23" ht="46.5" customHeight="1" x14ac:dyDescent="0.25">
      <c r="D44" s="387">
        <v>4</v>
      </c>
      <c r="E44" s="387"/>
      <c r="F44" s="388" t="s">
        <v>273</v>
      </c>
      <c r="G44" s="388"/>
      <c r="H44" s="334" t="s">
        <v>378</v>
      </c>
      <c r="J44" s="773"/>
      <c r="K44" s="772"/>
      <c r="L44" s="710"/>
      <c r="M44" s="748"/>
      <c r="N44" s="710"/>
      <c r="O44" s="748"/>
      <c r="P44" s="710"/>
      <c r="Q44" s="748"/>
      <c r="S44" s="339"/>
      <c r="T44" s="339"/>
      <c r="U44" s="339"/>
      <c r="V44" s="339"/>
      <c r="W44" s="339"/>
    </row>
    <row r="45" spans="4:23" ht="46.5" customHeight="1" x14ac:dyDescent="0.25">
      <c r="D45" s="387">
        <v>5</v>
      </c>
      <c r="E45" s="387"/>
      <c r="F45" s="388" t="s">
        <v>278</v>
      </c>
      <c r="G45" s="388"/>
      <c r="H45" s="334" t="s">
        <v>377</v>
      </c>
      <c r="J45" s="773"/>
      <c r="K45" s="772"/>
      <c r="L45" s="710"/>
      <c r="M45" s="748"/>
      <c r="N45" s="710"/>
      <c r="O45" s="748"/>
      <c r="P45" s="710"/>
      <c r="Q45" s="748"/>
      <c r="S45" s="339"/>
      <c r="T45" s="339"/>
      <c r="U45" s="339"/>
      <c r="V45" s="339"/>
      <c r="W45" s="339"/>
    </row>
    <row r="46" spans="4:23" ht="41.25" customHeight="1" x14ac:dyDescent="0.25">
      <c r="D46" s="387">
        <v>6</v>
      </c>
      <c r="E46" s="387"/>
      <c r="F46" s="388" t="s">
        <v>279</v>
      </c>
      <c r="G46" s="388"/>
      <c r="H46" s="334" t="s">
        <v>377</v>
      </c>
      <c r="J46" s="773"/>
      <c r="K46" s="772"/>
      <c r="L46" s="749"/>
      <c r="M46" s="748"/>
      <c r="N46" s="749"/>
      <c r="O46" s="748"/>
      <c r="P46" s="749"/>
      <c r="Q46" s="748"/>
      <c r="S46" s="339"/>
      <c r="T46" s="339"/>
      <c r="U46" s="339"/>
      <c r="V46" s="339"/>
      <c r="W46" s="339"/>
    </row>
    <row r="47" spans="4:23" ht="41.25" customHeight="1" x14ac:dyDescent="0.25">
      <c r="D47" s="387">
        <v>7</v>
      </c>
      <c r="E47" s="387"/>
      <c r="F47" s="388" t="s">
        <v>284</v>
      </c>
      <c r="G47" s="388"/>
      <c r="H47" s="334" t="s">
        <v>377</v>
      </c>
      <c r="J47" s="773"/>
      <c r="K47" s="772"/>
      <c r="L47" s="749"/>
      <c r="M47" s="748"/>
      <c r="N47" s="749"/>
      <c r="O47" s="748"/>
      <c r="P47" s="749"/>
      <c r="Q47" s="748"/>
      <c r="S47" s="339"/>
      <c r="T47" s="339"/>
      <c r="U47" s="339"/>
      <c r="V47" s="339"/>
      <c r="W47" s="339"/>
    </row>
    <row r="48" spans="4:23" ht="50.25" customHeight="1" x14ac:dyDescent="0.25">
      <c r="D48" s="387">
        <v>8</v>
      </c>
      <c r="E48" s="387"/>
      <c r="F48" s="388" t="s">
        <v>511</v>
      </c>
      <c r="G48" s="388"/>
      <c r="H48" s="334" t="s">
        <v>378</v>
      </c>
      <c r="J48" s="773"/>
      <c r="K48" s="772"/>
      <c r="L48" s="749"/>
      <c r="M48" s="748"/>
      <c r="N48" s="749"/>
      <c r="O48" s="748"/>
      <c r="P48" s="749"/>
      <c r="Q48" s="748"/>
      <c r="S48" s="339"/>
      <c r="T48" s="339"/>
      <c r="U48" s="339"/>
      <c r="V48" s="339"/>
      <c r="W48" s="339"/>
    </row>
    <row r="49" spans="4:25" ht="42" customHeight="1" x14ac:dyDescent="0.25">
      <c r="D49" s="387">
        <v>9</v>
      </c>
      <c r="E49" s="387"/>
      <c r="F49" s="388" t="s">
        <v>285</v>
      </c>
      <c r="G49" s="388"/>
      <c r="H49" s="334" t="s">
        <v>378</v>
      </c>
      <c r="J49" s="773"/>
      <c r="K49" s="772"/>
      <c r="L49" s="749"/>
      <c r="M49" s="748"/>
      <c r="N49" s="749"/>
      <c r="O49" s="748"/>
      <c r="P49" s="749"/>
      <c r="Q49" s="748"/>
      <c r="S49" s="339"/>
      <c r="T49" s="339"/>
      <c r="U49" s="339"/>
      <c r="V49" s="339"/>
      <c r="W49" s="339"/>
    </row>
    <row r="50" spans="4:25" ht="42" customHeight="1" x14ac:dyDescent="0.25">
      <c r="D50" s="387">
        <v>10</v>
      </c>
      <c r="E50" s="387"/>
      <c r="F50" s="388" t="s">
        <v>289</v>
      </c>
      <c r="G50" s="388"/>
      <c r="H50" s="334" t="s">
        <v>377</v>
      </c>
      <c r="J50" s="773"/>
      <c r="K50" s="772"/>
      <c r="L50" s="749"/>
      <c r="M50" s="748"/>
      <c r="N50" s="749"/>
      <c r="O50" s="748"/>
      <c r="P50" s="749"/>
      <c r="Q50" s="748"/>
      <c r="X50" s="389"/>
    </row>
    <row r="51" spans="4:25" ht="48.75" customHeight="1" x14ac:dyDescent="0.25">
      <c r="D51" s="387">
        <v>11</v>
      </c>
      <c r="E51" s="387"/>
      <c r="F51" s="388" t="s">
        <v>290</v>
      </c>
      <c r="G51" s="388"/>
      <c r="H51" s="334" t="s">
        <v>377</v>
      </c>
      <c r="J51" s="775"/>
      <c r="K51" s="772"/>
      <c r="L51" s="749"/>
      <c r="M51" s="748"/>
      <c r="N51" s="749"/>
      <c r="O51" s="748"/>
      <c r="P51" s="749"/>
      <c r="Q51" s="748"/>
      <c r="S51" s="749"/>
      <c r="T51" s="749"/>
      <c r="U51" s="749"/>
      <c r="V51" s="774"/>
      <c r="W51" s="389"/>
      <c r="X51" s="389"/>
      <c r="Y51" s="351"/>
    </row>
    <row r="52" spans="4:25" ht="21" customHeight="1" x14ac:dyDescent="0.25">
      <c r="D52" s="387">
        <v>12</v>
      </c>
      <c r="E52" s="387"/>
      <c r="F52" s="388" t="s">
        <v>296</v>
      </c>
      <c r="G52" s="388"/>
      <c r="H52" s="334" t="s">
        <v>377</v>
      </c>
      <c r="J52" s="775"/>
      <c r="K52" s="772"/>
      <c r="L52" s="749"/>
      <c r="M52" s="748"/>
      <c r="N52" s="749"/>
      <c r="O52" s="748"/>
      <c r="P52" s="749"/>
      <c r="Q52" s="748"/>
      <c r="S52" s="749"/>
      <c r="T52" s="749"/>
      <c r="U52" s="749"/>
      <c r="V52" s="774"/>
      <c r="W52" s="389"/>
      <c r="X52" s="389"/>
      <c r="Y52" s="351"/>
    </row>
    <row r="53" spans="4:25" ht="27.75" customHeight="1" x14ac:dyDescent="0.25">
      <c r="D53" s="387">
        <v>13</v>
      </c>
      <c r="E53" s="387"/>
      <c r="F53" s="388" t="s">
        <v>297</v>
      </c>
      <c r="G53" s="388"/>
      <c r="H53" s="334" t="s">
        <v>377</v>
      </c>
      <c r="J53" s="775"/>
      <c r="K53" s="772"/>
      <c r="L53" s="749"/>
      <c r="M53" s="748"/>
      <c r="N53" s="749"/>
      <c r="O53" s="748"/>
      <c r="P53" s="749"/>
      <c r="Q53" s="748"/>
      <c r="S53" s="749"/>
      <c r="T53" s="749"/>
      <c r="U53" s="749"/>
      <c r="V53" s="774"/>
      <c r="W53" s="389"/>
      <c r="Y53" s="351"/>
    </row>
    <row r="54" spans="4:25" ht="48" customHeight="1" x14ac:dyDescent="0.25">
      <c r="D54" s="387">
        <v>14</v>
      </c>
      <c r="E54" s="387"/>
      <c r="F54" s="388" t="s">
        <v>298</v>
      </c>
      <c r="G54" s="388"/>
      <c r="H54" s="334" t="s">
        <v>377</v>
      </c>
      <c r="J54" s="749"/>
      <c r="K54" s="772"/>
      <c r="L54" s="710"/>
      <c r="M54" s="748"/>
      <c r="N54" s="710"/>
      <c r="O54" s="748"/>
      <c r="P54" s="710"/>
      <c r="Q54" s="748"/>
      <c r="Y54" s="351"/>
    </row>
    <row r="55" spans="4:25" ht="48" customHeight="1" x14ac:dyDescent="0.25">
      <c r="D55" s="387">
        <v>15</v>
      </c>
      <c r="E55" s="387"/>
      <c r="F55" s="388" t="s">
        <v>302</v>
      </c>
      <c r="G55" s="388"/>
      <c r="H55" s="334" t="s">
        <v>378</v>
      </c>
      <c r="J55" s="749"/>
      <c r="K55" s="772"/>
      <c r="L55" s="710"/>
      <c r="M55" s="748"/>
      <c r="N55" s="710"/>
      <c r="O55" s="748"/>
      <c r="P55" s="710"/>
      <c r="Q55" s="748"/>
      <c r="Y55" s="351"/>
    </row>
    <row r="56" spans="4:25" ht="63" customHeight="1" x14ac:dyDescent="0.25">
      <c r="D56" s="390">
        <v>16</v>
      </c>
      <c r="E56" s="390"/>
      <c r="F56" s="391" t="s">
        <v>303</v>
      </c>
      <c r="G56" s="391"/>
      <c r="H56" s="334" t="s">
        <v>378</v>
      </c>
      <c r="K56" s="346"/>
      <c r="L56" s="346"/>
      <c r="M56" s="424"/>
      <c r="N56" s="351"/>
      <c r="O56" s="424"/>
      <c r="P56" s="351"/>
      <c r="Q56" s="424"/>
      <c r="Y56" s="351"/>
    </row>
    <row r="57" spans="4:25" ht="45" customHeight="1" x14ac:dyDescent="0.25">
      <c r="D57" s="387">
        <v>17</v>
      </c>
      <c r="E57" s="387"/>
      <c r="F57" s="392" t="s">
        <v>306</v>
      </c>
      <c r="G57" s="392"/>
      <c r="H57" s="334" t="s">
        <v>378</v>
      </c>
      <c r="J57" s="749"/>
      <c r="L57" s="352"/>
      <c r="M57" s="395"/>
      <c r="N57" s="346"/>
      <c r="O57" s="395"/>
      <c r="P57" s="346"/>
      <c r="Q57" s="395"/>
      <c r="Y57" s="351"/>
    </row>
    <row r="58" spans="4:25" ht="31.5" customHeight="1" x14ac:dyDescent="0.25">
      <c r="D58" s="387">
        <v>18</v>
      </c>
      <c r="E58" s="387"/>
      <c r="F58" s="392" t="s">
        <v>309</v>
      </c>
      <c r="G58" s="392"/>
      <c r="H58" s="334" t="s">
        <v>378</v>
      </c>
      <c r="J58" s="749"/>
      <c r="K58" s="380"/>
      <c r="L58" s="380"/>
      <c r="R58" s="749"/>
      <c r="Y58" s="351"/>
    </row>
    <row r="59" spans="4:25" ht="36.75" customHeight="1" x14ac:dyDescent="0.25">
      <c r="D59" s="393">
        <v>19</v>
      </c>
      <c r="E59" s="393"/>
      <c r="F59" s="394" t="s">
        <v>311</v>
      </c>
      <c r="G59" s="394"/>
      <c r="H59" s="334" t="s">
        <v>378</v>
      </c>
      <c r="J59" s="749"/>
      <c r="K59" s="380"/>
      <c r="L59" s="352"/>
      <c r="M59" s="778"/>
      <c r="N59" s="778"/>
      <c r="O59" s="778"/>
      <c r="P59" s="778"/>
      <c r="Q59" s="778"/>
      <c r="R59" s="749"/>
      <c r="S59" s="395"/>
      <c r="Y59" s="351"/>
    </row>
    <row r="60" spans="4:25" ht="33" customHeight="1" x14ac:dyDescent="0.25">
      <c r="F60" s="396" t="s">
        <v>314</v>
      </c>
      <c r="G60" s="396"/>
      <c r="H60" s="396">
        <f>COUNTIF(H41:H59,"Si")</f>
        <v>11</v>
      </c>
      <c r="J60" s="749"/>
      <c r="K60" s="380"/>
      <c r="L60" s="352"/>
      <c r="M60" s="778"/>
      <c r="N60" s="778"/>
      <c r="O60" s="778"/>
      <c r="P60" s="778"/>
      <c r="Q60" s="778"/>
      <c r="R60" s="749"/>
      <c r="S60" s="395"/>
      <c r="Y60" s="351"/>
    </row>
    <row r="61" spans="4:25" x14ac:dyDescent="0.25">
      <c r="J61" s="397"/>
      <c r="K61" s="354"/>
      <c r="R61" s="395"/>
      <c r="S61" s="395"/>
      <c r="Y61" s="351"/>
    </row>
    <row r="62" spans="4:25" x14ac:dyDescent="0.25">
      <c r="S62" s="395"/>
      <c r="Y62" s="351"/>
    </row>
    <row r="63" spans="4:25" x14ac:dyDescent="0.25">
      <c r="X63" s="351"/>
      <c r="Y63" s="351"/>
    </row>
    <row r="64" spans="4:25" x14ac:dyDescent="0.25">
      <c r="T64" s="351"/>
      <c r="U64" s="351"/>
      <c r="V64" s="351"/>
      <c r="W64" s="351"/>
      <c r="X64" s="351"/>
      <c r="Y64" s="351"/>
    </row>
    <row r="65" spans="4:23" x14ac:dyDescent="0.25">
      <c r="T65" s="351"/>
      <c r="U65" s="351"/>
      <c r="V65" s="351"/>
      <c r="W65" s="351"/>
    </row>
    <row r="78" spans="4:23" ht="21" customHeight="1" x14ac:dyDescent="0.3">
      <c r="D78" s="776" t="s">
        <v>522</v>
      </c>
      <c r="E78" s="776"/>
      <c r="F78" s="776"/>
      <c r="G78" s="337"/>
      <c r="I78" s="777" t="s">
        <v>469</v>
      </c>
      <c r="J78" s="777"/>
      <c r="K78" s="777"/>
      <c r="L78" s="777"/>
      <c r="M78" s="777"/>
    </row>
    <row r="79" spans="4:23" ht="21" customHeight="1" x14ac:dyDescent="0.3">
      <c r="D79" s="398" t="s">
        <v>514</v>
      </c>
      <c r="E79" s="398"/>
      <c r="F79" s="399">
        <v>0.2</v>
      </c>
      <c r="G79" s="400"/>
      <c r="I79" s="401"/>
      <c r="J79" s="402"/>
      <c r="K79" s="403" t="s">
        <v>13</v>
      </c>
      <c r="L79" s="403" t="s">
        <v>498</v>
      </c>
      <c r="M79" s="401"/>
      <c r="N79" s="335" t="s">
        <v>265</v>
      </c>
    </row>
    <row r="80" spans="4:23" ht="21" customHeight="1" x14ac:dyDescent="0.3">
      <c r="D80" s="398" t="s">
        <v>515</v>
      </c>
      <c r="E80" s="398"/>
      <c r="F80" s="399">
        <v>0.4</v>
      </c>
      <c r="G80" s="400"/>
      <c r="I80" s="401"/>
      <c r="J80" s="402"/>
      <c r="K80" s="401" t="s">
        <v>14</v>
      </c>
      <c r="L80" s="401" t="s">
        <v>491</v>
      </c>
      <c r="M80" s="401"/>
      <c r="N80" s="335" t="s">
        <v>556</v>
      </c>
    </row>
    <row r="81" spans="4:14" ht="21" customHeight="1" x14ac:dyDescent="0.3">
      <c r="D81" s="404" t="s">
        <v>516</v>
      </c>
      <c r="E81" s="404"/>
      <c r="F81" s="405">
        <v>0.6</v>
      </c>
      <c r="G81" s="406"/>
      <c r="I81" s="407"/>
      <c r="J81" s="402"/>
      <c r="K81" s="401" t="s">
        <v>15</v>
      </c>
      <c r="L81" s="401" t="s">
        <v>9</v>
      </c>
      <c r="M81" s="401"/>
    </row>
    <row r="82" spans="4:14" ht="21" customHeight="1" x14ac:dyDescent="0.3">
      <c r="D82" s="404" t="s">
        <v>517</v>
      </c>
      <c r="E82" s="404"/>
      <c r="F82" s="405">
        <v>0.8</v>
      </c>
      <c r="G82" s="406"/>
      <c r="I82" s="401"/>
      <c r="J82" s="402"/>
      <c r="K82" s="401" t="s">
        <v>16</v>
      </c>
      <c r="L82" s="401"/>
      <c r="M82" s="401"/>
      <c r="N82" s="335" t="s">
        <v>557</v>
      </c>
    </row>
    <row r="83" spans="4:14" ht="21" customHeight="1" x14ac:dyDescent="0.3">
      <c r="D83" s="408" t="s">
        <v>518</v>
      </c>
      <c r="E83" s="408"/>
      <c r="F83" s="409">
        <v>1</v>
      </c>
      <c r="G83" s="410"/>
      <c r="I83" s="401"/>
      <c r="J83" s="402"/>
      <c r="K83" s="401"/>
      <c r="L83" s="401"/>
      <c r="M83" s="401"/>
      <c r="N83" s="335" t="s">
        <v>558</v>
      </c>
    </row>
    <row r="84" spans="4:14" ht="21" customHeight="1" x14ac:dyDescent="0.3">
      <c r="D84" s="337"/>
      <c r="E84" s="337"/>
      <c r="F84" s="337"/>
      <c r="G84" s="337"/>
      <c r="I84" s="401"/>
      <c r="J84" s="402"/>
      <c r="K84" s="403" t="s">
        <v>18</v>
      </c>
      <c r="L84" s="403" t="s">
        <v>495</v>
      </c>
      <c r="M84" s="401"/>
    </row>
    <row r="85" spans="4:14" ht="21" customHeight="1" x14ac:dyDescent="0.3">
      <c r="D85" s="337"/>
      <c r="E85" s="337"/>
      <c r="F85" s="337"/>
      <c r="G85" s="337"/>
      <c r="I85" s="401"/>
      <c r="J85" s="402"/>
      <c r="K85" s="401" t="s">
        <v>493</v>
      </c>
      <c r="L85" s="401" t="s">
        <v>22</v>
      </c>
      <c r="M85" s="401"/>
      <c r="N85" s="335" t="s">
        <v>276</v>
      </c>
    </row>
    <row r="86" spans="4:14" ht="21" customHeight="1" x14ac:dyDescent="0.3">
      <c r="D86" s="776" t="s">
        <v>523</v>
      </c>
      <c r="E86" s="776"/>
      <c r="F86" s="776"/>
      <c r="G86" s="337"/>
      <c r="I86" s="401"/>
      <c r="J86" s="402"/>
      <c r="K86" s="401" t="s">
        <v>494</v>
      </c>
      <c r="L86" s="401" t="s">
        <v>23</v>
      </c>
      <c r="M86" s="401"/>
      <c r="N86" s="335" t="s">
        <v>559</v>
      </c>
    </row>
    <row r="87" spans="4:14" ht="21" customHeight="1" x14ac:dyDescent="0.3">
      <c r="D87" s="411" t="s">
        <v>519</v>
      </c>
      <c r="E87" s="411"/>
      <c r="F87" s="412">
        <v>0.2</v>
      </c>
      <c r="G87" s="413"/>
      <c r="I87" s="401"/>
      <c r="J87" s="402"/>
      <c r="K87" s="401"/>
      <c r="L87" s="401"/>
      <c r="M87" s="401"/>
    </row>
    <row r="88" spans="4:14" ht="21" customHeight="1" x14ac:dyDescent="0.3">
      <c r="D88" s="411" t="s">
        <v>520</v>
      </c>
      <c r="E88" s="411"/>
      <c r="F88" s="412">
        <v>0.4</v>
      </c>
      <c r="G88" s="413"/>
      <c r="I88" s="401"/>
      <c r="J88" s="402"/>
      <c r="K88" s="401"/>
      <c r="L88" s="401"/>
      <c r="M88" s="401"/>
      <c r="N88" s="335" t="s">
        <v>282</v>
      </c>
    </row>
    <row r="89" spans="4:14" ht="21" customHeight="1" x14ac:dyDescent="0.3">
      <c r="D89" s="404" t="s">
        <v>447</v>
      </c>
      <c r="E89" s="404"/>
      <c r="F89" s="405">
        <v>0.6</v>
      </c>
      <c r="G89" s="406"/>
      <c r="I89" s="401"/>
      <c r="J89" s="402"/>
      <c r="K89" s="403" t="s">
        <v>496</v>
      </c>
      <c r="L89" s="403" t="s">
        <v>29</v>
      </c>
      <c r="M89" s="401"/>
      <c r="N89" s="335" t="s">
        <v>336</v>
      </c>
    </row>
    <row r="90" spans="4:14" ht="21" customHeight="1" x14ac:dyDescent="0.3">
      <c r="D90" s="408" t="s">
        <v>521</v>
      </c>
      <c r="E90" s="408"/>
      <c r="F90" s="409">
        <v>0.8</v>
      </c>
      <c r="G90" s="410"/>
      <c r="I90" s="401"/>
      <c r="J90" s="402"/>
      <c r="K90" s="401" t="s">
        <v>497</v>
      </c>
      <c r="L90" s="401" t="s">
        <v>30</v>
      </c>
      <c r="M90" s="401"/>
      <c r="N90" s="335" t="s">
        <v>560</v>
      </c>
    </row>
    <row r="91" spans="4:14" ht="21" customHeight="1" x14ac:dyDescent="0.3">
      <c r="D91" s="414" t="s">
        <v>524</v>
      </c>
      <c r="E91" s="414"/>
      <c r="F91" s="415">
        <v>1</v>
      </c>
      <c r="G91" s="416"/>
      <c r="I91" s="401"/>
      <c r="J91" s="402"/>
      <c r="K91" s="401" t="s">
        <v>27</v>
      </c>
      <c r="L91" s="401" t="s">
        <v>504</v>
      </c>
      <c r="M91" s="401"/>
    </row>
    <row r="92" spans="4:14" ht="16.5" x14ac:dyDescent="0.3">
      <c r="I92" s="401"/>
      <c r="J92" s="402"/>
      <c r="K92" s="401"/>
      <c r="L92" s="401" t="s">
        <v>31</v>
      </c>
      <c r="M92" s="401"/>
      <c r="N92" s="335" t="s">
        <v>288</v>
      </c>
    </row>
    <row r="93" spans="4:14" ht="16.5" x14ac:dyDescent="0.3">
      <c r="I93" s="401"/>
      <c r="J93" s="402"/>
      <c r="K93" s="403" t="s">
        <v>39</v>
      </c>
      <c r="L93" s="401" t="s">
        <v>505</v>
      </c>
      <c r="M93" s="401"/>
      <c r="N93" s="335" t="s">
        <v>561</v>
      </c>
    </row>
    <row r="94" spans="4:14" ht="16.5" x14ac:dyDescent="0.3">
      <c r="I94" s="401"/>
      <c r="J94" s="402"/>
      <c r="K94" s="401" t="s">
        <v>40</v>
      </c>
      <c r="L94" s="401" t="s">
        <v>32</v>
      </c>
      <c r="M94" s="401"/>
    </row>
    <row r="95" spans="4:14" x14ac:dyDescent="0.25">
      <c r="K95" s="335" t="s">
        <v>41</v>
      </c>
      <c r="N95" s="335" t="s">
        <v>293</v>
      </c>
    </row>
    <row r="96" spans="4:14" x14ac:dyDescent="0.25">
      <c r="N96" s="335" t="s">
        <v>562</v>
      </c>
    </row>
    <row r="98" spans="14:14" x14ac:dyDescent="0.25">
      <c r="N98" s="335" t="s">
        <v>301</v>
      </c>
    </row>
    <row r="99" spans="14:14" x14ac:dyDescent="0.25">
      <c r="N99" s="335" t="s">
        <v>563</v>
      </c>
    </row>
    <row r="100" spans="14:14" x14ac:dyDescent="0.25">
      <c r="N100" s="335" t="s">
        <v>564</v>
      </c>
    </row>
    <row r="118" spans="6:6" x14ac:dyDescent="0.25">
      <c r="F118" s="335" t="s">
        <v>395</v>
      </c>
    </row>
    <row r="120" spans="6:6" x14ac:dyDescent="0.25">
      <c r="F120" s="335" t="s">
        <v>377</v>
      </c>
    </row>
    <row r="121" spans="6:6" x14ac:dyDescent="0.25">
      <c r="F121" s="335" t="s">
        <v>378</v>
      </c>
    </row>
    <row r="283" spans="4:20" x14ac:dyDescent="0.25">
      <c r="J283" s="417"/>
      <c r="K283" s="417"/>
      <c r="L283" s="417"/>
    </row>
    <row r="286" spans="4:20" x14ac:dyDescent="0.25">
      <c r="M286" s="417"/>
      <c r="N286" s="417"/>
      <c r="O286" s="417"/>
      <c r="S286" s="417"/>
      <c r="T286" s="417"/>
    </row>
    <row r="287" spans="4:20" x14ac:dyDescent="0.25">
      <c r="D287" s="418"/>
    </row>
    <row r="288" spans="4:20" x14ac:dyDescent="0.25">
      <c r="D288" s="418"/>
    </row>
    <row r="289" spans="4:18" x14ac:dyDescent="0.25">
      <c r="D289" s="418"/>
    </row>
    <row r="290" spans="4:18" x14ac:dyDescent="0.25">
      <c r="D290" s="418"/>
    </row>
    <row r="291" spans="4:18" x14ac:dyDescent="0.25">
      <c r="D291" s="418"/>
      <c r="I291" s="417"/>
      <c r="P291" s="417"/>
      <c r="Q291" s="417"/>
    </row>
    <row r="292" spans="4:18" x14ac:dyDescent="0.25">
      <c r="D292" s="419"/>
      <c r="E292" s="417"/>
      <c r="F292" s="417"/>
      <c r="G292" s="417"/>
      <c r="H292" s="417"/>
    </row>
    <row r="300" spans="4:18" x14ac:dyDescent="0.25">
      <c r="R300" s="417"/>
    </row>
  </sheetData>
  <mergeCells count="129">
    <mergeCell ref="D78:F78"/>
    <mergeCell ref="I78:M78"/>
    <mergeCell ref="D86:F86"/>
    <mergeCell ref="P54:P55"/>
    <mergeCell ref="Q54:Q55"/>
    <mergeCell ref="J57:J60"/>
    <mergeCell ref="R58:R60"/>
    <mergeCell ref="M59:Q59"/>
    <mergeCell ref="M60:Q60"/>
    <mergeCell ref="P51:P53"/>
    <mergeCell ref="Q51:Q53"/>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J49:J50"/>
    <mergeCell ref="K49:K50"/>
    <mergeCell ref="L49:L50"/>
    <mergeCell ref="M49:M50"/>
    <mergeCell ref="N49:N50"/>
    <mergeCell ref="O49:O50"/>
    <mergeCell ref="P49:P50"/>
    <mergeCell ref="Q49:Q50"/>
    <mergeCell ref="J46:J48"/>
    <mergeCell ref="K46:K48"/>
    <mergeCell ref="L46:L48"/>
    <mergeCell ref="M46:M48"/>
    <mergeCell ref="N46:N48"/>
    <mergeCell ref="O46:O48"/>
    <mergeCell ref="J44:J45"/>
    <mergeCell ref="K44:K45"/>
    <mergeCell ref="L44:L45"/>
    <mergeCell ref="M44:M45"/>
    <mergeCell ref="N44:N45"/>
    <mergeCell ref="O44:O45"/>
    <mergeCell ref="P44:P45"/>
    <mergeCell ref="Q44:Q45"/>
    <mergeCell ref="P46:P48"/>
    <mergeCell ref="Q46:Q48"/>
    <mergeCell ref="S36:W37"/>
    <mergeCell ref="D37:H37"/>
    <mergeCell ref="J37:Q37"/>
    <mergeCell ref="D39:D40"/>
    <mergeCell ref="F39:F40"/>
    <mergeCell ref="L39:M39"/>
    <mergeCell ref="N39:O39"/>
    <mergeCell ref="P39:Q39"/>
    <mergeCell ref="S39:S41"/>
    <mergeCell ref="T39:T41"/>
    <mergeCell ref="U39:U41"/>
    <mergeCell ref="V39:V41"/>
    <mergeCell ref="W39:W41"/>
    <mergeCell ref="J41:J43"/>
    <mergeCell ref="K41:K42"/>
    <mergeCell ref="L41:L42"/>
    <mergeCell ref="M41:M42"/>
    <mergeCell ref="N41:N42"/>
    <mergeCell ref="O41:O42"/>
    <mergeCell ref="P41:P42"/>
    <mergeCell ref="Q41:Q42"/>
    <mergeCell ref="K29:L32"/>
    <mergeCell ref="M29:N32"/>
    <mergeCell ref="O29:O32"/>
    <mergeCell ref="P29:P32"/>
    <mergeCell ref="H21:I21"/>
    <mergeCell ref="C22:C24"/>
    <mergeCell ref="D22:D24"/>
    <mergeCell ref="E22:E24"/>
    <mergeCell ref="F22:F24"/>
    <mergeCell ref="G22:G24"/>
    <mergeCell ref="H22:I24"/>
    <mergeCell ref="K20:K21"/>
    <mergeCell ref="L20:L21"/>
    <mergeCell ref="M20:R20"/>
    <mergeCell ref="Q29:Q32"/>
    <mergeCell ref="J24:J25"/>
    <mergeCell ref="J29:J32"/>
    <mergeCell ref="C17:AG17"/>
    <mergeCell ref="C19:I20"/>
    <mergeCell ref="J19:R19"/>
    <mergeCell ref="S19:Y19"/>
    <mergeCell ref="Z19:AG19"/>
    <mergeCell ref="J20:J21"/>
    <mergeCell ref="AB20:AB21"/>
    <mergeCell ref="AC20:AC21"/>
    <mergeCell ref="AD20:AD21"/>
    <mergeCell ref="AE20:AE21"/>
    <mergeCell ref="AF20:AF21"/>
    <mergeCell ref="AG20:AG21"/>
    <mergeCell ref="V20:V21"/>
    <mergeCell ref="W20:W21"/>
    <mergeCell ref="X20:X21"/>
    <mergeCell ref="Y20:Y21"/>
    <mergeCell ref="Z20:Z21"/>
    <mergeCell ref="AA20:AA21"/>
    <mergeCell ref="S20:S21"/>
    <mergeCell ref="T20:T21"/>
    <mergeCell ref="U20:U21"/>
    <mergeCell ref="D10:F10"/>
    <mergeCell ref="I10:AA10"/>
    <mergeCell ref="C12:AA12"/>
    <mergeCell ref="C14:D14"/>
    <mergeCell ref="E14:F14"/>
    <mergeCell ref="G14:H14"/>
    <mergeCell ref="I14:J14"/>
    <mergeCell ref="C15:D15"/>
    <mergeCell ref="E15:F15"/>
    <mergeCell ref="G15:H15"/>
    <mergeCell ref="I15:J15"/>
    <mergeCell ref="I4:O4"/>
    <mergeCell ref="P4:S4"/>
    <mergeCell ref="T4:W4"/>
    <mergeCell ref="X4:AA4"/>
    <mergeCell ref="C6:AQ7"/>
    <mergeCell ref="C8:F8"/>
    <mergeCell ref="G8:S8"/>
    <mergeCell ref="T8:V8"/>
    <mergeCell ref="C9:F9"/>
    <mergeCell ref="G9:S9"/>
  </mergeCells>
  <conditionalFormatting sqref="D22">
    <cfRule type="cellIs" dxfId="90" priority="30" operator="equal">
      <formula>"Muy Alta"</formula>
    </cfRule>
    <cfRule type="cellIs" dxfId="89" priority="31" operator="equal">
      <formula>"Alta"</formula>
    </cfRule>
    <cfRule type="cellIs" dxfId="88" priority="32" operator="equal">
      <formula>"Media"</formula>
    </cfRule>
    <cfRule type="cellIs" dxfId="87" priority="33" operator="equal">
      <formula>"Baja"</formula>
    </cfRule>
    <cfRule type="cellIs" dxfId="86" priority="34" operator="equal">
      <formula>"Muy Baja"</formula>
    </cfRule>
  </conditionalFormatting>
  <conditionalFormatting sqref="H22">
    <cfRule type="containsText" dxfId="85" priority="38" operator="containsText" text="Extremo">
      <formula>NOT(ISERROR(SEARCH("Extremo",H22)))</formula>
    </cfRule>
    <cfRule type="containsText" dxfId="84" priority="39" operator="containsText" text="Alto">
      <formula>NOT(ISERROR(SEARCH("Alto",H22)))</formula>
    </cfRule>
    <cfRule type="containsText" dxfId="83" priority="40" operator="containsText" text="Moderado">
      <formula>NOT(ISERROR(SEARCH("Moderado",H22)))</formula>
    </cfRule>
    <cfRule type="containsText" dxfId="82" priority="41" operator="containsText" text="Bajo">
      <formula>NOT(ISERROR(SEARCH("Bajo",H22)))</formula>
    </cfRule>
  </conditionalFormatting>
  <conditionalFormatting sqref="R29:S32 S24:S28">
    <cfRule type="containsText" dxfId="81" priority="35" operator="containsText" text="Fuerte">
      <formula>NOT(ISERROR(SEARCH("Fuerte",R24)))</formula>
    </cfRule>
    <cfRule type="containsText" dxfId="80" priority="36" operator="containsText" text="Moderado">
      <formula>NOT(ISERROR(SEARCH("Moderado",R24)))</formula>
    </cfRule>
    <cfRule type="containsText" dxfId="79" priority="37" operator="containsText" text="Débil">
      <formula>NOT(ISERROR(SEARCH("Débil",R24)))</formula>
    </cfRule>
  </conditionalFormatting>
  <conditionalFormatting sqref="T22:T25">
    <cfRule type="cellIs" dxfId="78" priority="10" operator="equal">
      <formula>"Muy Alta"</formula>
    </cfRule>
    <cfRule type="cellIs" dxfId="77" priority="11" operator="equal">
      <formula>"Alta"</formula>
    </cfRule>
    <cfRule type="cellIs" dxfId="76" priority="12" operator="equal">
      <formula>"Media"</formula>
    </cfRule>
    <cfRule type="cellIs" dxfId="75" priority="13" operator="equal">
      <formula>"Baja"</formula>
    </cfRule>
    <cfRule type="cellIs" dxfId="74" priority="14" operator="equal">
      <formula>"Muy Baja"</formula>
    </cfRule>
  </conditionalFormatting>
  <conditionalFormatting sqref="V22:V25">
    <cfRule type="cellIs" dxfId="73" priority="5" operator="equal">
      <formula>"Catastrófico"</formula>
    </cfRule>
    <cfRule type="cellIs" dxfId="72" priority="6" operator="equal">
      <formula>"Mayor"</formula>
    </cfRule>
    <cfRule type="cellIs" dxfId="71" priority="7" operator="equal">
      <formula>"Moderado"</formula>
    </cfRule>
    <cfRule type="cellIs" dxfId="70" priority="8" operator="equal">
      <formula>"Menor"</formula>
    </cfRule>
    <cfRule type="cellIs" dxfId="69" priority="9" operator="equal">
      <formula>"Leve"</formula>
    </cfRule>
  </conditionalFormatting>
  <conditionalFormatting sqref="X22:X25">
    <cfRule type="cellIs" dxfId="68" priority="1" operator="equal">
      <formula>"Extremo"</formula>
    </cfRule>
    <cfRule type="cellIs" dxfId="67" priority="2" operator="equal">
      <formula>"Alto"</formula>
    </cfRule>
    <cfRule type="cellIs" dxfId="66" priority="3" operator="equal">
      <formula>"Moderado"</formula>
    </cfRule>
    <cfRule type="cellIs" dxfId="65" priority="4" operator="equal">
      <formula>"Bajo"</formula>
    </cfRule>
  </conditionalFormatting>
  <dataValidations count="15">
    <dataValidation type="list" allowBlank="1" showInputMessage="1" showErrorMessage="1" sqref="H41:H59" xr:uid="{B17A77B0-329A-46F3-B77B-BDA8712E471D}">
      <formula1>$F$120:$F$121</formula1>
    </dataValidation>
    <dataValidation type="list" allowBlank="1" showInputMessage="1" showErrorMessage="1" sqref="M22:M23" xr:uid="{D43DA1A3-72DE-46D2-B62F-AB521DD67CAE}">
      <formula1>$K$80:$K$82</formula1>
    </dataValidation>
    <dataValidation type="list" allowBlank="1" showInputMessage="1" showErrorMessage="1" sqref="N22:N23" xr:uid="{8DCA0251-1C65-4BF8-82FF-3268482418C3}">
      <formula1>$L$80:$L$81</formula1>
    </dataValidation>
    <dataValidation type="list" allowBlank="1" showInputMessage="1" showErrorMessage="1" sqref="P22:P23" xr:uid="{E1F6B45E-B1F0-4F32-886C-D30C82CDBB5D}">
      <formula1>$K$85:$K$86</formula1>
    </dataValidation>
    <dataValidation type="list" allowBlank="1" showInputMessage="1" showErrorMessage="1" sqref="Q22:Q23" xr:uid="{63EFB67F-6745-4652-94F8-75088911FA6C}">
      <formula1>$L$85:$L$86</formula1>
    </dataValidation>
    <dataValidation type="list" allowBlank="1" showInputMessage="1" showErrorMessage="1" sqref="R22:R23" xr:uid="{D2AC58C5-A2D9-4F55-8AAB-E6DBF4732FC5}">
      <formula1>$K$90:$K$91</formula1>
    </dataValidation>
    <dataValidation type="list" allowBlank="1" showInputMessage="1" showErrorMessage="1" sqref="Y22:Y24" xr:uid="{19D002D3-9A5C-41F6-9F62-A7075C4DF280}">
      <formula1>$L$90:$L$94</formula1>
    </dataValidation>
    <dataValidation type="list" allowBlank="1" showInputMessage="1" showErrorMessage="1" sqref="AG22:AG23" xr:uid="{0E8B89AC-0657-4A5D-B264-C27444E40347}">
      <formula1>$K$94:$K$95</formula1>
    </dataValidation>
    <dataValidation type="list" allowBlank="1" showInputMessage="1" showErrorMessage="1" sqref="L41:L42 N41:N42 P41:P42" xr:uid="{19EAAFDD-700B-40E4-A4BC-2859EF97001E}">
      <formula1>$N$79:$N$80</formula1>
    </dataValidation>
    <dataValidation type="list" allowBlank="1" showInputMessage="1" showErrorMessage="1" sqref="L43 N43 P43" xr:uid="{04BD3470-422B-4467-A358-6FB0DBD6F34B}">
      <formula1>$N$82:$N$83</formula1>
    </dataValidation>
    <dataValidation type="list" allowBlank="1" showInputMessage="1" showErrorMessage="1" sqref="L44:L45 N44:N45 P44:P45" xr:uid="{83ED651E-8023-4923-A34E-0167F4D544F9}">
      <formula1>$N$85:$N$86</formula1>
    </dataValidation>
    <dataValidation type="list" allowBlank="1" showInputMessage="1" showErrorMessage="1" sqref="L46:L48 N46:N48 P46:P48" xr:uid="{ACE4942C-69CB-4CDF-A4A6-9ABC20007EA9}">
      <formula1>$N$88:$N$90</formula1>
    </dataValidation>
    <dataValidation type="list" allowBlank="1" showInputMessage="1" showErrorMessage="1" sqref="L49:L50 N49:N50 P49:P50" xr:uid="{9345976F-1B9A-4742-AB45-19843576596B}">
      <formula1>$N$92:$N$93</formula1>
    </dataValidation>
    <dataValidation type="list" allowBlank="1" showInputMessage="1" showErrorMessage="1" sqref="L51:L53 N51:N53 P51:P53" xr:uid="{81BE644A-F849-439B-9E16-47FDCD530598}">
      <formula1>$N$95:$N$96</formula1>
    </dataValidation>
    <dataValidation type="list" allowBlank="1" showInputMessage="1" showErrorMessage="1" sqref="L54:L55 N54:N55 P54:P55" xr:uid="{EE7108F2-3532-4D72-B33E-7BFFD1D1AA3D}">
      <formula1>$N$98:$N$100</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0" stopIfTrue="1" operator="containsText" id="{9B91637D-CF4B-4914-AA44-80CFB466D485}">
            <xm:f>NOT(ISERROR(SEARCH($F$83,D25)))</xm:f>
            <xm:f>$F$83</xm:f>
            <x14:dxf>
              <fill>
                <patternFill>
                  <bgColor theme="9" tint="-0.24994659260841701"/>
                </patternFill>
              </fill>
            </x14:dxf>
          </x14:cfRule>
          <x14:cfRule type="containsText" priority="21" stopIfTrue="1" operator="containsText" id="{27335615-ABAC-42CF-9079-DAC79257F4C4}">
            <xm:f>NOT(ISERROR(SEARCH($F$82,D25)))</xm:f>
            <xm:f>$F$82</xm:f>
            <x14:dxf>
              <fill>
                <patternFill>
                  <bgColor rgb="FFFFFF00"/>
                </patternFill>
              </fill>
            </x14:dxf>
          </x14:cfRule>
          <x14:cfRule type="containsText" priority="22" stopIfTrue="1" operator="containsText" id="{373FE80D-DB8C-406F-8356-DC4E728D7730}">
            <xm:f>NOT(ISERROR(SEARCH($F$81,D25)))</xm:f>
            <xm:f>$F$81</xm:f>
            <x14:dxf>
              <fill>
                <patternFill>
                  <bgColor rgb="FFFFFF00"/>
                </patternFill>
              </fill>
            </x14:dxf>
          </x14:cfRule>
          <x14:cfRule type="containsText" priority="23" stopIfTrue="1" operator="containsText" id="{6CE9E409-F917-47DC-B8AF-8C7A1735600F}">
            <xm:f>NOT(ISERROR(SEARCH($F$80,D25)))</xm:f>
            <xm:f>$F$80</xm:f>
            <x14:dxf>
              <fill>
                <patternFill>
                  <bgColor rgb="FF92D050"/>
                </patternFill>
              </fill>
            </x14:dxf>
          </x14:cfRule>
          <x14:cfRule type="containsText" priority="24" stopIfTrue="1" operator="containsText" id="{845FC7A0-D538-4AB9-8B99-89BBFE3956EA}">
            <xm:f>NOT(ISERROR(SEARCH($F$79,D25)))</xm:f>
            <xm:f>$F$79</xm:f>
            <x14:dxf>
              <fill>
                <patternFill>
                  <bgColor rgb="FF92D050"/>
                </patternFill>
              </fill>
            </x14:dxf>
          </x14:cfRule>
          <xm:sqref>D25:E25</xm:sqref>
        </x14:conditionalFormatting>
        <x14:conditionalFormatting xmlns:xm="http://schemas.microsoft.com/office/excel/2006/main">
          <x14:cfRule type="containsText" priority="25" stopIfTrue="1" operator="containsText" id="{3DCC2A01-DC4A-4A3A-95E1-C783FF78F732}">
            <xm:f>NOT(ISERROR(SEARCH($D$90,F22)))</xm:f>
            <xm:f>$D$90</xm:f>
            <x14:dxf>
              <fill>
                <patternFill>
                  <bgColor theme="9" tint="-0.24994659260841701"/>
                </patternFill>
              </fill>
            </x14:dxf>
          </x14:cfRule>
          <x14:cfRule type="containsText" priority="26" stopIfTrue="1" operator="containsText" id="{F16C520C-DB61-43C2-8B0F-980E598FB079}">
            <xm:f>NOT(ISERROR(SEARCH($D$91,F22)))</xm:f>
            <xm:f>$D$91</xm:f>
            <x14:dxf>
              <fill>
                <patternFill>
                  <bgColor rgb="FFFF0000"/>
                </patternFill>
              </fill>
            </x14:dxf>
          </x14:cfRule>
          <x14:cfRule type="containsText" priority="27" stopIfTrue="1" operator="containsText" id="{B80EF250-865F-43FA-AE17-BF074C2135CD}">
            <xm:f>NOT(ISERROR(SEARCH($D$88,F22)))</xm:f>
            <xm:f>$D$88</xm:f>
            <x14:dxf>
              <fill>
                <patternFill>
                  <bgColor theme="6"/>
                </patternFill>
              </fill>
            </x14:dxf>
          </x14:cfRule>
          <x14:cfRule type="containsText" priority="28" stopIfTrue="1" operator="containsText" id="{A15688BF-EAEA-4772-A723-41BD0CB7C982}">
            <xm:f>NOT(ISERROR(SEARCH($D$89,F22)))</xm:f>
            <xm:f>$D$89</xm:f>
            <x14:dxf>
              <fill>
                <patternFill>
                  <bgColor rgb="FFFFFF00"/>
                </patternFill>
              </fill>
            </x14:dxf>
          </x14:cfRule>
          <x14:cfRule type="containsText" priority="29" stopIfTrue="1" operator="containsText" id="{C41A099B-5CA9-4BA4-9A17-409973D9450D}">
            <xm:f>NOT(ISERROR(SEARCH($D$87,F22)))</xm:f>
            <xm:f>$D$87</xm:f>
            <x14:dxf>
              <fill>
                <patternFill>
                  <bgColor theme="6"/>
                </patternFill>
              </fill>
            </x14:dxf>
          </x14:cfRule>
          <xm:sqref>F23:F24 F22:G22</xm:sqref>
        </x14:conditionalFormatting>
        <x14:conditionalFormatting xmlns:xm="http://schemas.microsoft.com/office/excel/2006/main">
          <x14:cfRule type="containsText" priority="15" stopIfTrue="1" operator="containsText" id="{BDB68F86-FBDC-427E-804E-88DBFED0E54E}">
            <xm:f>NOT(ISERROR(SEARCH($F$91,F25)))</xm:f>
            <xm:f>$F$91</xm:f>
            <x14:dxf>
              <fill>
                <patternFill>
                  <bgColor rgb="FFFF0000"/>
                </patternFill>
              </fill>
            </x14:dxf>
          </x14:cfRule>
          <x14:cfRule type="containsText" priority="16" stopIfTrue="1" operator="containsText" id="{CDE21EF2-30ED-49C5-8BB9-CDA5328B1ADC}">
            <xm:f>NOT(ISERROR(SEARCH($F$90,F25)))</xm:f>
            <xm:f>$F$90</xm:f>
            <x14:dxf>
              <fill>
                <patternFill>
                  <bgColor theme="9" tint="-0.24994659260841701"/>
                </patternFill>
              </fill>
            </x14:dxf>
          </x14:cfRule>
          <x14:cfRule type="containsText" priority="17" stopIfTrue="1" operator="containsText" id="{5BEDCC60-6B09-468B-BF02-8EF9E9AFB20C}">
            <xm:f>NOT(ISERROR(SEARCH($F$89,F25)))</xm:f>
            <xm:f>$F$89</xm:f>
            <x14:dxf>
              <fill>
                <patternFill>
                  <bgColor rgb="FFFFFF00"/>
                </patternFill>
              </fill>
            </x14:dxf>
          </x14:cfRule>
          <x14:cfRule type="containsText" priority="18" stopIfTrue="1" operator="containsText" id="{AABBD553-F745-43DA-A728-1B1FB9FA8CC4}">
            <xm:f>NOT(ISERROR(SEARCH($F$88,F25)))</xm:f>
            <xm:f>$F$88</xm:f>
            <x14:dxf>
              <fill>
                <patternFill>
                  <bgColor rgb="FF92D050"/>
                </patternFill>
              </fill>
            </x14:dxf>
          </x14:cfRule>
          <x14:cfRule type="containsText" priority="19" stopIfTrue="1" operator="containsText" id="{A55B0467-874E-44D5-BC38-050ADA286600}">
            <xm:f>NOT(ISERROR(SEARCH($F$87,F25)))</xm:f>
            <xm:f>$F$87</xm:f>
            <x14:dxf>
              <fill>
                <patternFill>
                  <bgColor rgb="FF92D050"/>
                </patternFill>
              </fill>
            </x14:dxf>
          </x14:cfRule>
          <xm:sqref>F25:G25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7BD1-30A6-4E45-807C-5064EB613062}">
  <sheetPr>
    <tabColor rgb="FF002060"/>
  </sheetPr>
  <dimension ref="A1:BV120"/>
  <sheetViews>
    <sheetView topLeftCell="K3" zoomScaleNormal="100" workbookViewId="0">
      <selection activeCell="K11" sqref="K11:K12"/>
    </sheetView>
  </sheetViews>
  <sheetFormatPr baseColWidth="10" defaultColWidth="11.42578125" defaultRowHeight="16.5" x14ac:dyDescent="0.3"/>
  <cols>
    <col min="1" max="1" width="4" style="2" bestFit="1" customWidth="1"/>
    <col min="2" max="2" width="22.28515625" style="2" customWidth="1"/>
    <col min="3" max="3" width="17.85546875" style="2" customWidth="1"/>
    <col min="4" max="4" width="20" style="2" customWidth="1"/>
    <col min="5" max="6" width="16.140625" style="2" customWidth="1"/>
    <col min="7" max="7" width="32.42578125" style="1" customWidth="1"/>
    <col min="8" max="8" width="19" style="5" customWidth="1"/>
    <col min="9" max="9" width="17.85546875" style="1" customWidth="1"/>
    <col min="10" max="10" width="16.5703125" style="1" customWidth="1"/>
    <col min="11" max="11" width="9" style="1" customWidth="1"/>
    <col min="12" max="12" width="27.28515625" style="1" bestFit="1" customWidth="1"/>
    <col min="13" max="13" width="30.5703125" style="1" hidden="1" customWidth="1"/>
    <col min="14" max="14" width="17.5703125" style="1" customWidth="1"/>
    <col min="15" max="15" width="9.28515625" style="1" customWidth="1"/>
    <col min="16" max="16" width="16" style="1" customWidth="1"/>
    <col min="17" max="17" width="5.85546875" style="1" customWidth="1"/>
    <col min="18" max="18" width="31" style="1" customWidth="1"/>
    <col min="19" max="19" width="15.140625" style="1" bestFit="1" customWidth="1"/>
    <col min="20" max="20" width="8.85546875" style="1" customWidth="1"/>
    <col min="21" max="22" width="8.140625" style="1" customWidth="1"/>
    <col min="23" max="25" width="9.5703125" style="1" customWidth="1"/>
    <col min="26" max="26" width="7.285156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4" width="23" style="1" customWidth="1"/>
    <col min="35" max="35" width="18.85546875" style="1" customWidth="1"/>
    <col min="36" max="37" width="16.85546875" style="1" customWidth="1"/>
    <col min="38" max="38" width="14.85546875" style="1" customWidth="1"/>
    <col min="39" max="39" width="18.5703125" style="1" customWidth="1"/>
    <col min="40" max="40" width="21" style="1" customWidth="1"/>
    <col min="41" max="16384" width="11.42578125" style="1"/>
  </cols>
  <sheetData>
    <row r="1" spans="1:74" ht="106.5" customHeight="1" x14ac:dyDescent="0.3"/>
    <row r="2" spans="1:74" ht="76.5" customHeight="1" x14ac:dyDescent="0.3"/>
    <row r="3" spans="1:74" ht="19.5" customHeight="1" thickBot="1" x14ac:dyDescent="0.35"/>
    <row r="4" spans="1:74" ht="16.5" customHeight="1" x14ac:dyDescent="0.3">
      <c r="A4" s="567" t="s">
        <v>530</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9"/>
    </row>
    <row r="5" spans="1:74" ht="24" customHeight="1" thickBot="1" x14ac:dyDescent="0.35">
      <c r="A5" s="688"/>
      <c r="B5" s="572"/>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3"/>
    </row>
    <row r="6" spans="1:74" ht="26.25" customHeight="1" x14ac:dyDescent="0.3">
      <c r="A6" s="574" t="s">
        <v>43</v>
      </c>
      <c r="B6" s="574"/>
      <c r="C6" s="575" t="str">
        <f>'Datos del proceso'!A10</f>
        <v>GESTIÓN FINANCIERAS</v>
      </c>
      <c r="D6" s="575"/>
      <c r="E6" s="575"/>
      <c r="F6" s="575"/>
      <c r="G6" s="575"/>
      <c r="H6" s="575"/>
      <c r="I6" s="575"/>
      <c r="J6" s="575"/>
      <c r="K6" s="575"/>
      <c r="L6" s="575"/>
      <c r="M6" s="575"/>
      <c r="N6" s="575"/>
      <c r="O6" s="575"/>
      <c r="P6" s="575"/>
      <c r="Q6" s="576"/>
      <c r="R6" s="576"/>
      <c r="S6" s="576"/>
      <c r="T6" s="268"/>
      <c r="U6" s="268"/>
      <c r="V6" s="268"/>
      <c r="W6" s="268"/>
      <c r="X6" s="268"/>
      <c r="Y6" s="268"/>
      <c r="Z6" s="268"/>
      <c r="AA6" s="268"/>
      <c r="AB6" s="268"/>
      <c r="AC6" s="268"/>
      <c r="AD6" s="268"/>
      <c r="AE6" s="268"/>
      <c r="AF6" s="268"/>
      <c r="AG6" s="268"/>
      <c r="AH6" s="268"/>
      <c r="AI6" s="268"/>
      <c r="AJ6" s="268"/>
      <c r="AK6" s="268"/>
      <c r="AL6" s="268"/>
      <c r="AM6" s="268"/>
      <c r="AN6" s="268"/>
    </row>
    <row r="7" spans="1:74" ht="30" customHeight="1" x14ac:dyDescent="0.3">
      <c r="A7" s="689" t="s">
        <v>130</v>
      </c>
      <c r="B7" s="689"/>
      <c r="C7" s="779" t="str">
        <f>'Datos del proceso'!I10</f>
        <v>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v>
      </c>
      <c r="D7" s="779"/>
      <c r="E7" s="779"/>
      <c r="F7" s="779"/>
      <c r="G7" s="779"/>
      <c r="H7" s="779"/>
      <c r="I7" s="779"/>
      <c r="J7" s="779"/>
      <c r="K7" s="779"/>
      <c r="L7" s="779"/>
      <c r="M7" s="779"/>
      <c r="N7" s="779"/>
      <c r="O7" s="779"/>
      <c r="P7" s="779"/>
      <c r="Q7" s="268"/>
      <c r="R7" s="268"/>
      <c r="S7" s="268"/>
      <c r="T7" s="268"/>
      <c r="U7" s="268"/>
      <c r="V7" s="268"/>
      <c r="W7" s="268"/>
      <c r="X7" s="268"/>
      <c r="Y7" s="268"/>
      <c r="Z7" s="268"/>
      <c r="AA7" s="268"/>
      <c r="AB7" s="268"/>
      <c r="AC7" s="268"/>
      <c r="AD7" s="268"/>
      <c r="AE7" s="268"/>
      <c r="AF7" s="268"/>
      <c r="AG7" s="268"/>
      <c r="AH7" s="268"/>
      <c r="AI7" s="268"/>
      <c r="AJ7" s="268"/>
      <c r="AK7" s="268"/>
      <c r="AL7" s="268"/>
      <c r="AM7" s="268"/>
      <c r="AN7" s="268"/>
    </row>
    <row r="8" spans="1:74" s="270" customFormat="1" ht="15" x14ac:dyDescent="0.2">
      <c r="A8" s="692" t="s">
        <v>139</v>
      </c>
      <c r="B8" s="692"/>
      <c r="C8" s="692"/>
      <c r="D8" s="692"/>
      <c r="E8" s="692"/>
      <c r="F8" s="692"/>
      <c r="G8" s="692"/>
      <c r="H8" s="692"/>
      <c r="I8" s="692"/>
      <c r="J8" s="692" t="s">
        <v>140</v>
      </c>
      <c r="K8" s="692"/>
      <c r="L8" s="692"/>
      <c r="M8" s="692"/>
      <c r="N8" s="692"/>
      <c r="O8" s="692"/>
      <c r="P8" s="692"/>
      <c r="Q8" s="692" t="s">
        <v>141</v>
      </c>
      <c r="R8" s="692"/>
      <c r="S8" s="692"/>
      <c r="T8" s="692"/>
      <c r="U8" s="692"/>
      <c r="V8" s="692"/>
      <c r="W8" s="692"/>
      <c r="X8" s="692"/>
      <c r="Y8" s="692"/>
      <c r="Z8" s="692" t="s">
        <v>142</v>
      </c>
      <c r="AA8" s="692"/>
      <c r="AB8" s="692"/>
      <c r="AC8" s="692"/>
      <c r="AD8" s="692"/>
      <c r="AE8" s="692"/>
      <c r="AF8" s="692"/>
      <c r="AG8" s="692" t="s">
        <v>34</v>
      </c>
      <c r="AH8" s="692"/>
      <c r="AI8" s="692"/>
      <c r="AJ8" s="692"/>
      <c r="AK8" s="692"/>
      <c r="AL8" s="692"/>
      <c r="AM8" s="692"/>
      <c r="AN8" s="692"/>
    </row>
    <row r="9" spans="1:74" s="270" customFormat="1" ht="16.5" customHeight="1" x14ac:dyDescent="0.2">
      <c r="A9" s="691" t="s">
        <v>0</v>
      </c>
      <c r="B9" s="780" t="s">
        <v>218</v>
      </c>
      <c r="C9" s="782" t="s">
        <v>529</v>
      </c>
      <c r="D9" s="782" t="s">
        <v>533</v>
      </c>
      <c r="E9" s="780" t="s">
        <v>13</v>
      </c>
      <c r="F9" s="780" t="s">
        <v>317</v>
      </c>
      <c r="G9" s="782" t="s">
        <v>318</v>
      </c>
      <c r="H9" s="782" t="s">
        <v>531</v>
      </c>
      <c r="I9" s="564" t="s">
        <v>478</v>
      </c>
      <c r="J9" s="578" t="s">
        <v>480</v>
      </c>
      <c r="K9" s="539" t="s">
        <v>481</v>
      </c>
      <c r="L9" s="539" t="s">
        <v>479</v>
      </c>
      <c r="M9" s="539" t="s">
        <v>92</v>
      </c>
      <c r="N9" s="539" t="s">
        <v>482</v>
      </c>
      <c r="O9" s="539" t="s">
        <v>483</v>
      </c>
      <c r="P9" s="539" t="s">
        <v>484</v>
      </c>
      <c r="Q9" s="563" t="s">
        <v>11</v>
      </c>
      <c r="R9" s="539" t="s">
        <v>163</v>
      </c>
      <c r="S9" s="539" t="s">
        <v>503</v>
      </c>
      <c r="T9" s="539" t="s">
        <v>8</v>
      </c>
      <c r="U9" s="539"/>
      <c r="V9" s="539"/>
      <c r="W9" s="539"/>
      <c r="X9" s="539"/>
      <c r="Y9" s="539"/>
      <c r="Z9" s="563" t="s">
        <v>502</v>
      </c>
      <c r="AA9" s="563" t="s">
        <v>485</v>
      </c>
      <c r="AB9" s="563" t="s">
        <v>488</v>
      </c>
      <c r="AC9" s="563" t="s">
        <v>486</v>
      </c>
      <c r="AD9" s="563" t="s">
        <v>481</v>
      </c>
      <c r="AE9" s="563" t="s">
        <v>489</v>
      </c>
      <c r="AF9" s="563" t="s">
        <v>29</v>
      </c>
      <c r="AG9" s="539" t="s">
        <v>34</v>
      </c>
      <c r="AH9" s="564" t="s">
        <v>496</v>
      </c>
      <c r="AI9" s="539" t="s">
        <v>35</v>
      </c>
      <c r="AJ9" s="539" t="s">
        <v>236</v>
      </c>
      <c r="AK9" s="564" t="s">
        <v>506</v>
      </c>
      <c r="AL9" s="539" t="s">
        <v>38</v>
      </c>
      <c r="AM9" s="539" t="s">
        <v>37</v>
      </c>
      <c r="AN9" s="539" t="s">
        <v>39</v>
      </c>
    </row>
    <row r="10" spans="1:74" s="273" customFormat="1" ht="110.25" customHeight="1" x14ac:dyDescent="0.25">
      <c r="A10" s="691"/>
      <c r="B10" s="781"/>
      <c r="C10" s="783"/>
      <c r="D10" s="783"/>
      <c r="E10" s="781"/>
      <c r="F10" s="781"/>
      <c r="G10" s="783"/>
      <c r="H10" s="783"/>
      <c r="I10" s="565"/>
      <c r="J10" s="579"/>
      <c r="K10" s="539"/>
      <c r="L10" s="539"/>
      <c r="M10" s="539"/>
      <c r="N10" s="533"/>
      <c r="O10" s="539"/>
      <c r="P10" s="539"/>
      <c r="Q10" s="563"/>
      <c r="R10" s="539"/>
      <c r="S10" s="539"/>
      <c r="T10" s="290" t="s">
        <v>490</v>
      </c>
      <c r="U10" s="290" t="s">
        <v>492</v>
      </c>
      <c r="V10" s="290" t="s">
        <v>487</v>
      </c>
      <c r="W10" s="290" t="s">
        <v>499</v>
      </c>
      <c r="X10" s="290" t="s">
        <v>500</v>
      </c>
      <c r="Y10" s="290" t="s">
        <v>501</v>
      </c>
      <c r="Z10" s="563"/>
      <c r="AA10" s="563"/>
      <c r="AB10" s="563"/>
      <c r="AC10" s="563"/>
      <c r="AD10" s="563"/>
      <c r="AE10" s="563"/>
      <c r="AF10" s="563"/>
      <c r="AG10" s="539"/>
      <c r="AH10" s="565"/>
      <c r="AI10" s="539"/>
      <c r="AJ10" s="539"/>
      <c r="AK10" s="565"/>
      <c r="AL10" s="539"/>
      <c r="AM10" s="539"/>
      <c r="AN10" s="539"/>
      <c r="AO10" s="303"/>
      <c r="AP10" s="303"/>
      <c r="AQ10" s="303"/>
      <c r="AR10" s="303"/>
      <c r="AS10" s="303"/>
      <c r="AT10" s="303"/>
      <c r="AU10" s="303"/>
      <c r="AV10" s="303"/>
      <c r="AW10" s="303"/>
      <c r="AX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row>
    <row r="11" spans="1:74" s="287" customFormat="1" ht="83.25" customHeight="1" x14ac:dyDescent="0.25">
      <c r="A11" s="559">
        <v>1</v>
      </c>
      <c r="B11" s="784" t="s">
        <v>526</v>
      </c>
      <c r="C11" s="558" t="s">
        <v>622</v>
      </c>
      <c r="D11" s="666" t="s">
        <v>623</v>
      </c>
      <c r="E11" s="666" t="s">
        <v>624</v>
      </c>
      <c r="F11" s="666" t="s">
        <v>625</v>
      </c>
      <c r="G11" s="560" t="s">
        <v>626</v>
      </c>
      <c r="H11" s="558" t="s">
        <v>627</v>
      </c>
      <c r="I11" s="556">
        <f>12+6+6+12+12</f>
        <v>48</v>
      </c>
      <c r="J11" s="557" t="str">
        <f>IF(I11&lt;=0,"",IF(I11&lt;=2,"Muy Baja",IF(I11&lt;=24,"Baja",IF(I11&lt;=500,"Media",IF(I11&lt;=5000,"Alta","Muy Alta")))))</f>
        <v>Media</v>
      </c>
      <c r="K11" s="554">
        <f>IF(J11="","",IF(J11="Muy Baja",0.2,IF(J11="Baja",0.4,IF(J11="Media",0.6,IF(J11="Alta",0.8,IF(J11="Muy Alta",1,))))))</f>
        <v>0.6</v>
      </c>
      <c r="L11" s="558">
        <v>60</v>
      </c>
      <c r="M11" s="554">
        <f>IF(NOT(ISERROR(MATCH(L11,'[2]Tabla Impacto'!$B$221:$B$223,0))),'[2]Tabla Impacto'!$F$223&amp;"Por favor no seleccionar los criterios de impacto(Afectación Económica o presupuestal y Pérdida Reputacional)",L11)</f>
        <v>60</v>
      </c>
      <c r="N11" s="557" t="str">
        <f>IF(L11&lt;=0,"",IF(L11&lt;=10,"Leve",IF(L11&lt;=50,"Menor",IF(L11&lt;=100,"Moderado",IF(L11&lt;=500,"Mayor","Catastrófico")))))</f>
        <v>Moderado</v>
      </c>
      <c r="O11" s="554">
        <f>IF(N11="","",IF(N11="Leve",0.2,IF(N11="Menor",0.4,IF(N11="Moderado",0.6,IF(N11="Mayor",0.8,IF(N11="Catastrófico",1,))))))</f>
        <v>0.6</v>
      </c>
      <c r="P11" s="555"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Moderado</v>
      </c>
      <c r="Q11" s="274">
        <v>1</v>
      </c>
      <c r="R11" s="275" t="s">
        <v>628</v>
      </c>
      <c r="S11" s="276" t="str">
        <f t="shared" ref="S11" si="0">IF(OR(T11="Preventivo",T11="Detectivo"),"Probabilidad",IF(T11="Correctivo","Impacto",""))</f>
        <v>Impacto</v>
      </c>
      <c r="T11" s="277" t="s">
        <v>16</v>
      </c>
      <c r="U11" s="277" t="s">
        <v>9</v>
      </c>
      <c r="V11" s="278" t="str">
        <f>IF(AND(T11="Preventivo",U11="Automático"),"50%",IF(AND(T11="Preventivo",U11="Manual"),"40%",IF(AND(T11="Detectivo",U11="Automático"),"40%",IF(AND(T11="Detectivo",U11="Manual"),"30%",IF(AND(T11="Correctivo",U11="Automático"),"35%",IF(AND(T11="Correctivo",U11="Manual"),"25%",""))))))</f>
        <v>25%</v>
      </c>
      <c r="W11" s="277" t="s">
        <v>494</v>
      </c>
      <c r="X11" s="277" t="s">
        <v>22</v>
      </c>
      <c r="Y11" s="277" t="s">
        <v>497</v>
      </c>
      <c r="Z11" s="279">
        <f>IFERROR(IF(S11="Probabilidad",(K11-(+K11*V11)),IF(S11="Impacto",K11,"")),"")</f>
        <v>0.6</v>
      </c>
      <c r="AA11" s="280" t="str">
        <f>IFERROR(IF(Z11="","",IF(Z11&lt;=0.2,"Muy Baja",IF(Z11&lt;=0.4,"Baja",IF(Z11&lt;=0.6,"Media",IF(Z11&lt;=0.8,"Alta","Muy Alta"))))),"")</f>
        <v>Media</v>
      </c>
      <c r="AB11" s="278">
        <f>+Z11</f>
        <v>0.6</v>
      </c>
      <c r="AC11" s="280" t="str">
        <f>IFERROR(IF(AD11="","",IF(AD11&lt;=0.2,"Leve",IF(AD11&lt;=0.4,"Menor",IF(AD11&lt;=0.6,"Moderado",IF(AD11&lt;=0.8,"Mayor","Catastrófico"))))),"")</f>
        <v>Moderado</v>
      </c>
      <c r="AD11" s="278">
        <f>IFERROR(IF(S11="Impacto",(O11-(+O11*V11)),IF(S11="Probabilidad",O11,"")),"")</f>
        <v>0.44999999999999996</v>
      </c>
      <c r="AE11" s="281"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Moderado</v>
      </c>
      <c r="AF11" s="277" t="s">
        <v>30</v>
      </c>
      <c r="AG11" s="282" t="s">
        <v>633</v>
      </c>
      <c r="AH11" s="282"/>
      <c r="AI11" s="283" t="s">
        <v>568</v>
      </c>
      <c r="AJ11" s="284"/>
      <c r="AK11" s="284">
        <v>45015</v>
      </c>
      <c r="AL11" s="284"/>
      <c r="AM11" s="282"/>
      <c r="AN11" s="285" t="s">
        <v>41</v>
      </c>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1"/>
    </row>
    <row r="12" spans="1:74" s="289" customFormat="1" ht="60" customHeight="1" x14ac:dyDescent="0.2">
      <c r="A12" s="559"/>
      <c r="B12" s="784"/>
      <c r="C12" s="558"/>
      <c r="D12" s="667"/>
      <c r="E12" s="667"/>
      <c r="F12" s="667"/>
      <c r="G12" s="560"/>
      <c r="H12" s="558"/>
      <c r="I12" s="556"/>
      <c r="J12" s="557"/>
      <c r="K12" s="554"/>
      <c r="L12" s="558"/>
      <c r="M12" s="554">
        <f ca="1">IF(NOT(ISERROR(MATCH(L12,_xlfn.ANCHORARRAY(G15),0))),#REF!&amp;"Por favor no seleccionar los criterios de impacto",L12)</f>
        <v>0</v>
      </c>
      <c r="N12" s="557"/>
      <c r="O12" s="554"/>
      <c r="P12" s="555"/>
      <c r="Q12" s="274">
        <v>2</v>
      </c>
      <c r="R12" s="275"/>
      <c r="S12" s="276" t="str">
        <f t="shared" ref="S12:S30" si="1">IF(OR(T12="Preventivo",T12="Detectivo"),"Probabilidad",IF(T12="Correctivo","Impacto",""))</f>
        <v/>
      </c>
      <c r="T12" s="277"/>
      <c r="U12" s="277"/>
      <c r="V12" s="278" t="str">
        <f t="shared" ref="V12" si="2">IF(AND(T12="Preventivo",U12="Automático"),"50%",IF(AND(T12="Preventivo",U12="Manual"),"40%",IF(AND(T12="Detectivo",U12="Automático"),"40%",IF(AND(T12="Detectivo",U12="Manual"),"30%",IF(AND(T12="Correctivo",U12="Automático"),"35%",IF(AND(T12="Correctivo",U12="Manual"),"25%",""))))))</f>
        <v/>
      </c>
      <c r="W12" s="277"/>
      <c r="X12" s="277"/>
      <c r="Y12" s="277"/>
      <c r="Z12" s="279" t="str">
        <f>IFERROR(IF(AND(S11="Probabilidad",S12="Probabilidad"),(AB11-(+AB11*V12)),IF(S12="Probabilidad",(K11-(+K11*V12)),IF(S12="Impacto",AB11,""))),"")</f>
        <v/>
      </c>
      <c r="AA12" s="280" t="str">
        <f t="shared" ref="AA12:AA30" si="3">IFERROR(IF(Z12="","",IF(Z12&lt;=0.2,"Muy Baja",IF(Z12&lt;=0.4,"Baja",IF(Z12&lt;=0.6,"Media",IF(Z12&lt;=0.8,"Alta","Muy Alta"))))),"")</f>
        <v/>
      </c>
      <c r="AB12" s="278" t="str">
        <f t="shared" ref="AB12" si="4">+Z12</f>
        <v/>
      </c>
      <c r="AC12" s="280" t="str">
        <f t="shared" ref="AC12:AC30" si="5">IFERROR(IF(AD12="","",IF(AD12&lt;=0.2,"Leve",IF(AD12&lt;=0.4,"Menor",IF(AD12&lt;=0.6,"Moderado",IF(AD12&lt;=0.8,"Mayor","Catastrófico"))))),"")</f>
        <v/>
      </c>
      <c r="AD12" s="278" t="str">
        <f>IFERROR(IF(AND(S11="Impacto",S12="Impacto"),(AD11-(+AD11*V12)),IF(S12="Impacto",($O$11-(+$O$11*V12)),IF(S12="Probabilidad",AD11,""))),"")</f>
        <v/>
      </c>
      <c r="AE12" s="281" t="str">
        <f t="shared" ref="AE12" si="6">IFERROR(IF(OR(AND(AA12="Muy Baja",AC12="Leve"),AND(AA12="Muy Baja",AC12="Menor"),AND(AA12="Baja",AC12="Leve")),"Bajo",IF(OR(AND(AA12="Muy baja",AC12="Moderado"),AND(AA12="Baja",AC12="Menor"),AND(AA12="Baja",AC12="Moderado"),AND(AA12="Media",AC12="Leve"),AND(AA12="Media",AC12="Menor"),AND(AA12="Media",AC12="Moderado"),AND(AA12="Alta",AC12="Leve"),AND(AA12="Alta",AC12="Menor")),"Moderado",IF(OR(AND(AA12="Muy Baja",AC12="Mayor"),AND(AA12="Baja",AC12="Mayor"),AND(AA12="Media",AC12="Mayor"),AND(AA12="Alta",AC12="Moderado"),AND(AA12="Alta",AC12="Mayor"),AND(AA12="Muy Alta",AC12="Leve"),AND(AA12="Muy Alta",AC12="Menor"),AND(AA12="Muy Alta",AC12="Moderado"),AND(AA12="Muy Alta",AC12="Mayor")),"Alto",IF(OR(AND(AA12="Muy Baja",AC12="Catastrófico"),AND(AA12="Baja",AC12="Catastrófico"),AND(AA12="Media",AC12="Catastrófico"),AND(AA12="Alta",AC12="Catastrófico"),AND(AA12="Muy Alta",AC12="Catastrófico")),"Extremo","")))),"")</f>
        <v/>
      </c>
      <c r="AF12" s="277"/>
      <c r="AG12" s="282"/>
      <c r="AH12" s="282"/>
      <c r="AI12" s="283"/>
      <c r="AJ12" s="284"/>
      <c r="AK12" s="284"/>
      <c r="AL12" s="284"/>
      <c r="AM12" s="282"/>
      <c r="AN12" s="285"/>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302"/>
    </row>
    <row r="13" spans="1:74" s="289" customFormat="1" ht="69" customHeight="1" x14ac:dyDescent="0.2">
      <c r="A13" s="559">
        <v>2</v>
      </c>
      <c r="B13" s="558"/>
      <c r="C13" s="558"/>
      <c r="D13" s="558"/>
      <c r="E13" s="666"/>
      <c r="F13" s="666"/>
      <c r="G13" s="560"/>
      <c r="H13" s="558"/>
      <c r="I13" s="556"/>
      <c r="J13" s="557" t="str">
        <f t="shared" ref="J13" si="7">IF(I13&lt;=0,"",IF(I13&lt;=2,"Muy Baja",IF(I13&lt;=24,"Baja",IF(I13&lt;=500,"Media",IF(I13&lt;=5000,"Alta","Muy Alta")))))</f>
        <v/>
      </c>
      <c r="K13" s="554" t="str">
        <f t="shared" ref="K13" si="8">IF(J13="","",IF(J13="Muy Baja",0.2,IF(J13="Baja",0.4,IF(J13="Media",0.6,IF(J13="Alta",0.8,IF(J13="Muy Alta",1,))))))</f>
        <v/>
      </c>
      <c r="L13" s="558"/>
      <c r="M13" s="554">
        <f>IF(NOT(ISERROR(MATCH(L13,'[2]Tabla Impacto'!$B$221:$B$223,0))),'[2]Tabla Impacto'!$F$223&amp;"Por favor no seleccionar los criterios de impacto(Afectación Económica o presupuestal y Pérdida Reputacional)",L13)</f>
        <v>0</v>
      </c>
      <c r="N13" s="557" t="str">
        <f t="shared" ref="N13" si="9">IF(L13&lt;=0,"",IF(L13&lt;=10,"Leve",IF(L13&lt;=50,"Menor",IF(L13&lt;=100,"Moderado",IF(L13&lt;=500,"Mayor","Catastrófico")))))</f>
        <v/>
      </c>
      <c r="O13" s="554" t="str">
        <f t="shared" ref="O13" si="10">IF(N13="","",IF(N13="Leve",0.2,IF(N13="Menor",0.4,IF(N13="Moderado",0.6,IF(N13="Mayor",0.8,IF(N13="Catastrófico",1,))))))</f>
        <v/>
      </c>
      <c r="P13" s="555" t="str">
        <f t="shared" ref="P13" si="11">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74">
        <v>1</v>
      </c>
      <c r="R13" s="275"/>
      <c r="S13" s="276" t="str">
        <f t="shared" si="1"/>
        <v/>
      </c>
      <c r="T13" s="277"/>
      <c r="U13" s="277"/>
      <c r="V13" s="278" t="str">
        <f>IF(AND(T13="Preventivo",U13="Automático"),"50%",IF(AND(T13="Preventivo",U13="Manual"),"40%",IF(AND(T13="Detectivo",U13="Automático"),"40%",IF(AND(T13="Detectivo",U13="Manual"),"30%",IF(AND(T13="Correctivo",U13="Automático"),"35%",IF(AND(T13="Correctivo",U13="Manual"),"25%",""))))))</f>
        <v/>
      </c>
      <c r="W13" s="277"/>
      <c r="X13" s="277"/>
      <c r="Y13" s="277"/>
      <c r="Z13" s="279" t="str">
        <f>IFERROR(IF(S13="Probabilidad",(K13-(+K13*V13)),IF(S13="Impacto",K13,"")),"")</f>
        <v/>
      </c>
      <c r="AA13" s="280" t="str">
        <f>IFERROR(IF(Z13="","",IF(Z13&lt;=0.2,"Muy Baja",IF(Z13&lt;=0.4,"Baja",IF(Z13&lt;=0.6,"Media",IF(Z13&lt;=0.8,"Alta","Muy Alta"))))),"")</f>
        <v/>
      </c>
      <c r="AB13" s="278" t="str">
        <f>+Z13</f>
        <v/>
      </c>
      <c r="AC13" s="280" t="str">
        <f>IFERROR(IF(AD13="","",IF(AD13&lt;=0.2,"Leve",IF(AD13&lt;=0.4,"Menor",IF(AD13&lt;=0.6,"Moderado",IF(AD13&lt;=0.8,"Mayor","Catastrófico"))))),"")</f>
        <v/>
      </c>
      <c r="AD13" s="278" t="str">
        <f>IFERROR(IF(S13="Impacto",(O13-(+O13*V13)),IF(S13="Probabilidad",O13,"")),"")</f>
        <v/>
      </c>
      <c r="AE13" s="281" t="str">
        <f>IFERROR(IF(OR(AND(AA13="Muy Baja",AC13="Leve"),AND(AA13="Muy Baja",AC13="Menor"),AND(AA13="Baja",AC13="Leve")),"Bajo",IF(OR(AND(AA13="Muy baja",AC13="Moderado"),AND(AA13="Baja",AC13="Menor"),AND(AA13="Baja",AC13="Moderado"),AND(AA13="Media",AC13="Leve"),AND(AA13="Media",AC13="Menor"),AND(AA13="Media",AC13="Moderado"),AND(AA13="Alta",AC13="Leve"),AND(AA13="Alta",AC13="Menor")),"Moderado",IF(OR(AND(AA13="Muy Baja",AC13="Mayor"),AND(AA13="Baja",AC13="Mayor"),AND(AA13="Media",AC13="Mayor"),AND(AA13="Alta",AC13="Moderado"),AND(AA13="Alta",AC13="Mayor"),AND(AA13="Muy Alta",AC13="Leve"),AND(AA13="Muy Alta",AC13="Menor"),AND(AA13="Muy Alta",AC13="Moderado"),AND(AA13="Muy Alta",AC13="Mayor")),"Alto",IF(OR(AND(AA13="Muy Baja",AC13="Catastrófico"),AND(AA13="Baja",AC13="Catastrófico"),AND(AA13="Media",AC13="Catastrófico"),AND(AA13="Alta",AC13="Catastrófico"),AND(AA13="Muy Alta",AC13="Catastrófico")),"Extremo","")))),"")</f>
        <v/>
      </c>
      <c r="AF13" s="277"/>
      <c r="AG13" s="282"/>
      <c r="AH13" s="282"/>
      <c r="AI13" s="283"/>
      <c r="AJ13" s="284"/>
      <c r="AK13" s="284"/>
      <c r="AL13" s="284"/>
      <c r="AM13" s="282"/>
      <c r="AN13" s="285"/>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302"/>
    </row>
    <row r="14" spans="1:74" s="289" customFormat="1" ht="69" customHeight="1" x14ac:dyDescent="0.2">
      <c r="A14" s="559"/>
      <c r="B14" s="558"/>
      <c r="C14" s="558"/>
      <c r="D14" s="558"/>
      <c r="E14" s="667"/>
      <c r="F14" s="667"/>
      <c r="G14" s="560"/>
      <c r="H14" s="558"/>
      <c r="I14" s="556"/>
      <c r="J14" s="557"/>
      <c r="K14" s="554"/>
      <c r="L14" s="558"/>
      <c r="M14" s="554">
        <f ca="1">IF(NOT(ISERROR(MATCH(L14,_xlfn.ANCHORARRAY(G17),0))),#REF!&amp;"Por favor no seleccionar los criterios de impacto",L14)</f>
        <v>0</v>
      </c>
      <c r="N14" s="557"/>
      <c r="O14" s="554"/>
      <c r="P14" s="555"/>
      <c r="Q14" s="274">
        <v>2</v>
      </c>
      <c r="R14" s="275"/>
      <c r="S14" s="276" t="str">
        <f t="shared" si="1"/>
        <v/>
      </c>
      <c r="T14" s="277"/>
      <c r="U14" s="277"/>
      <c r="V14" s="278" t="str">
        <f t="shared" ref="V14" si="12">IF(AND(T14="Preventivo",U14="Automático"),"50%",IF(AND(T14="Preventivo",U14="Manual"),"40%",IF(AND(T14="Detectivo",U14="Automático"),"40%",IF(AND(T14="Detectivo",U14="Manual"),"30%",IF(AND(T14="Correctivo",U14="Automático"),"35%",IF(AND(T14="Correctivo",U14="Manual"),"25%",""))))))</f>
        <v/>
      </c>
      <c r="W14" s="277"/>
      <c r="X14" s="277"/>
      <c r="Y14" s="277"/>
      <c r="Z14" s="279" t="str">
        <f>IFERROR(IF(AND(S13="Probabilidad",S14="Probabilidad"),(AB13-(+AB13*V14)),IF(S14="Probabilidad",(K13-(+K13*V14)),IF(S14="Impacto",AB13,""))),"")</f>
        <v/>
      </c>
      <c r="AA14" s="280" t="str">
        <f t="shared" si="3"/>
        <v/>
      </c>
      <c r="AB14" s="278" t="str">
        <f t="shared" ref="AB14" si="13">+Z14</f>
        <v/>
      </c>
      <c r="AC14" s="280" t="str">
        <f t="shared" si="5"/>
        <v/>
      </c>
      <c r="AD14" s="278" t="str">
        <f>IFERROR(IF(AND(S13="Impacto",S14="Impacto"),(AD11-(+AD11*V14)),IF(S14="Impacto",($O$13-(+$O$13*V14)),IF(S14="Probabilidad",AD11,""))),"")</f>
        <v/>
      </c>
      <c r="AE14" s="281" t="str">
        <f t="shared" ref="AE14" si="14">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277"/>
      <c r="AG14" s="282"/>
      <c r="AH14" s="282"/>
      <c r="AI14" s="283"/>
      <c r="AJ14" s="284"/>
      <c r="AK14" s="284"/>
      <c r="AL14" s="284"/>
      <c r="AM14" s="282"/>
      <c r="AN14" s="285"/>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302"/>
    </row>
    <row r="15" spans="1:74" s="289" customFormat="1" ht="69" customHeight="1" x14ac:dyDescent="0.2">
      <c r="A15" s="559">
        <v>3</v>
      </c>
      <c r="B15" s="558"/>
      <c r="C15" s="558"/>
      <c r="D15" s="558"/>
      <c r="E15" s="666"/>
      <c r="F15" s="666"/>
      <c r="G15" s="560"/>
      <c r="H15" s="558"/>
      <c r="I15" s="556"/>
      <c r="J15" s="557" t="str">
        <f t="shared" ref="J15" si="15">IF(I15&lt;=0,"",IF(I15&lt;=2,"Muy Baja",IF(I15&lt;=24,"Baja",IF(I15&lt;=500,"Media",IF(I15&lt;=5000,"Alta","Muy Alta")))))</f>
        <v/>
      </c>
      <c r="K15" s="554" t="str">
        <f t="shared" ref="K15" si="16">IF(J15="","",IF(J15="Muy Baja",0.2,IF(J15="Baja",0.4,IF(J15="Media",0.6,IF(J15="Alta",0.8,IF(J15="Muy Alta",1,))))))</f>
        <v/>
      </c>
      <c r="L15" s="558"/>
      <c r="M15" s="554">
        <f>IF(NOT(ISERROR(MATCH(L15,'[2]Tabla Impacto'!$B$221:$B$223,0))),'[2]Tabla Impacto'!$F$223&amp;"Por favor no seleccionar los criterios de impacto(Afectación Económica o presupuestal y Pérdida Reputacional)",L15)</f>
        <v>0</v>
      </c>
      <c r="N15" s="557" t="str">
        <f t="shared" ref="N15" si="17">IF(L15&lt;=0,"",IF(L15&lt;=10,"Leve",IF(L15&lt;=50,"Menor",IF(L15&lt;=100,"Moderado",IF(L15&lt;=500,"Mayor","Catastrófico")))))</f>
        <v/>
      </c>
      <c r="O15" s="554" t="str">
        <f t="shared" ref="O15" si="18">IF(N15="","",IF(N15="Leve",0.2,IF(N15="Menor",0.4,IF(N15="Moderado",0.6,IF(N15="Mayor",0.8,IF(N15="Catastrófico",1,))))))</f>
        <v/>
      </c>
      <c r="P15" s="555" t="str">
        <f t="shared" ref="P15" si="19">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274">
        <v>1</v>
      </c>
      <c r="R15" s="275"/>
      <c r="S15" s="276" t="str">
        <f t="shared" si="1"/>
        <v/>
      </c>
      <c r="T15" s="277"/>
      <c r="U15" s="277"/>
      <c r="V15" s="278" t="str">
        <f>IF(AND(T15="Preventivo",U15="Automático"),"50%",IF(AND(T15="Preventivo",U15="Manual"),"40%",IF(AND(T15="Detectivo",U15="Automático"),"40%",IF(AND(T15="Detectivo",U15="Manual"),"30%",IF(AND(T15="Correctivo",U15="Automático"),"35%",IF(AND(T15="Correctivo",U15="Manual"),"25%",""))))))</f>
        <v/>
      </c>
      <c r="W15" s="277"/>
      <c r="X15" s="277"/>
      <c r="Y15" s="277"/>
      <c r="Z15" s="279" t="str">
        <f>IFERROR(IF(S15="Probabilidad",(K15-(+K15*V15)),IF(S15="Impacto",K15,"")),"")</f>
        <v/>
      </c>
      <c r="AA15" s="280" t="str">
        <f>IFERROR(IF(Z15="","",IF(Z15&lt;=0.2,"Muy Baja",IF(Z15&lt;=0.4,"Baja",IF(Z15&lt;=0.6,"Media",IF(Z15&lt;=0.8,"Alta","Muy Alta"))))),"")</f>
        <v/>
      </c>
      <c r="AB15" s="278" t="str">
        <f>+Z15</f>
        <v/>
      </c>
      <c r="AC15" s="280" t="str">
        <f>IFERROR(IF(AD15="","",IF(AD15&lt;=0.2,"Leve",IF(AD15&lt;=0.4,"Menor",IF(AD15&lt;=0.6,"Moderado",IF(AD15&lt;=0.8,"Mayor","Catastrófico"))))),"")</f>
        <v/>
      </c>
      <c r="AD15" s="278" t="str">
        <f>IFERROR(IF(S15="Impacto",(O15-(+O15*V15)),IF(S15="Probabilidad",O15,"")),"")</f>
        <v/>
      </c>
      <c r="AE15" s="281" t="str">
        <f>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277"/>
      <c r="AG15" s="282"/>
      <c r="AH15" s="282"/>
      <c r="AI15" s="283"/>
      <c r="AJ15" s="284"/>
      <c r="AK15" s="284"/>
      <c r="AL15" s="284"/>
      <c r="AM15" s="282"/>
      <c r="AN15" s="285"/>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302"/>
    </row>
    <row r="16" spans="1:74" s="289" customFormat="1" ht="69" customHeight="1" x14ac:dyDescent="0.2">
      <c r="A16" s="559"/>
      <c r="B16" s="558"/>
      <c r="C16" s="558"/>
      <c r="D16" s="558"/>
      <c r="E16" s="667"/>
      <c r="F16" s="667"/>
      <c r="G16" s="560"/>
      <c r="H16" s="558"/>
      <c r="I16" s="556"/>
      <c r="J16" s="557"/>
      <c r="K16" s="554"/>
      <c r="L16" s="558"/>
      <c r="M16" s="554">
        <f ca="1">IF(NOT(ISERROR(MATCH(L16,_xlfn.ANCHORARRAY(G19),0))),#REF!&amp;"Por favor no seleccionar los criterios de impacto",L16)</f>
        <v>0</v>
      </c>
      <c r="N16" s="557"/>
      <c r="O16" s="554"/>
      <c r="P16" s="555"/>
      <c r="Q16" s="274">
        <v>2</v>
      </c>
      <c r="R16" s="275"/>
      <c r="S16" s="276" t="str">
        <f t="shared" si="1"/>
        <v/>
      </c>
      <c r="T16" s="277"/>
      <c r="U16" s="277"/>
      <c r="V16" s="278" t="str">
        <f t="shared" ref="V16" si="20">IF(AND(T16="Preventivo",U16="Automático"),"50%",IF(AND(T16="Preventivo",U16="Manual"),"40%",IF(AND(T16="Detectivo",U16="Automático"),"40%",IF(AND(T16="Detectivo",U16="Manual"),"30%",IF(AND(T16="Correctivo",U16="Automático"),"35%",IF(AND(T16="Correctivo",U16="Manual"),"25%",""))))))</f>
        <v/>
      </c>
      <c r="W16" s="277"/>
      <c r="X16" s="277"/>
      <c r="Y16" s="277"/>
      <c r="Z16" s="279" t="str">
        <f>IFERROR(IF(AND(S15="Probabilidad",S16="Probabilidad"),(AB15-(+AB15*V16)),IF(S16="Probabilidad",(K15-(+K15*V16)),IF(S16="Impacto",AB15,""))),"")</f>
        <v/>
      </c>
      <c r="AA16" s="280" t="str">
        <f t="shared" si="3"/>
        <v/>
      </c>
      <c r="AB16" s="278" t="str">
        <f t="shared" ref="AB16" si="21">+Z16</f>
        <v/>
      </c>
      <c r="AC16" s="280" t="str">
        <f t="shared" si="5"/>
        <v/>
      </c>
      <c r="AD16" s="278" t="str">
        <f>IFERROR(IF(AND(S15="Impacto",S16="Impacto"),(AD13-(+AD13*V16)),IF(S16="Impacto",($O$15-(+$O$15*V16)),IF(S16="Probabilidad",AD13,""))),"")</f>
        <v/>
      </c>
      <c r="AE16" s="281" t="str">
        <f t="shared" ref="AE16" si="22">IFERROR(IF(OR(AND(AA16="Muy Baja",AC16="Leve"),AND(AA16="Muy Baja",AC16="Menor"),AND(AA16="Baja",AC16="Leve")),"Bajo",IF(OR(AND(AA16="Muy baja",AC16="Moderado"),AND(AA16="Baja",AC16="Menor"),AND(AA16="Baja",AC16="Moderado"),AND(AA16="Media",AC16="Leve"),AND(AA16="Media",AC16="Menor"),AND(AA16="Media",AC16="Moderado"),AND(AA16="Alta",AC16="Leve"),AND(AA16="Alta",AC16="Menor")),"Moderado",IF(OR(AND(AA16="Muy Baja",AC16="Mayor"),AND(AA16="Baja",AC16="Mayor"),AND(AA16="Media",AC16="Mayor"),AND(AA16="Alta",AC16="Moderado"),AND(AA16="Alta",AC16="Mayor"),AND(AA16="Muy Alta",AC16="Leve"),AND(AA16="Muy Alta",AC16="Menor"),AND(AA16="Muy Alta",AC16="Moderado"),AND(AA16="Muy Alta",AC16="Mayor")),"Alto",IF(OR(AND(AA16="Muy Baja",AC16="Catastrófico"),AND(AA16="Baja",AC16="Catastrófico"),AND(AA16="Media",AC16="Catastrófico"),AND(AA16="Alta",AC16="Catastrófico"),AND(AA16="Muy Alta",AC16="Catastrófico")),"Extremo","")))),"")</f>
        <v/>
      </c>
      <c r="AF16" s="277"/>
      <c r="AG16" s="282"/>
      <c r="AH16" s="282"/>
      <c r="AI16" s="283"/>
      <c r="AJ16" s="284"/>
      <c r="AK16" s="284"/>
      <c r="AL16" s="284"/>
      <c r="AM16" s="282"/>
      <c r="AN16" s="285"/>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302"/>
    </row>
    <row r="17" spans="1:74" s="289" customFormat="1" ht="69" customHeight="1" x14ac:dyDescent="0.2">
      <c r="A17" s="559">
        <v>4</v>
      </c>
      <c r="B17" s="558"/>
      <c r="C17" s="558"/>
      <c r="D17" s="558"/>
      <c r="E17" s="666"/>
      <c r="F17" s="666"/>
      <c r="G17" s="560"/>
      <c r="H17" s="558"/>
      <c r="I17" s="556"/>
      <c r="J17" s="557" t="str">
        <f t="shared" ref="J17" si="23">IF(I17&lt;=0,"",IF(I17&lt;=2,"Muy Baja",IF(I17&lt;=24,"Baja",IF(I17&lt;=500,"Media",IF(I17&lt;=5000,"Alta","Muy Alta")))))</f>
        <v/>
      </c>
      <c r="K17" s="554" t="str">
        <f t="shared" ref="K17" si="24">IF(J17="","",IF(J17="Muy Baja",0.2,IF(J17="Baja",0.4,IF(J17="Media",0.6,IF(J17="Alta",0.8,IF(J17="Muy Alta",1,))))))</f>
        <v/>
      </c>
      <c r="L17" s="558"/>
      <c r="M17" s="554">
        <f>IF(NOT(ISERROR(MATCH(L17,'[2]Tabla Impacto'!$B$221:$B$223,0))),'[2]Tabla Impacto'!$F$223&amp;"Por favor no seleccionar los criterios de impacto(Afectación Económica o presupuestal y Pérdida Reputacional)",L17)</f>
        <v>0</v>
      </c>
      <c r="N17" s="557" t="str">
        <f t="shared" ref="N17" si="25">IF(L17&lt;=0,"",IF(L17&lt;=10,"Leve",IF(L17&lt;=50,"Menor",IF(L17&lt;=100,"Moderado",IF(L17&lt;=500,"Mayor","Catastrófico")))))</f>
        <v/>
      </c>
      <c r="O17" s="554" t="str">
        <f t="shared" ref="O17" si="26">IF(N17="","",IF(N17="Leve",0.2,IF(N17="Menor",0.4,IF(N17="Moderado",0.6,IF(N17="Mayor",0.8,IF(N17="Catastrófico",1,))))))</f>
        <v/>
      </c>
      <c r="P17" s="555" t="str">
        <f t="shared" ref="P17" si="27">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274">
        <v>1</v>
      </c>
      <c r="R17" s="275"/>
      <c r="S17" s="276" t="str">
        <f t="shared" si="1"/>
        <v/>
      </c>
      <c r="T17" s="277"/>
      <c r="U17" s="277"/>
      <c r="V17" s="278" t="str">
        <f>IF(AND(T17="Preventivo",U17="Automático"),"50%",IF(AND(T17="Preventivo",U17="Manual"),"40%",IF(AND(T17="Detectivo",U17="Automático"),"40%",IF(AND(T17="Detectivo",U17="Manual"),"30%",IF(AND(T17="Correctivo",U17="Automático"),"35%",IF(AND(T17="Correctivo",U17="Manual"),"25%",""))))))</f>
        <v/>
      </c>
      <c r="W17" s="277"/>
      <c r="X17" s="277"/>
      <c r="Y17" s="277"/>
      <c r="Z17" s="279" t="str">
        <f>IFERROR(IF(S17="Probabilidad",(K17-(+K17*V17)),IF(S17="Impacto",K17,"")),"")</f>
        <v/>
      </c>
      <c r="AA17" s="280" t="str">
        <f>IFERROR(IF(Z17="","",IF(Z17&lt;=0.2,"Muy Baja",IF(Z17&lt;=0.4,"Baja",IF(Z17&lt;=0.6,"Media",IF(Z17&lt;=0.8,"Alta","Muy Alta"))))),"")</f>
        <v/>
      </c>
      <c r="AB17" s="278" t="str">
        <f>+Z17</f>
        <v/>
      </c>
      <c r="AC17" s="280" t="str">
        <f>IFERROR(IF(AD17="","",IF(AD17&lt;=0.2,"Leve",IF(AD17&lt;=0.4,"Menor",IF(AD17&lt;=0.6,"Moderado",IF(AD17&lt;=0.8,"Mayor","Catastrófico"))))),"")</f>
        <v/>
      </c>
      <c r="AD17" s="278" t="str">
        <f>IFERROR(IF(S17="Impacto",(O17-(+O17*V17)),IF(S17="Probabilidad",O17,"")),"")</f>
        <v/>
      </c>
      <c r="AE17" s="281" t="str">
        <f>IFERROR(IF(OR(AND(AA17="Muy Baja",AC17="Leve"),AND(AA17="Muy Baja",AC17="Menor"),AND(AA17="Baja",AC17="Leve")),"Bajo",IF(OR(AND(AA17="Muy baja",AC17="Moderado"),AND(AA17="Baja",AC17="Menor"),AND(AA17="Baja",AC17="Moderado"),AND(AA17="Media",AC17="Leve"),AND(AA17="Media",AC17="Menor"),AND(AA17="Media",AC17="Moderado"),AND(AA17="Alta",AC17="Leve"),AND(AA17="Alta",AC17="Menor")),"Moderado",IF(OR(AND(AA17="Muy Baja",AC17="Mayor"),AND(AA17="Baja",AC17="Mayor"),AND(AA17="Media",AC17="Mayor"),AND(AA17="Alta",AC17="Moderado"),AND(AA17="Alta",AC17="Mayor"),AND(AA17="Muy Alta",AC17="Leve"),AND(AA17="Muy Alta",AC17="Menor"),AND(AA17="Muy Alta",AC17="Moderado"),AND(AA17="Muy Alta",AC17="Mayor")),"Alto",IF(OR(AND(AA17="Muy Baja",AC17="Catastrófico"),AND(AA17="Baja",AC17="Catastrófico"),AND(AA17="Media",AC17="Catastrófico"),AND(AA17="Alta",AC17="Catastrófico"),AND(AA17="Muy Alta",AC17="Catastrófico")),"Extremo","")))),"")</f>
        <v/>
      </c>
      <c r="AF17" s="277"/>
      <c r="AG17" s="282"/>
      <c r="AH17" s="282"/>
      <c r="AI17" s="283"/>
      <c r="AJ17" s="284"/>
      <c r="AK17" s="284"/>
      <c r="AL17" s="284"/>
      <c r="AM17" s="282"/>
      <c r="AN17" s="285"/>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302"/>
    </row>
    <row r="18" spans="1:74" s="289" customFormat="1" ht="69" customHeight="1" x14ac:dyDescent="0.2">
      <c r="A18" s="559"/>
      <c r="B18" s="558"/>
      <c r="C18" s="558"/>
      <c r="D18" s="558"/>
      <c r="E18" s="667"/>
      <c r="F18" s="667"/>
      <c r="G18" s="560"/>
      <c r="H18" s="558"/>
      <c r="I18" s="556"/>
      <c r="J18" s="557"/>
      <c r="K18" s="554"/>
      <c r="L18" s="558"/>
      <c r="M18" s="554">
        <f ca="1">IF(NOT(ISERROR(MATCH(L18,_xlfn.ANCHORARRAY(G21),0))),#REF!&amp;"Por favor no seleccionar los criterios de impacto",L18)</f>
        <v>0</v>
      </c>
      <c r="N18" s="557"/>
      <c r="O18" s="554"/>
      <c r="P18" s="555"/>
      <c r="Q18" s="274">
        <v>2</v>
      </c>
      <c r="R18" s="275"/>
      <c r="S18" s="276" t="str">
        <f t="shared" si="1"/>
        <v/>
      </c>
      <c r="T18" s="277"/>
      <c r="U18" s="277"/>
      <c r="V18" s="278" t="str">
        <f t="shared" ref="V18" si="28">IF(AND(T18="Preventivo",U18="Automático"),"50%",IF(AND(T18="Preventivo",U18="Manual"),"40%",IF(AND(T18="Detectivo",U18="Automático"),"40%",IF(AND(T18="Detectivo",U18="Manual"),"30%",IF(AND(T18="Correctivo",U18="Automático"),"35%",IF(AND(T18="Correctivo",U18="Manual"),"25%",""))))))</f>
        <v/>
      </c>
      <c r="W18" s="277"/>
      <c r="X18" s="277"/>
      <c r="Y18" s="277"/>
      <c r="Z18" s="279" t="str">
        <f>IFERROR(IF(AND(S17="Probabilidad",S18="Probabilidad"),(AB17-(+AB17*V18)),IF(S18="Probabilidad",(K17-(+K17*V18)),IF(S18="Impacto",AB17,""))),"")</f>
        <v/>
      </c>
      <c r="AA18" s="280" t="str">
        <f t="shared" si="3"/>
        <v/>
      </c>
      <c r="AB18" s="278" t="str">
        <f t="shared" ref="AB18" si="29">+Z18</f>
        <v/>
      </c>
      <c r="AC18" s="280" t="str">
        <f t="shared" si="5"/>
        <v/>
      </c>
      <c r="AD18" s="278" t="str">
        <f>IFERROR(IF(AND(S17="Impacto",S18="Impacto"),(AD15-(+AD15*V18)),IF(S18="Impacto",($O$17-(+$O$17*V18)),IF(S18="Probabilidad",AD15,""))),"")</f>
        <v/>
      </c>
      <c r="AE18" s="281" t="str">
        <f t="shared" ref="AE18" si="30">IFERROR(IF(OR(AND(AA18="Muy Baja",AC18="Leve"),AND(AA18="Muy Baja",AC18="Menor"),AND(AA18="Baja",AC18="Leve")),"Bajo",IF(OR(AND(AA18="Muy baja",AC18="Moderado"),AND(AA18="Baja",AC18="Menor"),AND(AA18="Baja",AC18="Moderado"),AND(AA18="Media",AC18="Leve"),AND(AA18="Media",AC18="Menor"),AND(AA18="Media",AC18="Moderado"),AND(AA18="Alta",AC18="Leve"),AND(AA18="Alta",AC18="Menor")),"Moderado",IF(OR(AND(AA18="Muy Baja",AC18="Mayor"),AND(AA18="Baja",AC18="Mayor"),AND(AA18="Media",AC18="Mayor"),AND(AA18="Alta",AC18="Moderado"),AND(AA18="Alta",AC18="Mayor"),AND(AA18="Muy Alta",AC18="Leve"),AND(AA18="Muy Alta",AC18="Menor"),AND(AA18="Muy Alta",AC18="Moderado"),AND(AA18="Muy Alta",AC18="Mayor")),"Alto",IF(OR(AND(AA18="Muy Baja",AC18="Catastrófico"),AND(AA18="Baja",AC18="Catastrófico"),AND(AA18="Media",AC18="Catastrófico"),AND(AA18="Alta",AC18="Catastrófico"),AND(AA18="Muy Alta",AC18="Catastrófico")),"Extremo","")))),"")</f>
        <v/>
      </c>
      <c r="AF18" s="277"/>
      <c r="AG18" s="282"/>
      <c r="AH18" s="282"/>
      <c r="AI18" s="283"/>
      <c r="AJ18" s="284"/>
      <c r="AK18" s="284"/>
      <c r="AL18" s="284"/>
      <c r="AM18" s="282"/>
      <c r="AN18" s="285"/>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302"/>
    </row>
    <row r="19" spans="1:74" s="289" customFormat="1" ht="69" customHeight="1" x14ac:dyDescent="0.2">
      <c r="A19" s="559">
        <v>5</v>
      </c>
      <c r="B19" s="558"/>
      <c r="C19" s="558"/>
      <c r="D19" s="558"/>
      <c r="E19" s="666"/>
      <c r="F19" s="666"/>
      <c r="G19" s="560"/>
      <c r="H19" s="558"/>
      <c r="I19" s="556"/>
      <c r="J19" s="557" t="str">
        <f t="shared" ref="J19" si="31">IF(I19&lt;=0,"",IF(I19&lt;=2,"Muy Baja",IF(I19&lt;=24,"Baja",IF(I19&lt;=500,"Media",IF(I19&lt;=5000,"Alta","Muy Alta")))))</f>
        <v/>
      </c>
      <c r="K19" s="554" t="str">
        <f t="shared" ref="K19" si="32">IF(J19="","",IF(J19="Muy Baja",0.2,IF(J19="Baja",0.4,IF(J19="Media",0.6,IF(J19="Alta",0.8,IF(J19="Muy Alta",1,))))))</f>
        <v/>
      </c>
      <c r="L19" s="558"/>
      <c r="M19" s="554">
        <f>IF(NOT(ISERROR(MATCH(L19,'[2]Tabla Impacto'!$B$221:$B$223,0))),'[2]Tabla Impacto'!$F$223&amp;"Por favor no seleccionar los criterios de impacto(Afectación Económica o presupuestal y Pérdida Reputacional)",L19)</f>
        <v>0</v>
      </c>
      <c r="N19" s="557" t="str">
        <f t="shared" ref="N19" si="33">IF(L19&lt;=0,"",IF(L19&lt;=10,"Leve",IF(L19&lt;=50,"Menor",IF(L19&lt;=100,"Moderado",IF(L19&lt;=500,"Mayor","Catastrófico")))))</f>
        <v/>
      </c>
      <c r="O19" s="554" t="str">
        <f t="shared" ref="O19" si="34">IF(N19="","",IF(N19="Leve",0.2,IF(N19="Menor",0.4,IF(N19="Moderado",0.6,IF(N19="Mayor",0.8,IF(N19="Catastrófico",1,))))))</f>
        <v/>
      </c>
      <c r="P19" s="555" t="str">
        <f t="shared" ref="P19" si="35">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74">
        <v>1</v>
      </c>
      <c r="R19" s="275"/>
      <c r="S19" s="276" t="str">
        <f t="shared" si="1"/>
        <v/>
      </c>
      <c r="T19" s="277"/>
      <c r="U19" s="277"/>
      <c r="V19" s="278" t="str">
        <f>IF(AND(T19="Preventivo",U19="Automático"),"50%",IF(AND(T19="Preventivo",U19="Manual"),"40%",IF(AND(T19="Detectivo",U19="Automático"),"40%",IF(AND(T19="Detectivo",U19="Manual"),"30%",IF(AND(T19="Correctivo",U19="Automático"),"35%",IF(AND(T19="Correctivo",U19="Manual"),"25%",""))))))</f>
        <v/>
      </c>
      <c r="W19" s="277"/>
      <c r="X19" s="277"/>
      <c r="Y19" s="277"/>
      <c r="Z19" s="279" t="str">
        <f>IFERROR(IF(S19="Probabilidad",(K19-(+K19*V19)),IF(S19="Impacto",K19,"")),"")</f>
        <v/>
      </c>
      <c r="AA19" s="280" t="str">
        <f>IFERROR(IF(Z19="","",IF(Z19&lt;=0.2,"Muy Baja",IF(Z19&lt;=0.4,"Baja",IF(Z19&lt;=0.6,"Media",IF(Z19&lt;=0.8,"Alta","Muy Alta"))))),"")</f>
        <v/>
      </c>
      <c r="AB19" s="278" t="str">
        <f>+Z19</f>
        <v/>
      </c>
      <c r="AC19" s="280" t="str">
        <f>IFERROR(IF(AD19="","",IF(AD19&lt;=0.2,"Leve",IF(AD19&lt;=0.4,"Menor",IF(AD19&lt;=0.6,"Moderado",IF(AD19&lt;=0.8,"Mayor","Catastrófico"))))),"")</f>
        <v/>
      </c>
      <c r="AD19" s="278" t="str">
        <f>IFERROR(IF(S19="Impacto",(O19-(+O19*V19)),IF(S19="Probabilidad",O19,"")),"")</f>
        <v/>
      </c>
      <c r="AE19" s="281"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277"/>
      <c r="AG19" s="282"/>
      <c r="AH19" s="282"/>
      <c r="AI19" s="283"/>
      <c r="AJ19" s="284"/>
      <c r="AK19" s="284"/>
      <c r="AL19" s="284"/>
      <c r="AM19" s="282"/>
      <c r="AN19" s="285"/>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302"/>
    </row>
    <row r="20" spans="1:74" s="289" customFormat="1" ht="69" customHeight="1" x14ac:dyDescent="0.2">
      <c r="A20" s="559"/>
      <c r="B20" s="558"/>
      <c r="C20" s="558"/>
      <c r="D20" s="558"/>
      <c r="E20" s="667"/>
      <c r="F20" s="667"/>
      <c r="G20" s="560"/>
      <c r="H20" s="558"/>
      <c r="I20" s="556"/>
      <c r="J20" s="557"/>
      <c r="K20" s="554"/>
      <c r="L20" s="558"/>
      <c r="M20" s="554">
        <f ca="1">IF(NOT(ISERROR(MATCH(L20,_xlfn.ANCHORARRAY(G23),0))),#REF!&amp;"Por favor no seleccionar los criterios de impacto",L20)</f>
        <v>0</v>
      </c>
      <c r="N20" s="557"/>
      <c r="O20" s="554"/>
      <c r="P20" s="555"/>
      <c r="Q20" s="274">
        <v>2</v>
      </c>
      <c r="R20" s="275"/>
      <c r="S20" s="276" t="str">
        <f t="shared" si="1"/>
        <v/>
      </c>
      <c r="T20" s="277"/>
      <c r="U20" s="277"/>
      <c r="V20" s="278" t="str">
        <f t="shared" ref="V20" si="36">IF(AND(T20="Preventivo",U20="Automático"),"50%",IF(AND(T20="Preventivo",U20="Manual"),"40%",IF(AND(T20="Detectivo",U20="Automático"),"40%",IF(AND(T20="Detectivo",U20="Manual"),"30%",IF(AND(T20="Correctivo",U20="Automático"),"35%",IF(AND(T20="Correctivo",U20="Manual"),"25%",""))))))</f>
        <v/>
      </c>
      <c r="W20" s="277"/>
      <c r="X20" s="277"/>
      <c r="Y20" s="277"/>
      <c r="Z20" s="279" t="str">
        <f>IFERROR(IF(AND(S19="Probabilidad",S20="Probabilidad"),(AB19-(+AB19*V20)),IF(S20="Probabilidad",(K19-(+K19*V20)),IF(S20="Impacto",AB19,""))),"")</f>
        <v/>
      </c>
      <c r="AA20" s="280" t="str">
        <f t="shared" si="3"/>
        <v/>
      </c>
      <c r="AB20" s="278" t="str">
        <f t="shared" ref="AB20" si="37">+Z20</f>
        <v/>
      </c>
      <c r="AC20" s="280" t="str">
        <f t="shared" si="5"/>
        <v/>
      </c>
      <c r="AD20" s="278" t="str">
        <f>IFERROR(IF(AND(S19="Impacto",S20="Impacto"),(AD17-(+AD17*V20)),IF(S20="Impacto",($O$19-(+$O$19*V20)),IF(S20="Probabilidad",AD17,""))),"")</f>
        <v/>
      </c>
      <c r="AE20" s="281" t="str">
        <f t="shared" ref="AE20" si="38">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277"/>
      <c r="AG20" s="282"/>
      <c r="AH20" s="282"/>
      <c r="AI20" s="283"/>
      <c r="AJ20" s="284"/>
      <c r="AK20" s="284"/>
      <c r="AL20" s="284"/>
      <c r="AM20" s="282"/>
      <c r="AN20" s="285"/>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302"/>
    </row>
    <row r="21" spans="1:74" s="289" customFormat="1" ht="69" customHeight="1" x14ac:dyDescent="0.2">
      <c r="A21" s="559">
        <v>6</v>
      </c>
      <c r="B21" s="558"/>
      <c r="C21" s="558"/>
      <c r="D21" s="558"/>
      <c r="E21" s="282"/>
      <c r="F21" s="282"/>
      <c r="G21" s="560"/>
      <c r="H21" s="558"/>
      <c r="I21" s="556"/>
      <c r="J21" s="557" t="str">
        <f t="shared" ref="J21" si="39">IF(I21&lt;=0,"",IF(I21&lt;=2,"Muy Baja",IF(I21&lt;=24,"Baja",IF(I21&lt;=500,"Media",IF(I21&lt;=5000,"Alta","Muy Alta")))))</f>
        <v/>
      </c>
      <c r="K21" s="554" t="str">
        <f t="shared" ref="K21" si="40">IF(J21="","",IF(J21="Muy Baja",0.2,IF(J21="Baja",0.4,IF(J21="Media",0.6,IF(J21="Alta",0.8,IF(J21="Muy Alta",1,))))))</f>
        <v/>
      </c>
      <c r="L21" s="558"/>
      <c r="M21" s="554">
        <f>IF(NOT(ISERROR(MATCH(L21,'[2]Tabla Impacto'!$B$221:$B$223,0))),'[2]Tabla Impacto'!$F$223&amp;"Por favor no seleccionar los criterios de impacto(Afectación Económica o presupuestal y Pérdida Reputacional)",L21)</f>
        <v>0</v>
      </c>
      <c r="N21" s="557" t="str">
        <f t="shared" ref="N21" si="41">IF(L21&lt;=0,"",IF(L21&lt;=10,"Leve",IF(L21&lt;=50,"Menor",IF(L21&lt;=100,"Moderado",IF(L21&lt;=500,"Mayor","Catastrófico")))))</f>
        <v/>
      </c>
      <c r="O21" s="554" t="str">
        <f t="shared" ref="O21" si="42">IF(N21="","",IF(N21="Leve",0.2,IF(N21="Menor",0.4,IF(N21="Moderado",0.6,IF(N21="Mayor",0.8,IF(N21="Catastrófico",1,))))))</f>
        <v/>
      </c>
      <c r="P21" s="555" t="str">
        <f t="shared" ref="P21" si="43">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274">
        <v>1</v>
      </c>
      <c r="R21" s="275"/>
      <c r="S21" s="276" t="str">
        <f t="shared" si="1"/>
        <v/>
      </c>
      <c r="T21" s="277"/>
      <c r="U21" s="277"/>
      <c r="V21" s="278" t="str">
        <f>IF(AND(T21="Preventivo",U21="Automático"),"50%",IF(AND(T21="Preventivo",U21="Manual"),"40%",IF(AND(T21="Detectivo",U21="Automático"),"40%",IF(AND(T21="Detectivo",U21="Manual"),"30%",IF(AND(T21="Correctivo",U21="Automático"),"35%",IF(AND(T21="Correctivo",U21="Manual"),"25%",""))))))</f>
        <v/>
      </c>
      <c r="W21" s="277"/>
      <c r="X21" s="277"/>
      <c r="Y21" s="277"/>
      <c r="Z21" s="279" t="str">
        <f>IFERROR(IF(S21="Probabilidad",(K21-(+K21*V21)),IF(S21="Impacto",K21,"")),"")</f>
        <v/>
      </c>
      <c r="AA21" s="280" t="str">
        <f>IFERROR(IF(Z21="","",IF(Z21&lt;=0.2,"Muy Baja",IF(Z21&lt;=0.4,"Baja",IF(Z21&lt;=0.6,"Media",IF(Z21&lt;=0.8,"Alta","Muy Alta"))))),"")</f>
        <v/>
      </c>
      <c r="AB21" s="278" t="str">
        <f>+Z21</f>
        <v/>
      </c>
      <c r="AC21" s="280" t="str">
        <f>IFERROR(IF(AD21="","",IF(AD21&lt;=0.2,"Leve",IF(AD21&lt;=0.4,"Menor",IF(AD21&lt;=0.6,"Moderado",IF(AD21&lt;=0.8,"Mayor","Catastrófico"))))),"")</f>
        <v/>
      </c>
      <c r="AD21" s="278" t="str">
        <f>IFERROR(IF(S21="Impacto",(O21-(+O21*V21)),IF(S21="Probabilidad",O21,"")),"")</f>
        <v/>
      </c>
      <c r="AE21" s="281" t="str">
        <f>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277"/>
      <c r="AG21" s="282"/>
      <c r="AH21" s="282"/>
      <c r="AI21" s="283"/>
      <c r="AJ21" s="284"/>
      <c r="AK21" s="284"/>
      <c r="AL21" s="284"/>
      <c r="AM21" s="282"/>
      <c r="AN21" s="285"/>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302"/>
    </row>
    <row r="22" spans="1:74" s="289" customFormat="1" ht="69" customHeight="1" x14ac:dyDescent="0.2">
      <c r="A22" s="559"/>
      <c r="B22" s="558"/>
      <c r="C22" s="558"/>
      <c r="D22" s="558"/>
      <c r="E22" s="282"/>
      <c r="F22" s="282"/>
      <c r="G22" s="560"/>
      <c r="H22" s="558"/>
      <c r="I22" s="556"/>
      <c r="J22" s="557"/>
      <c r="K22" s="554"/>
      <c r="L22" s="558"/>
      <c r="M22" s="554">
        <f ca="1">IF(NOT(ISERROR(MATCH(L22,_xlfn.ANCHORARRAY(G25),0))),#REF!&amp;"Por favor no seleccionar los criterios de impacto",L22)</f>
        <v>0</v>
      </c>
      <c r="N22" s="557"/>
      <c r="O22" s="554"/>
      <c r="P22" s="555"/>
      <c r="Q22" s="274">
        <v>2</v>
      </c>
      <c r="R22" s="275"/>
      <c r="S22" s="276" t="str">
        <f t="shared" si="1"/>
        <v/>
      </c>
      <c r="T22" s="277"/>
      <c r="U22" s="277"/>
      <c r="V22" s="278" t="str">
        <f t="shared" ref="V22" si="44">IF(AND(T22="Preventivo",U22="Automático"),"50%",IF(AND(T22="Preventivo",U22="Manual"),"40%",IF(AND(T22="Detectivo",U22="Automático"),"40%",IF(AND(T22="Detectivo",U22="Manual"),"30%",IF(AND(T22="Correctivo",U22="Automático"),"35%",IF(AND(T22="Correctivo",U22="Manual"),"25%",""))))))</f>
        <v/>
      </c>
      <c r="W22" s="277"/>
      <c r="X22" s="277"/>
      <c r="Y22" s="277"/>
      <c r="Z22" s="279" t="str">
        <f>IFERROR(IF(AND(S21="Probabilidad",S22="Probabilidad"),(AB21-(+AB21*V22)),IF(S22="Probabilidad",(K21-(+K21*V22)),IF(S22="Impacto",AB21,""))),"")</f>
        <v/>
      </c>
      <c r="AA22" s="280" t="str">
        <f t="shared" si="3"/>
        <v/>
      </c>
      <c r="AB22" s="278" t="str">
        <f t="shared" ref="AB22" si="45">+Z22</f>
        <v/>
      </c>
      <c r="AC22" s="280" t="str">
        <f t="shared" si="5"/>
        <v/>
      </c>
      <c r="AD22" s="278" t="str">
        <f>IFERROR(IF(AND(S21="Impacto",S22="Impacto"),(AD19-(+AD19*V22)),IF(S22="Impacto",($O$21-(+$O$21*V22)),IF(S22="Probabilidad",AD19,""))),"")</f>
        <v/>
      </c>
      <c r="AE22" s="281" t="str">
        <f t="shared" ref="AE22" si="46">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277"/>
      <c r="AG22" s="282"/>
      <c r="AH22" s="282"/>
      <c r="AI22" s="283"/>
      <c r="AJ22" s="284"/>
      <c r="AK22" s="284"/>
      <c r="AL22" s="284"/>
      <c r="AM22" s="282"/>
      <c r="AN22" s="285"/>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302"/>
    </row>
    <row r="23" spans="1:74" s="289" customFormat="1" ht="69" customHeight="1" x14ac:dyDescent="0.2">
      <c r="A23" s="559">
        <v>7</v>
      </c>
      <c r="B23" s="558"/>
      <c r="C23" s="558"/>
      <c r="D23" s="558"/>
      <c r="E23" s="282"/>
      <c r="F23" s="282"/>
      <c r="G23" s="560"/>
      <c r="H23" s="558"/>
      <c r="I23" s="556"/>
      <c r="J23" s="557" t="str">
        <f t="shared" ref="J23" si="47">IF(I23&lt;=0,"",IF(I23&lt;=2,"Muy Baja",IF(I23&lt;=24,"Baja",IF(I23&lt;=500,"Media",IF(I23&lt;=5000,"Alta","Muy Alta")))))</f>
        <v/>
      </c>
      <c r="K23" s="554" t="str">
        <f t="shared" ref="K23" si="48">IF(J23="","",IF(J23="Muy Baja",0.2,IF(J23="Baja",0.4,IF(J23="Media",0.6,IF(J23="Alta",0.8,IF(J23="Muy Alta",1,))))))</f>
        <v/>
      </c>
      <c r="L23" s="558"/>
      <c r="M23" s="554">
        <f>IF(NOT(ISERROR(MATCH(L23,'[2]Tabla Impacto'!$B$221:$B$223,0))),'[2]Tabla Impacto'!$F$223&amp;"Por favor no seleccionar los criterios de impacto(Afectación Económica o presupuestal y Pérdida Reputacional)",L23)</f>
        <v>0</v>
      </c>
      <c r="N23" s="557" t="str">
        <f t="shared" ref="N23" si="49">IF(L23&lt;=0,"",IF(L23&lt;=10,"Leve",IF(L23&lt;=50,"Menor",IF(L23&lt;=100,"Moderado",IF(L23&lt;=500,"Mayor","Catastrófico")))))</f>
        <v/>
      </c>
      <c r="O23" s="554" t="str">
        <f t="shared" ref="O23" si="50">IF(N23="","",IF(N23="Leve",0.2,IF(N23="Menor",0.4,IF(N23="Moderado",0.6,IF(N23="Mayor",0.8,IF(N23="Catastrófico",1,))))))</f>
        <v/>
      </c>
      <c r="P23" s="555" t="str">
        <f t="shared" ref="P23" si="51">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274">
        <v>1</v>
      </c>
      <c r="R23" s="275"/>
      <c r="S23" s="276" t="str">
        <f t="shared" si="1"/>
        <v/>
      </c>
      <c r="T23" s="277"/>
      <c r="U23" s="277"/>
      <c r="V23" s="278" t="str">
        <f>IF(AND(T23="Preventivo",U23="Automático"),"50%",IF(AND(T23="Preventivo",U23="Manual"),"40%",IF(AND(T23="Detectivo",U23="Automático"),"40%",IF(AND(T23="Detectivo",U23="Manual"),"30%",IF(AND(T23="Correctivo",U23="Automático"),"35%",IF(AND(T23="Correctivo",U23="Manual"),"25%",""))))))</f>
        <v/>
      </c>
      <c r="W23" s="277"/>
      <c r="X23" s="277"/>
      <c r="Y23" s="277"/>
      <c r="Z23" s="279" t="str">
        <f>IFERROR(IF(S23="Probabilidad",(K23-(+K23*V23)),IF(S23="Impacto",K23,"")),"")</f>
        <v/>
      </c>
      <c r="AA23" s="280" t="str">
        <f>IFERROR(IF(Z23="","",IF(Z23&lt;=0.2,"Muy Baja",IF(Z23&lt;=0.4,"Baja",IF(Z23&lt;=0.6,"Media",IF(Z23&lt;=0.8,"Alta","Muy Alta"))))),"")</f>
        <v/>
      </c>
      <c r="AB23" s="278" t="str">
        <f>+Z23</f>
        <v/>
      </c>
      <c r="AC23" s="280" t="str">
        <f>IFERROR(IF(AD23="","",IF(AD23&lt;=0.2,"Leve",IF(AD23&lt;=0.4,"Menor",IF(AD23&lt;=0.6,"Moderado",IF(AD23&lt;=0.8,"Mayor","Catastrófico"))))),"")</f>
        <v/>
      </c>
      <c r="AD23" s="278" t="str">
        <f>IFERROR(IF(S23="Impacto",(O23-(+O23*V23)),IF(S23="Probabilidad",O23,"")),"")</f>
        <v/>
      </c>
      <c r="AE23" s="281" t="str">
        <f>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277"/>
      <c r="AG23" s="282"/>
      <c r="AH23" s="282"/>
      <c r="AI23" s="283"/>
      <c r="AJ23" s="284"/>
      <c r="AK23" s="284"/>
      <c r="AL23" s="284"/>
      <c r="AM23" s="282"/>
      <c r="AN23" s="285"/>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302"/>
    </row>
    <row r="24" spans="1:74" s="289" customFormat="1" ht="69" customHeight="1" x14ac:dyDescent="0.2">
      <c r="A24" s="559"/>
      <c r="B24" s="558"/>
      <c r="C24" s="558"/>
      <c r="D24" s="558"/>
      <c r="E24" s="282"/>
      <c r="F24" s="282"/>
      <c r="G24" s="560"/>
      <c r="H24" s="558"/>
      <c r="I24" s="556"/>
      <c r="J24" s="557"/>
      <c r="K24" s="554"/>
      <c r="L24" s="558"/>
      <c r="M24" s="554">
        <f ca="1">IF(NOT(ISERROR(MATCH(L24,_xlfn.ANCHORARRAY(G27),0))),#REF!&amp;"Por favor no seleccionar los criterios de impacto",L24)</f>
        <v>0</v>
      </c>
      <c r="N24" s="557"/>
      <c r="O24" s="554"/>
      <c r="P24" s="555"/>
      <c r="Q24" s="274">
        <v>2</v>
      </c>
      <c r="R24" s="275"/>
      <c r="S24" s="276" t="str">
        <f t="shared" si="1"/>
        <v/>
      </c>
      <c r="T24" s="277"/>
      <c r="U24" s="277"/>
      <c r="V24" s="278" t="str">
        <f t="shared" ref="V24" si="52">IF(AND(T24="Preventivo",U24="Automático"),"50%",IF(AND(T24="Preventivo",U24="Manual"),"40%",IF(AND(T24="Detectivo",U24="Automático"),"40%",IF(AND(T24="Detectivo",U24="Manual"),"30%",IF(AND(T24="Correctivo",U24="Automático"),"35%",IF(AND(T24="Correctivo",U24="Manual"),"25%",""))))))</f>
        <v/>
      </c>
      <c r="W24" s="277"/>
      <c r="X24" s="277"/>
      <c r="Y24" s="277"/>
      <c r="Z24" s="279" t="str">
        <f>IFERROR(IF(AND(S23="Probabilidad",S24="Probabilidad"),(AB23-(+AB23*V24)),IF(S24="Probabilidad",(K23-(+K23*V24)),IF(S24="Impacto",AB23,""))),"")</f>
        <v/>
      </c>
      <c r="AA24" s="280" t="str">
        <f t="shared" si="3"/>
        <v/>
      </c>
      <c r="AB24" s="278" t="str">
        <f t="shared" ref="AB24" si="53">+Z24</f>
        <v/>
      </c>
      <c r="AC24" s="280" t="str">
        <f t="shared" si="5"/>
        <v/>
      </c>
      <c r="AD24" s="278" t="str">
        <f>IFERROR(IF(AND(S23="Impacto",S24="Impacto"),(AD21-(+AD21*V24)),IF(S24="Impacto",($O$23-(+$O$23*V24)),IF(S24="Probabilidad",AD21,""))),"")</f>
        <v/>
      </c>
      <c r="AE24" s="281" t="str">
        <f t="shared" ref="AE24" si="54">IFERROR(IF(OR(AND(AA24="Muy Baja",AC24="Leve"),AND(AA24="Muy Baja",AC24="Menor"),AND(AA24="Baja",AC24="Leve")),"Bajo",IF(OR(AND(AA24="Muy baja",AC24="Moderado"),AND(AA24="Baja",AC24="Menor"),AND(AA24="Baja",AC24="Moderado"),AND(AA24="Media",AC24="Leve"),AND(AA24="Media",AC24="Menor"),AND(AA24="Media",AC24="Moderado"),AND(AA24="Alta",AC24="Leve"),AND(AA24="Alta",AC24="Menor")),"Moderado",IF(OR(AND(AA24="Muy Baja",AC24="Mayor"),AND(AA24="Baja",AC24="Mayor"),AND(AA24="Media",AC24="Mayor"),AND(AA24="Alta",AC24="Moderado"),AND(AA24="Alta",AC24="Mayor"),AND(AA24="Muy Alta",AC24="Leve"),AND(AA24="Muy Alta",AC24="Menor"),AND(AA24="Muy Alta",AC24="Moderado"),AND(AA24="Muy Alta",AC24="Mayor")),"Alto",IF(OR(AND(AA24="Muy Baja",AC24="Catastrófico"),AND(AA24="Baja",AC24="Catastrófico"),AND(AA24="Media",AC24="Catastrófico"),AND(AA24="Alta",AC24="Catastrófico"),AND(AA24="Muy Alta",AC24="Catastrófico")),"Extremo","")))),"")</f>
        <v/>
      </c>
      <c r="AF24" s="277"/>
      <c r="AG24" s="282"/>
      <c r="AH24" s="282"/>
      <c r="AI24" s="283"/>
      <c r="AJ24" s="284"/>
      <c r="AK24" s="284"/>
      <c r="AL24" s="284"/>
      <c r="AM24" s="282"/>
      <c r="AN24" s="285"/>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302"/>
    </row>
    <row r="25" spans="1:74" s="289" customFormat="1" ht="69" customHeight="1" x14ac:dyDescent="0.2">
      <c r="A25" s="559">
        <v>8</v>
      </c>
      <c r="B25" s="558"/>
      <c r="C25" s="558"/>
      <c r="D25" s="558"/>
      <c r="E25" s="282"/>
      <c r="F25" s="282"/>
      <c r="G25" s="560"/>
      <c r="H25" s="558"/>
      <c r="I25" s="556"/>
      <c r="J25" s="557" t="str">
        <f t="shared" ref="J25" si="55">IF(I25&lt;=0,"",IF(I25&lt;=2,"Muy Baja",IF(I25&lt;=24,"Baja",IF(I25&lt;=500,"Media",IF(I25&lt;=5000,"Alta","Muy Alta")))))</f>
        <v/>
      </c>
      <c r="K25" s="554" t="str">
        <f t="shared" ref="K25" si="56">IF(J25="","",IF(J25="Muy Baja",0.2,IF(J25="Baja",0.4,IF(J25="Media",0.6,IF(J25="Alta",0.8,IF(J25="Muy Alta",1,))))))</f>
        <v/>
      </c>
      <c r="L25" s="558"/>
      <c r="M25" s="554">
        <f>IF(NOT(ISERROR(MATCH(L25,'[2]Tabla Impacto'!$B$221:$B$223,0))),'[2]Tabla Impacto'!$F$223&amp;"Por favor no seleccionar los criterios de impacto(Afectación Económica o presupuestal y Pérdida Reputacional)",L25)</f>
        <v>0</v>
      </c>
      <c r="N25" s="557" t="str">
        <f t="shared" ref="N25" si="57">IF(L25&lt;=0,"",IF(L25&lt;=10,"Leve",IF(L25&lt;=50,"Menor",IF(L25&lt;=100,"Moderado",IF(L25&lt;=500,"Mayor","Catastrófico")))))</f>
        <v/>
      </c>
      <c r="O25" s="554" t="str">
        <f t="shared" ref="O25" si="58">IF(N25="","",IF(N25="Leve",0.2,IF(N25="Menor",0.4,IF(N25="Moderado",0.6,IF(N25="Mayor",0.8,IF(N25="Catastrófico",1,))))))</f>
        <v/>
      </c>
      <c r="P25" s="555" t="str">
        <f t="shared" ref="P25" si="59">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74">
        <v>1</v>
      </c>
      <c r="R25" s="275"/>
      <c r="S25" s="276" t="str">
        <f t="shared" si="1"/>
        <v/>
      </c>
      <c r="T25" s="277"/>
      <c r="U25" s="277"/>
      <c r="V25" s="278" t="str">
        <f>IF(AND(T25="Preventivo",U25="Automático"),"50%",IF(AND(T25="Preventivo",U25="Manual"),"40%",IF(AND(T25="Detectivo",U25="Automático"),"40%",IF(AND(T25="Detectivo",U25="Manual"),"30%",IF(AND(T25="Correctivo",U25="Automático"),"35%",IF(AND(T25="Correctivo",U25="Manual"),"25%",""))))))</f>
        <v/>
      </c>
      <c r="W25" s="277"/>
      <c r="X25" s="277"/>
      <c r="Y25" s="277"/>
      <c r="Z25" s="279" t="str">
        <f>IFERROR(IF(S25="Probabilidad",(K25-(+K25*V25)),IF(S25="Impacto",K25,"")),"")</f>
        <v/>
      </c>
      <c r="AA25" s="280" t="str">
        <f>IFERROR(IF(Z25="","",IF(Z25&lt;=0.2,"Muy Baja",IF(Z25&lt;=0.4,"Baja",IF(Z25&lt;=0.6,"Media",IF(Z25&lt;=0.8,"Alta","Muy Alta"))))),"")</f>
        <v/>
      </c>
      <c r="AB25" s="278" t="str">
        <f>+Z25</f>
        <v/>
      </c>
      <c r="AC25" s="280" t="str">
        <f>IFERROR(IF(AD25="","",IF(AD25&lt;=0.2,"Leve",IF(AD25&lt;=0.4,"Menor",IF(AD25&lt;=0.6,"Moderado",IF(AD25&lt;=0.8,"Mayor","Catastrófico"))))),"")</f>
        <v/>
      </c>
      <c r="AD25" s="278" t="str">
        <f>IFERROR(IF(S25="Impacto",(O25-(+O25*V25)),IF(S25="Probabilidad",O25,"")),"")</f>
        <v/>
      </c>
      <c r="AE25" s="281"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277"/>
      <c r="AG25" s="282"/>
      <c r="AH25" s="282"/>
      <c r="AI25" s="283"/>
      <c r="AJ25" s="284"/>
      <c r="AK25" s="284"/>
      <c r="AL25" s="284"/>
      <c r="AM25" s="282"/>
      <c r="AN25" s="285"/>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302"/>
    </row>
    <row r="26" spans="1:74" s="289" customFormat="1" ht="69" customHeight="1" x14ac:dyDescent="0.2">
      <c r="A26" s="559"/>
      <c r="B26" s="558"/>
      <c r="C26" s="558"/>
      <c r="D26" s="558"/>
      <c r="E26" s="282"/>
      <c r="F26" s="282"/>
      <c r="G26" s="560"/>
      <c r="H26" s="558"/>
      <c r="I26" s="556"/>
      <c r="J26" s="557"/>
      <c r="K26" s="554"/>
      <c r="L26" s="558"/>
      <c r="M26" s="554">
        <f ca="1">IF(NOT(ISERROR(MATCH(L26,_xlfn.ANCHORARRAY(G29),0))),#REF!&amp;"Por favor no seleccionar los criterios de impacto",L26)</f>
        <v>0</v>
      </c>
      <c r="N26" s="557"/>
      <c r="O26" s="554"/>
      <c r="P26" s="555"/>
      <c r="Q26" s="274">
        <v>2</v>
      </c>
      <c r="R26" s="275"/>
      <c r="S26" s="276" t="str">
        <f t="shared" si="1"/>
        <v/>
      </c>
      <c r="T26" s="277"/>
      <c r="U26" s="277"/>
      <c r="V26" s="278" t="str">
        <f t="shared" ref="V26" si="60">IF(AND(T26="Preventivo",U26="Automático"),"50%",IF(AND(T26="Preventivo",U26="Manual"),"40%",IF(AND(T26="Detectivo",U26="Automático"),"40%",IF(AND(T26="Detectivo",U26="Manual"),"30%",IF(AND(T26="Correctivo",U26="Automático"),"35%",IF(AND(T26="Correctivo",U26="Manual"),"25%",""))))))</f>
        <v/>
      </c>
      <c r="W26" s="277"/>
      <c r="X26" s="277"/>
      <c r="Y26" s="277"/>
      <c r="Z26" s="279" t="str">
        <f>IFERROR(IF(AND(S25="Probabilidad",S26="Probabilidad"),(AB25-(+AB25*V26)),IF(S26="Probabilidad",(K25-(+K25*V26)),IF(S26="Impacto",AB25,""))),"")</f>
        <v/>
      </c>
      <c r="AA26" s="280" t="str">
        <f t="shared" si="3"/>
        <v/>
      </c>
      <c r="AB26" s="278" t="str">
        <f t="shared" ref="AB26" si="61">+Z26</f>
        <v/>
      </c>
      <c r="AC26" s="280" t="str">
        <f t="shared" si="5"/>
        <v/>
      </c>
      <c r="AD26" s="278" t="str">
        <f>IFERROR(IF(AND(S25="Impacto",S26="Impacto"),(AD23-(+AD23*V26)),IF(S26="Impacto",($O$25-(+$O$25*V26)),IF(S26="Probabilidad",AD23,""))),"")</f>
        <v/>
      </c>
      <c r="AE26" s="281" t="str">
        <f t="shared" ref="AE26" si="62">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277"/>
      <c r="AG26" s="282"/>
      <c r="AH26" s="282"/>
      <c r="AI26" s="283"/>
      <c r="AJ26" s="284"/>
      <c r="AK26" s="284"/>
      <c r="AL26" s="284"/>
      <c r="AM26" s="282"/>
      <c r="AN26" s="285"/>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302"/>
    </row>
    <row r="27" spans="1:74" s="289" customFormat="1" ht="69" customHeight="1" x14ac:dyDescent="0.2">
      <c r="A27" s="559">
        <v>9</v>
      </c>
      <c r="B27" s="558"/>
      <c r="C27" s="558"/>
      <c r="D27" s="558"/>
      <c r="E27" s="666"/>
      <c r="F27" s="666"/>
      <c r="G27" s="560"/>
      <c r="H27" s="558"/>
      <c r="I27" s="556"/>
      <c r="J27" s="557" t="str">
        <f t="shared" ref="J27" si="63">IF(I27&lt;=0,"",IF(I27&lt;=2,"Muy Baja",IF(I27&lt;=24,"Baja",IF(I27&lt;=500,"Media",IF(I27&lt;=5000,"Alta","Muy Alta")))))</f>
        <v/>
      </c>
      <c r="K27" s="554" t="str">
        <f t="shared" ref="K27" si="64">IF(J27="","",IF(J27="Muy Baja",0.2,IF(J27="Baja",0.4,IF(J27="Media",0.6,IF(J27="Alta",0.8,IF(J27="Muy Alta",1,))))))</f>
        <v/>
      </c>
      <c r="L27" s="558"/>
      <c r="M27" s="554">
        <f>IF(NOT(ISERROR(MATCH(L27,'[2]Tabla Impacto'!$B$221:$B$223,0))),'[2]Tabla Impacto'!$F$223&amp;"Por favor no seleccionar los criterios de impacto(Afectación Económica o presupuestal y Pérdida Reputacional)",L27)</f>
        <v>0</v>
      </c>
      <c r="N27" s="557" t="str">
        <f t="shared" ref="N27" si="65">IF(L27&lt;=0,"",IF(L27&lt;=10,"Leve",IF(L27&lt;=50,"Menor",IF(L27&lt;=100,"Moderado",IF(L27&lt;=500,"Mayor","Catastrófico")))))</f>
        <v/>
      </c>
      <c r="O27" s="554" t="str">
        <f t="shared" ref="O27" si="66">IF(N27="","",IF(N27="Leve",0.2,IF(N27="Menor",0.4,IF(N27="Moderado",0.6,IF(N27="Mayor",0.8,IF(N27="Catastrófico",1,))))))</f>
        <v/>
      </c>
      <c r="P27" s="555" t="str">
        <f t="shared" ref="P27" si="67">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274">
        <v>1</v>
      </c>
      <c r="R27" s="275"/>
      <c r="S27" s="276" t="str">
        <f t="shared" si="1"/>
        <v/>
      </c>
      <c r="T27" s="277"/>
      <c r="U27" s="277"/>
      <c r="V27" s="278" t="str">
        <f>IF(AND(T27="Preventivo",U27="Automático"),"50%",IF(AND(T27="Preventivo",U27="Manual"),"40%",IF(AND(T27="Detectivo",U27="Automático"),"40%",IF(AND(T27="Detectivo",U27="Manual"),"30%",IF(AND(T27="Correctivo",U27="Automático"),"35%",IF(AND(T27="Correctivo",U27="Manual"),"25%",""))))))</f>
        <v/>
      </c>
      <c r="W27" s="277"/>
      <c r="X27" s="277"/>
      <c r="Y27" s="277"/>
      <c r="Z27" s="279" t="str">
        <f>IFERROR(IF(S27="Probabilidad",(K27-(+K27*V27)),IF(S27="Impacto",K27,"")),"")</f>
        <v/>
      </c>
      <c r="AA27" s="280" t="str">
        <f>IFERROR(IF(Z27="","",IF(Z27&lt;=0.2,"Muy Baja",IF(Z27&lt;=0.4,"Baja",IF(Z27&lt;=0.6,"Media",IF(Z27&lt;=0.8,"Alta","Muy Alta"))))),"")</f>
        <v/>
      </c>
      <c r="AB27" s="278" t="str">
        <f>+Z27</f>
        <v/>
      </c>
      <c r="AC27" s="280" t="str">
        <f>IFERROR(IF(AD27="","",IF(AD27&lt;=0.2,"Leve",IF(AD27&lt;=0.4,"Menor",IF(AD27&lt;=0.6,"Moderado",IF(AD27&lt;=0.8,"Mayor","Catastrófico"))))),"")</f>
        <v/>
      </c>
      <c r="AD27" s="278" t="str">
        <f>IFERROR(IF(S27="Impacto",(O27-(+O27*V27)),IF(S27="Probabilidad",O27,"")),"")</f>
        <v/>
      </c>
      <c r="AE27" s="281" t="str">
        <f>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277"/>
      <c r="AG27" s="282"/>
      <c r="AH27" s="282"/>
      <c r="AI27" s="283"/>
      <c r="AJ27" s="284"/>
      <c r="AK27" s="284"/>
      <c r="AL27" s="284"/>
      <c r="AM27" s="282"/>
      <c r="AN27" s="285"/>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302"/>
    </row>
    <row r="28" spans="1:74" s="289" customFormat="1" ht="69" customHeight="1" x14ac:dyDescent="0.2">
      <c r="A28" s="559"/>
      <c r="B28" s="558"/>
      <c r="C28" s="558"/>
      <c r="D28" s="558"/>
      <c r="E28" s="667"/>
      <c r="F28" s="667"/>
      <c r="G28" s="560"/>
      <c r="H28" s="558"/>
      <c r="I28" s="556"/>
      <c r="J28" s="557"/>
      <c r="K28" s="554"/>
      <c r="L28" s="558"/>
      <c r="M28" s="554">
        <f ca="1">IF(NOT(ISERROR(MATCH(L28,_xlfn.ANCHORARRAY(G31),0))),#REF!&amp;"Por favor no seleccionar los criterios de impacto",L28)</f>
        <v>0</v>
      </c>
      <c r="N28" s="557"/>
      <c r="O28" s="554"/>
      <c r="P28" s="555"/>
      <c r="Q28" s="274">
        <v>2</v>
      </c>
      <c r="R28" s="275"/>
      <c r="S28" s="276" t="str">
        <f t="shared" si="1"/>
        <v/>
      </c>
      <c r="T28" s="277"/>
      <c r="U28" s="277"/>
      <c r="V28" s="278" t="str">
        <f t="shared" ref="V28" si="68">IF(AND(T28="Preventivo",U28="Automático"),"50%",IF(AND(T28="Preventivo",U28="Manual"),"40%",IF(AND(T28="Detectivo",U28="Automático"),"40%",IF(AND(T28="Detectivo",U28="Manual"),"30%",IF(AND(T28="Correctivo",U28="Automático"),"35%",IF(AND(T28="Correctivo",U28="Manual"),"25%",""))))))</f>
        <v/>
      </c>
      <c r="W28" s="277"/>
      <c r="X28" s="277"/>
      <c r="Y28" s="277"/>
      <c r="Z28" s="279" t="str">
        <f>IFERROR(IF(AND(S27="Probabilidad",S28="Probabilidad"),(AB27-(+AB27*V28)),IF(S28="Probabilidad",(K27-(+K27*V28)),IF(S28="Impacto",AB27,""))),"")</f>
        <v/>
      </c>
      <c r="AA28" s="280" t="str">
        <f t="shared" si="3"/>
        <v/>
      </c>
      <c r="AB28" s="278" t="str">
        <f t="shared" ref="AB28" si="69">+Z28</f>
        <v/>
      </c>
      <c r="AC28" s="280" t="str">
        <f t="shared" si="5"/>
        <v/>
      </c>
      <c r="AD28" s="278" t="str">
        <f>IFERROR(IF(AND(S27="Impacto",S28="Impacto"),(AD25-(+AD25*V28)),IF(S28="Impacto",($O$27-(+$O$27*V28)),IF(S28="Probabilidad",AD25,""))),"")</f>
        <v/>
      </c>
      <c r="AE28" s="281" t="str">
        <f t="shared" ref="AE28" si="70">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277"/>
      <c r="AG28" s="282"/>
      <c r="AH28" s="282"/>
      <c r="AI28" s="283"/>
      <c r="AJ28" s="284"/>
      <c r="AK28" s="284"/>
      <c r="AL28" s="284"/>
      <c r="AM28" s="282"/>
      <c r="AN28" s="285"/>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302"/>
    </row>
    <row r="29" spans="1:74" s="289" customFormat="1" ht="69" customHeight="1" x14ac:dyDescent="0.2">
      <c r="A29" s="559">
        <v>10</v>
      </c>
      <c r="B29" s="558"/>
      <c r="C29" s="558"/>
      <c r="D29" s="558"/>
      <c r="E29" s="666"/>
      <c r="F29" s="666"/>
      <c r="G29" s="560"/>
      <c r="H29" s="558"/>
      <c r="I29" s="556"/>
      <c r="J29" s="557" t="str">
        <f t="shared" ref="J29" si="71">IF(I29&lt;=0,"",IF(I29&lt;=2,"Muy Baja",IF(I29&lt;=24,"Baja",IF(I29&lt;=500,"Media",IF(I29&lt;=5000,"Alta","Muy Alta")))))</f>
        <v/>
      </c>
      <c r="K29" s="554" t="str">
        <f t="shared" ref="K29" si="72">IF(J29="","",IF(J29="Muy Baja",0.2,IF(J29="Baja",0.4,IF(J29="Media",0.6,IF(J29="Alta",0.8,IF(J29="Muy Alta",1,))))))</f>
        <v/>
      </c>
      <c r="L29" s="558"/>
      <c r="M29" s="554">
        <f>IF(NOT(ISERROR(MATCH(L29,'[2]Tabla Impacto'!$B$221:$B$223,0))),'[2]Tabla Impacto'!$F$223&amp;"Por favor no seleccionar los criterios de impacto(Afectación Económica o presupuestal y Pérdida Reputacional)",L29)</f>
        <v>0</v>
      </c>
      <c r="N29" s="557" t="str">
        <f t="shared" ref="N29" si="73">IF(L29&lt;=0,"",IF(L29&lt;=10,"Leve",IF(L29&lt;=50,"Menor",IF(L29&lt;=100,"Moderado",IF(L29&lt;=500,"Mayor","Catastrófico")))))</f>
        <v/>
      </c>
      <c r="O29" s="554" t="str">
        <f t="shared" ref="O29" si="74">IF(N29="","",IF(N29="Leve",0.2,IF(N29="Menor",0.4,IF(N29="Moderado",0.6,IF(N29="Mayor",0.8,IF(N29="Catastrófico",1,))))))</f>
        <v/>
      </c>
      <c r="P29" s="555" t="str">
        <f t="shared" ref="P29" si="75">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274">
        <v>1</v>
      </c>
      <c r="R29" s="275"/>
      <c r="S29" s="276" t="str">
        <f t="shared" si="1"/>
        <v/>
      </c>
      <c r="T29" s="277"/>
      <c r="U29" s="277"/>
      <c r="V29" s="278" t="str">
        <f>IF(AND(T29="Preventivo",U29="Automático"),"50%",IF(AND(T29="Preventivo",U29="Manual"),"40%",IF(AND(T29="Detectivo",U29="Automático"),"40%",IF(AND(T29="Detectivo",U29="Manual"),"30%",IF(AND(T29="Correctivo",U29="Automático"),"35%",IF(AND(T29="Correctivo",U29="Manual"),"25%",""))))))</f>
        <v/>
      </c>
      <c r="W29" s="277"/>
      <c r="X29" s="277"/>
      <c r="Y29" s="277"/>
      <c r="Z29" s="279" t="str">
        <f>IFERROR(IF(S29="Probabilidad",(K29-(+K29*V29)),IF(S29="Impacto",K29,"")),"")</f>
        <v/>
      </c>
      <c r="AA29" s="280" t="str">
        <f>IFERROR(IF(Z29="","",IF(Z29&lt;=0.2,"Muy Baja",IF(Z29&lt;=0.4,"Baja",IF(Z29&lt;=0.6,"Media",IF(Z29&lt;=0.8,"Alta","Muy Alta"))))),"")</f>
        <v/>
      </c>
      <c r="AB29" s="278" t="str">
        <f>+Z29</f>
        <v/>
      </c>
      <c r="AC29" s="280" t="str">
        <f>IFERROR(IF(AD29="","",IF(AD29&lt;=0.2,"Leve",IF(AD29&lt;=0.4,"Menor",IF(AD29&lt;=0.6,"Moderado",IF(AD29&lt;=0.8,"Mayor","Catastrófico"))))),"")</f>
        <v/>
      </c>
      <c r="AD29" s="278" t="str">
        <f>IFERROR(IF(S29="Impacto",(O29-(+O29*V29)),IF(S29="Probabilidad",O29,"")),"")</f>
        <v/>
      </c>
      <c r="AE29" s="281" t="str">
        <f>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277"/>
      <c r="AG29" s="282"/>
      <c r="AH29" s="282"/>
      <c r="AI29" s="283"/>
      <c r="AJ29" s="284"/>
      <c r="AK29" s="284"/>
      <c r="AL29" s="284"/>
      <c r="AM29" s="282"/>
      <c r="AN29" s="285"/>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302"/>
    </row>
    <row r="30" spans="1:74" s="289" customFormat="1" ht="69" customHeight="1" x14ac:dyDescent="0.2">
      <c r="A30" s="559"/>
      <c r="B30" s="558"/>
      <c r="C30" s="558"/>
      <c r="D30" s="558"/>
      <c r="E30" s="667"/>
      <c r="F30" s="667"/>
      <c r="G30" s="560"/>
      <c r="H30" s="558"/>
      <c r="I30" s="556"/>
      <c r="J30" s="557"/>
      <c r="K30" s="554"/>
      <c r="L30" s="558"/>
      <c r="M30" s="554">
        <f ca="1">IF(NOT(ISERROR(MATCH(L30,_xlfn.ANCHORARRAY(G33),0))),#REF!&amp;"Por favor no seleccionar los criterios de impacto",L30)</f>
        <v>0</v>
      </c>
      <c r="N30" s="557"/>
      <c r="O30" s="554"/>
      <c r="P30" s="555"/>
      <c r="Q30" s="274">
        <v>2</v>
      </c>
      <c r="R30" s="275"/>
      <c r="S30" s="276" t="str">
        <f t="shared" si="1"/>
        <v/>
      </c>
      <c r="T30" s="277"/>
      <c r="U30" s="277"/>
      <c r="V30" s="278" t="str">
        <f t="shared" ref="V30" si="76">IF(AND(T30="Preventivo",U30="Automático"),"50%",IF(AND(T30="Preventivo",U30="Manual"),"40%",IF(AND(T30="Detectivo",U30="Automático"),"40%",IF(AND(T30="Detectivo",U30="Manual"),"30%",IF(AND(T30="Correctivo",U30="Automático"),"35%",IF(AND(T30="Correctivo",U30="Manual"),"25%",""))))))</f>
        <v/>
      </c>
      <c r="W30" s="277"/>
      <c r="X30" s="277"/>
      <c r="Y30" s="277"/>
      <c r="Z30" s="279" t="str">
        <f>IFERROR(IF(AND(S29="Probabilidad",S30="Probabilidad"),(AB29-(+AB29*V30)),IF(S30="Probabilidad",(K29-(+K29*V30)),IF(S30="Impacto",AB29,""))),"")</f>
        <v/>
      </c>
      <c r="AA30" s="280" t="str">
        <f t="shared" si="3"/>
        <v/>
      </c>
      <c r="AB30" s="278" t="str">
        <f t="shared" ref="AB30" si="77">+Z30</f>
        <v/>
      </c>
      <c r="AC30" s="280" t="str">
        <f t="shared" si="5"/>
        <v/>
      </c>
      <c r="AD30" s="278" t="str">
        <f>IFERROR(IF(AND(S29="Impacto",S30="Impacto"),(AD27-(+AD27*V30)),IF(S30="Impacto",($O$29-(+$O$29*V30)),IF(S30="Probabilidad",AD27,""))),"")</f>
        <v/>
      </c>
      <c r="AE30" s="281" t="str">
        <f t="shared" ref="AE30" si="78">IFERROR(IF(OR(AND(AA30="Muy Baja",AC30="Leve"),AND(AA30="Muy Baja",AC30="Menor"),AND(AA30="Baja",AC30="Leve")),"Bajo",IF(OR(AND(AA30="Muy baja",AC30="Moderado"),AND(AA30="Baja",AC30="Menor"),AND(AA30="Baja",AC30="Moderado"),AND(AA30="Media",AC30="Leve"),AND(AA30="Media",AC30="Menor"),AND(AA30="Media",AC30="Moderado"),AND(AA30="Alta",AC30="Leve"),AND(AA30="Alta",AC30="Menor")),"Moderado",IF(OR(AND(AA30="Muy Baja",AC30="Mayor"),AND(AA30="Baja",AC30="Mayor"),AND(AA30="Media",AC30="Mayor"),AND(AA30="Alta",AC30="Moderado"),AND(AA30="Alta",AC30="Mayor"),AND(AA30="Muy Alta",AC30="Leve"),AND(AA30="Muy Alta",AC30="Menor"),AND(AA30="Muy Alta",AC30="Moderado"),AND(AA30="Muy Alta",AC30="Mayor")),"Alto",IF(OR(AND(AA30="Muy Baja",AC30="Catastrófico"),AND(AA30="Baja",AC30="Catastrófico"),AND(AA30="Media",AC30="Catastrófico"),AND(AA30="Alta",AC30="Catastrófico"),AND(AA30="Muy Alta",AC30="Catastrófico")),"Extremo","")))),"")</f>
        <v/>
      </c>
      <c r="AF30" s="277"/>
      <c r="AG30" s="282"/>
      <c r="AH30" s="282"/>
      <c r="AI30" s="283"/>
      <c r="AJ30" s="284"/>
      <c r="AK30" s="284"/>
      <c r="AL30" s="284"/>
      <c r="AM30" s="282"/>
      <c r="AN30" s="285"/>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302"/>
    </row>
    <row r="32" spans="1:74" x14ac:dyDescent="0.3">
      <c r="A32" s="1"/>
      <c r="B32" s="24"/>
      <c r="C32" s="1"/>
      <c r="D32" s="1"/>
      <c r="E32" s="1"/>
      <c r="F32" s="1"/>
      <c r="H32" s="1"/>
    </row>
    <row r="100" spans="7:11" x14ac:dyDescent="0.3">
      <c r="G100" s="548" t="s">
        <v>469</v>
      </c>
      <c r="H100" s="548"/>
      <c r="I100" s="548"/>
      <c r="J100" s="548"/>
      <c r="K100" s="548"/>
    </row>
    <row r="101" spans="7:11" x14ac:dyDescent="0.3">
      <c r="I101" s="291" t="s">
        <v>13</v>
      </c>
      <c r="J101" s="291" t="s">
        <v>498</v>
      </c>
    </row>
    <row r="102" spans="7:11" x14ac:dyDescent="0.3">
      <c r="G102" s="1" t="s">
        <v>470</v>
      </c>
      <c r="I102" s="1" t="s">
        <v>14</v>
      </c>
      <c r="J102" s="1" t="s">
        <v>491</v>
      </c>
    </row>
    <row r="103" spans="7:11" x14ac:dyDescent="0.3">
      <c r="G103" t="s">
        <v>471</v>
      </c>
      <c r="I103" s="1" t="s">
        <v>15</v>
      </c>
      <c r="J103" s="1" t="s">
        <v>9</v>
      </c>
    </row>
    <row r="104" spans="7:11" x14ac:dyDescent="0.3">
      <c r="G104" s="1" t="s">
        <v>472</v>
      </c>
      <c r="I104" s="1" t="s">
        <v>16</v>
      </c>
    </row>
    <row r="105" spans="7:11" x14ac:dyDescent="0.3">
      <c r="G105" s="1" t="s">
        <v>473</v>
      </c>
    </row>
    <row r="106" spans="7:11" x14ac:dyDescent="0.3">
      <c r="G106" s="1" t="s">
        <v>474</v>
      </c>
      <c r="I106" s="291" t="s">
        <v>18</v>
      </c>
      <c r="J106" s="291" t="s">
        <v>495</v>
      </c>
    </row>
    <row r="107" spans="7:11" x14ac:dyDescent="0.3">
      <c r="G107" s="1" t="s">
        <v>475</v>
      </c>
      <c r="I107" s="1" t="s">
        <v>493</v>
      </c>
      <c r="J107" s="1" t="s">
        <v>22</v>
      </c>
    </row>
    <row r="108" spans="7:11" x14ac:dyDescent="0.3">
      <c r="G108" s="1" t="s">
        <v>476</v>
      </c>
      <c r="I108" s="1" t="s">
        <v>494</v>
      </c>
      <c r="J108" s="1" t="s">
        <v>23</v>
      </c>
    </row>
    <row r="111" spans="7:11" x14ac:dyDescent="0.3">
      <c r="G111" s="140" t="s">
        <v>532</v>
      </c>
      <c r="I111" s="291" t="s">
        <v>496</v>
      </c>
      <c r="J111" s="291" t="s">
        <v>29</v>
      </c>
    </row>
    <row r="112" spans="7:11" x14ac:dyDescent="0.3">
      <c r="G112" s="140"/>
      <c r="I112" s="1" t="s">
        <v>497</v>
      </c>
      <c r="J112" s="1" t="s">
        <v>30</v>
      </c>
    </row>
    <row r="113" spans="7:10" x14ac:dyDescent="0.3">
      <c r="G113" s="154" t="s">
        <v>528</v>
      </c>
      <c r="I113" s="1" t="s">
        <v>27</v>
      </c>
      <c r="J113" s="1" t="s">
        <v>504</v>
      </c>
    </row>
    <row r="114" spans="7:10" x14ac:dyDescent="0.3">
      <c r="G114" s="140" t="s">
        <v>525</v>
      </c>
      <c r="J114" s="1" t="s">
        <v>31</v>
      </c>
    </row>
    <row r="115" spans="7:10" x14ac:dyDescent="0.3">
      <c r="G115" s="140" t="s">
        <v>527</v>
      </c>
      <c r="J115" s="1" t="s">
        <v>505</v>
      </c>
    </row>
    <row r="116" spans="7:10" x14ac:dyDescent="0.3">
      <c r="G116" s="140" t="s">
        <v>526</v>
      </c>
      <c r="J116" s="1" t="s">
        <v>32</v>
      </c>
    </row>
    <row r="118" spans="7:10" x14ac:dyDescent="0.3">
      <c r="G118" s="291" t="s">
        <v>39</v>
      </c>
    </row>
    <row r="119" spans="7:10" x14ac:dyDescent="0.3">
      <c r="G119" s="1" t="s">
        <v>40</v>
      </c>
    </row>
    <row r="120" spans="7:10" x14ac:dyDescent="0.3">
      <c r="G120" s="140" t="s">
        <v>41</v>
      </c>
    </row>
  </sheetData>
  <dataConsolidate/>
  <mergeCells count="201">
    <mergeCell ref="G100:K100"/>
    <mergeCell ref="E13:E14"/>
    <mergeCell ref="F13:F14"/>
    <mergeCell ref="E15:E16"/>
    <mergeCell ref="K29:K30"/>
    <mergeCell ref="G19:G20"/>
    <mergeCell ref="H19:H20"/>
    <mergeCell ref="K17:K18"/>
    <mergeCell ref="K13:K14"/>
    <mergeCell ref="G15:G16"/>
    <mergeCell ref="H15:H16"/>
    <mergeCell ref="F15:F16"/>
    <mergeCell ref="F29:F30"/>
    <mergeCell ref="E29:E30"/>
    <mergeCell ref="E17:E18"/>
    <mergeCell ref="F17:F18"/>
    <mergeCell ref="E19:E20"/>
    <mergeCell ref="F19:F20"/>
    <mergeCell ref="E27:E28"/>
    <mergeCell ref="F27:F28"/>
    <mergeCell ref="M17:M18"/>
    <mergeCell ref="L29:L30"/>
    <mergeCell ref="G27:G28"/>
    <mergeCell ref="H27:H28"/>
    <mergeCell ref="K25:K26"/>
    <mergeCell ref="L25:L26"/>
    <mergeCell ref="G23:G24"/>
    <mergeCell ref="H23:H24"/>
    <mergeCell ref="K21:K22"/>
    <mergeCell ref="L21:L22"/>
    <mergeCell ref="N29:N30"/>
    <mergeCell ref="O29:O30"/>
    <mergeCell ref="P29:P30"/>
    <mergeCell ref="O27:O28"/>
    <mergeCell ref="P27:P28"/>
    <mergeCell ref="A29:A30"/>
    <mergeCell ref="B29:B30"/>
    <mergeCell ref="C29:C30"/>
    <mergeCell ref="D29:D30"/>
    <mergeCell ref="G29:G30"/>
    <mergeCell ref="H29:H30"/>
    <mergeCell ref="I29:I30"/>
    <mergeCell ref="J29:J30"/>
    <mergeCell ref="I27:I28"/>
    <mergeCell ref="J27:J28"/>
    <mergeCell ref="K27:K28"/>
    <mergeCell ref="L27:L28"/>
    <mergeCell ref="M27:M28"/>
    <mergeCell ref="N27:N28"/>
    <mergeCell ref="A27:A28"/>
    <mergeCell ref="B27:B28"/>
    <mergeCell ref="C27:C28"/>
    <mergeCell ref="D27:D28"/>
    <mergeCell ref="M29:M30"/>
    <mergeCell ref="N25:N26"/>
    <mergeCell ref="O25:O26"/>
    <mergeCell ref="P25:P26"/>
    <mergeCell ref="O23:O24"/>
    <mergeCell ref="P23:P24"/>
    <mergeCell ref="A25:A26"/>
    <mergeCell ref="B25:B26"/>
    <mergeCell ref="C25:C26"/>
    <mergeCell ref="D25:D26"/>
    <mergeCell ref="G25:G26"/>
    <mergeCell ref="H25:H26"/>
    <mergeCell ref="I25:I26"/>
    <mergeCell ref="J25:J26"/>
    <mergeCell ref="I23:I24"/>
    <mergeCell ref="J23:J24"/>
    <mergeCell ref="K23:K24"/>
    <mergeCell ref="L23:L24"/>
    <mergeCell ref="M23:M24"/>
    <mergeCell ref="N23:N24"/>
    <mergeCell ref="A23:A24"/>
    <mergeCell ref="B23:B24"/>
    <mergeCell ref="C23:C24"/>
    <mergeCell ref="D23:D24"/>
    <mergeCell ref="M25:M26"/>
    <mergeCell ref="N21:N22"/>
    <mergeCell ref="O21:O22"/>
    <mergeCell ref="P21:P22"/>
    <mergeCell ref="O19:O20"/>
    <mergeCell ref="P19:P20"/>
    <mergeCell ref="A21:A22"/>
    <mergeCell ref="B21:B22"/>
    <mergeCell ref="C21:C22"/>
    <mergeCell ref="D21:D22"/>
    <mergeCell ref="G21:G22"/>
    <mergeCell ref="H21:H22"/>
    <mergeCell ref="I21:I22"/>
    <mergeCell ref="J21:J22"/>
    <mergeCell ref="I19:I20"/>
    <mergeCell ref="J19:J20"/>
    <mergeCell ref="K19:K20"/>
    <mergeCell ref="L19:L20"/>
    <mergeCell ref="M19:M20"/>
    <mergeCell ref="N19:N20"/>
    <mergeCell ref="A19:A20"/>
    <mergeCell ref="B19:B20"/>
    <mergeCell ref="C19:C20"/>
    <mergeCell ref="D19:D20"/>
    <mergeCell ref="M21:M22"/>
    <mergeCell ref="N17:N18"/>
    <mergeCell ref="O17:O18"/>
    <mergeCell ref="P17:P18"/>
    <mergeCell ref="O15:O16"/>
    <mergeCell ref="P15:P16"/>
    <mergeCell ref="A17:A18"/>
    <mergeCell ref="B17:B18"/>
    <mergeCell ref="C17:C18"/>
    <mergeCell ref="D17:D18"/>
    <mergeCell ref="G17:G18"/>
    <mergeCell ref="H17:H18"/>
    <mergeCell ref="I17:I18"/>
    <mergeCell ref="J17:J18"/>
    <mergeCell ref="I15:I16"/>
    <mergeCell ref="J15:J16"/>
    <mergeCell ref="K15:K16"/>
    <mergeCell ref="L15:L16"/>
    <mergeCell ref="M15:M16"/>
    <mergeCell ref="N15:N16"/>
    <mergeCell ref="A15:A16"/>
    <mergeCell ref="B15:B16"/>
    <mergeCell ref="C15:C16"/>
    <mergeCell ref="D15:D16"/>
    <mergeCell ref="L17:L18"/>
    <mergeCell ref="L13:L14"/>
    <mergeCell ref="M13:M14"/>
    <mergeCell ref="N13:N14"/>
    <mergeCell ref="O13:O14"/>
    <mergeCell ref="P13:P14"/>
    <mergeCell ref="O11:O12"/>
    <mergeCell ref="P11:P12"/>
    <mergeCell ref="A13:A14"/>
    <mergeCell ref="B13:B14"/>
    <mergeCell ref="C13:C14"/>
    <mergeCell ref="D13:D14"/>
    <mergeCell ref="G13:G14"/>
    <mergeCell ref="H13:H14"/>
    <mergeCell ref="I13:I14"/>
    <mergeCell ref="J13:J14"/>
    <mergeCell ref="I11:I12"/>
    <mergeCell ref="J11:J12"/>
    <mergeCell ref="K11:K12"/>
    <mergeCell ref="L11:L12"/>
    <mergeCell ref="M11:M12"/>
    <mergeCell ref="N11:N12"/>
    <mergeCell ref="E11:E12"/>
    <mergeCell ref="F11:F12"/>
    <mergeCell ref="AK9:AK10"/>
    <mergeCell ref="AL9:AL10"/>
    <mergeCell ref="AM9:AM10"/>
    <mergeCell ref="AN9:AN10"/>
    <mergeCell ref="A11:A12"/>
    <mergeCell ref="B11:B12"/>
    <mergeCell ref="C11:C12"/>
    <mergeCell ref="D11:D12"/>
    <mergeCell ref="G11:G12"/>
    <mergeCell ref="H11:H12"/>
    <mergeCell ref="AE9:AE10"/>
    <mergeCell ref="AF9:AF10"/>
    <mergeCell ref="AG9:AG10"/>
    <mergeCell ref="AH9:AH10"/>
    <mergeCell ref="AI9:AI10"/>
    <mergeCell ref="AJ9:AJ10"/>
    <mergeCell ref="T9:Y9"/>
    <mergeCell ref="Z9:Z10"/>
    <mergeCell ref="AA9:AA10"/>
    <mergeCell ref="AB9:AB10"/>
    <mergeCell ref="AC9:AC10"/>
    <mergeCell ref="AD9:AD10"/>
    <mergeCell ref="N9:N10"/>
    <mergeCell ref="O9:O10"/>
    <mergeCell ref="A9:A10"/>
    <mergeCell ref="B9:B10"/>
    <mergeCell ref="C9:C10"/>
    <mergeCell ref="D9:D10"/>
    <mergeCell ref="G9:G10"/>
    <mergeCell ref="P9:P10"/>
    <mergeCell ref="Q9:Q10"/>
    <mergeCell ref="R9:R10"/>
    <mergeCell ref="S9:S10"/>
    <mergeCell ref="H9:H10"/>
    <mergeCell ref="I9:I10"/>
    <mergeCell ref="J9:J10"/>
    <mergeCell ref="K9:K10"/>
    <mergeCell ref="L9:L10"/>
    <mergeCell ref="M9:M10"/>
    <mergeCell ref="E9:E10"/>
    <mergeCell ref="F9:F10"/>
    <mergeCell ref="A4:AN5"/>
    <mergeCell ref="A6:B6"/>
    <mergeCell ref="C6:P6"/>
    <mergeCell ref="Q6:S6"/>
    <mergeCell ref="A7:B7"/>
    <mergeCell ref="C7:P7"/>
    <mergeCell ref="A8:I8"/>
    <mergeCell ref="J8:P8"/>
    <mergeCell ref="Q8:Y8"/>
    <mergeCell ref="Z8:AF8"/>
    <mergeCell ref="AG8:AN8"/>
  </mergeCells>
  <conditionalFormatting sqref="J11 J13 J15 J17 J19 J21 J23 J25 J27 J29">
    <cfRule type="cellIs" dxfId="49" priority="137" operator="equal">
      <formula>"Muy Alta"</formula>
    </cfRule>
    <cfRule type="cellIs" dxfId="48" priority="138" operator="equal">
      <formula>"Alta"</formula>
    </cfRule>
    <cfRule type="cellIs" dxfId="47" priority="139" operator="equal">
      <formula>"Media"</formula>
    </cfRule>
    <cfRule type="cellIs" dxfId="46" priority="140" operator="equal">
      <formula>"Baja"</formula>
    </cfRule>
    <cfRule type="cellIs" dxfId="45" priority="141" operator="equal">
      <formula>"Muy Baja"</formula>
    </cfRule>
  </conditionalFormatting>
  <conditionalFormatting sqref="M11:M30">
    <cfRule type="containsText" dxfId="44" priority="1" operator="containsText" text="❌">
      <formula>NOT(ISERROR(SEARCH("❌",M11)))</formula>
    </cfRule>
  </conditionalFormatting>
  <conditionalFormatting sqref="N11 N13 N15 N17 N19 N21 N23 N25 N27 N29">
    <cfRule type="cellIs" dxfId="43" priority="132" operator="equal">
      <formula>"Catastrófico"</formula>
    </cfRule>
    <cfRule type="cellIs" dxfId="42" priority="133" operator="equal">
      <formula>"Mayor"</formula>
    </cfRule>
    <cfRule type="cellIs" dxfId="41" priority="134" operator="equal">
      <formula>"Moderado"</formula>
    </cfRule>
    <cfRule type="cellIs" dxfId="40" priority="135" operator="equal">
      <formula>"Menor"</formula>
    </cfRule>
    <cfRule type="cellIs" dxfId="39" priority="136" operator="equal">
      <formula>"Leve"</formula>
    </cfRule>
  </conditionalFormatting>
  <conditionalFormatting sqref="P11 P13 P15 P17 P19 P21 P23 P25 P27 P29">
    <cfRule type="cellIs" dxfId="38" priority="128" operator="equal">
      <formula>"Extremo"</formula>
    </cfRule>
    <cfRule type="cellIs" dxfId="37" priority="129" operator="equal">
      <formula>"Alto"</formula>
    </cfRule>
    <cfRule type="cellIs" dxfId="36" priority="130" operator="equal">
      <formula>"Moderado"</formula>
    </cfRule>
    <cfRule type="cellIs" dxfId="35" priority="131" operator="equal">
      <formula>"Bajo"</formula>
    </cfRule>
  </conditionalFormatting>
  <conditionalFormatting sqref="AA11:AA30">
    <cfRule type="cellIs" dxfId="34" priority="11" operator="equal">
      <formula>"Muy Alta"</formula>
    </cfRule>
    <cfRule type="cellIs" dxfId="33" priority="12" operator="equal">
      <formula>"Alta"</formula>
    </cfRule>
    <cfRule type="cellIs" dxfId="32" priority="13" operator="equal">
      <formula>"Media"</formula>
    </cfRule>
    <cfRule type="cellIs" dxfId="31" priority="14" operator="equal">
      <formula>"Baja"</formula>
    </cfRule>
    <cfRule type="cellIs" dxfId="30" priority="15" operator="equal">
      <formula>"Muy Baja"</formula>
    </cfRule>
  </conditionalFormatting>
  <conditionalFormatting sqref="AC11:AC30">
    <cfRule type="cellIs" dxfId="29" priority="6" operator="equal">
      <formula>"Catastrófico"</formula>
    </cfRule>
    <cfRule type="cellIs" dxfId="28" priority="7" operator="equal">
      <formula>"Mayor"</formula>
    </cfRule>
    <cfRule type="cellIs" dxfId="27" priority="8" operator="equal">
      <formula>"Moderado"</formula>
    </cfRule>
    <cfRule type="cellIs" dxfId="26" priority="9" operator="equal">
      <formula>"Menor"</formula>
    </cfRule>
    <cfRule type="cellIs" dxfId="25" priority="10" operator="equal">
      <formula>"Leve"</formula>
    </cfRule>
  </conditionalFormatting>
  <conditionalFormatting sqref="AE11:AE30">
    <cfRule type="cellIs" dxfId="24" priority="2" operator="equal">
      <formula>"Extremo"</formula>
    </cfRule>
    <cfRule type="cellIs" dxfId="23" priority="3" operator="equal">
      <formula>"Alto"</formula>
    </cfRule>
    <cfRule type="cellIs" dxfId="22" priority="4" operator="equal">
      <formula>"Moderado"</formula>
    </cfRule>
    <cfRule type="cellIs" dxfId="21" priority="5" operator="equal">
      <formula>"Bajo"</formula>
    </cfRule>
  </conditionalFormatting>
  <dataValidations count="9">
    <dataValidation type="list" allowBlank="1" showInputMessage="1" showErrorMessage="1" sqref="AF11:AF30" xr:uid="{61425178-967D-47D2-8827-3511F022FABB}">
      <formula1>$J$112:$J$116</formula1>
    </dataValidation>
    <dataValidation type="list" allowBlank="1" showInputMessage="1" showErrorMessage="1" sqref="Y11:Y30" xr:uid="{338453F9-2563-444A-9822-2B3AB57CF934}">
      <formula1>$I$112:$I$113</formula1>
    </dataValidation>
    <dataValidation type="list" allowBlank="1" showInputMessage="1" showErrorMessage="1" sqref="X11:X30" xr:uid="{2DD6B413-E8C7-43F1-969E-2695862CA618}">
      <formula1>$J$107:$J$108</formula1>
    </dataValidation>
    <dataValidation type="list" allowBlank="1" showInputMessage="1" showErrorMessage="1" sqref="W11:W30" xr:uid="{5F9ADCF0-F691-415E-9BEF-A7EB3ED2C64C}">
      <formula1>$I$107:$I$108</formula1>
    </dataValidation>
    <dataValidation type="list" allowBlank="1" showInputMessage="1" showErrorMessage="1" sqref="U11:U30" xr:uid="{88DEBBED-E868-4120-A566-624B5E8AB9EF}">
      <formula1>$J$102:$J$103</formula1>
    </dataValidation>
    <dataValidation type="list" allowBlank="1" showInputMessage="1" showErrorMessage="1" sqref="T11:T30" xr:uid="{006399A3-D615-4542-B8EC-DA0D7C682956}">
      <formula1>$I$102:$I$104</formula1>
    </dataValidation>
    <dataValidation type="list" allowBlank="1" showInputMessage="1" showErrorMessage="1" sqref="H13:H30" xr:uid="{456300D1-635D-4858-BCC2-B0EC9C5CCE16}">
      <formula1>$G$102:$G$108</formula1>
    </dataValidation>
    <dataValidation type="list" allowBlank="1" showInputMessage="1" showErrorMessage="1" sqref="C13:C30 B11:B12" xr:uid="{81F41C71-04E1-4954-B356-CE6A8D581E7D}">
      <formula1>$G$114:$G$116</formula1>
    </dataValidation>
    <dataValidation type="list" allowBlank="1" showInputMessage="1" showErrorMessage="1" sqref="AN11" xr:uid="{C01B0C5C-8606-492B-9231-8F8106C8C8F8}">
      <formula1>$G$119:$G$120</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Portada</vt:lpstr>
      <vt:lpstr>Datos del proceso</vt:lpstr>
      <vt:lpstr>Intructivo</vt:lpstr>
      <vt:lpstr>Riesg de corrupción</vt:lpstr>
      <vt:lpstr>Riesgos de gestión</vt:lpstr>
      <vt:lpstr>Hoja2</vt:lpstr>
      <vt:lpstr>Riesgo de gestión</vt:lpstr>
      <vt:lpstr>R.corrupción financiera</vt:lpstr>
      <vt:lpstr>Riesgos de segInf</vt:lpstr>
      <vt:lpstr>Riesgos Seguridad D información</vt:lpstr>
      <vt:lpstr>SARLAF</vt:lpstr>
      <vt:lpstr>Tabla probabilidad</vt:lpstr>
      <vt:lpstr>Tabla Impacto</vt:lpstr>
      <vt:lpstr>Tabla Valoración controles</vt:lpstr>
      <vt:lpstr>Matrices</vt:lpstr>
      <vt:lpstr>Matriz Calor Inherente</vt:lpstr>
      <vt:lpstr>Matriz Calor Residual</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cp:lastPrinted>2020-05-13T01:12:22Z</cp:lastPrinted>
  <dcterms:created xsi:type="dcterms:W3CDTF">2020-03-24T23:12:47Z</dcterms:created>
  <dcterms:modified xsi:type="dcterms:W3CDTF">2023-06-23T20:11:14Z</dcterms:modified>
</cp:coreProperties>
</file>